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6.xml" ContentType="application/vnd.openxmlformats-officedocument.spreadsheetml.comments+xml"/>
  <Override PartName="/xl/threadedComments/threadedComment6.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7.xml" ContentType="application/vnd.openxmlformats-officedocument.spreadsheetml.comments+xml"/>
  <Override PartName="/xl/threadedComments/threadedComment7.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8.xml" ContentType="application/vnd.openxmlformats-officedocument.spreadsheetml.comments+xml"/>
  <Override PartName="/xl/threadedComments/threadedComment8.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0.xml" ContentType="application/vnd.openxmlformats-officedocument.spreadsheetml.comments+xml"/>
  <Override PartName="/xl/threadedComments/threadedComment10.xml" ContentType="application/vnd.ms-excel.threadedcomments+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comments11.xml" ContentType="application/vnd.openxmlformats-officedocument.spreadsheetml.comments+xml"/>
  <Override PartName="/xl/threadedComments/threadedComment11.xml" ContentType="application/vnd.ms-excel.threadedcomments+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comments12.xml" ContentType="application/vnd.openxmlformats-officedocument.spreadsheetml.comments+xml"/>
  <Override PartName="/xl/threadedComments/threadedComment12.xml" ContentType="application/vnd.ms-excel.threadedcomments+xml"/>
  <Override PartName="/xl/tables/table31.xml" ContentType="application/vnd.openxmlformats-officedocument.spreadsheetml.table+xml"/>
  <Override PartName="/xl/comments13.xml" ContentType="application/vnd.openxmlformats-officedocument.spreadsheetml.comments+xml"/>
  <Override PartName="/xl/threadedComments/threadedComment13.xml" ContentType="application/vnd.ms-excel.threadedcomments+xml"/>
  <Override PartName="/xl/tables/table3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ejm6426/Documents/rtRBA-main/build_model/input/"/>
    </mc:Choice>
  </mc:AlternateContent>
  <xr:revisionPtr revIDLastSave="0" documentId="13_ncr:1_{E2A196A1-9345-5246-AE9B-141BBB5F565C}" xr6:coauthVersionLast="47" xr6:coauthVersionMax="47" xr10:uidLastSave="{00000000-0000-0000-0000-000000000000}"/>
  <bookViews>
    <workbookView xWindow="0" yWindow="500" windowWidth="38400" windowHeight="19620" tabRatio="500" activeTab="4" xr2:uid="{00000000-000D-0000-FFFF-FFFF00000000}"/>
  </bookViews>
  <sheets>
    <sheet name="RBABiomass-NOvarbiom-release2" sheetId="4" state="hidden" r:id="rId1"/>
    <sheet name="RBABiomass-Novarbiom-nlim" sheetId="6" state="hidden" r:id="rId2"/>
    <sheet name="batch-Pinheiro" sheetId="39" r:id="rId3"/>
    <sheet name="batch-Rabinowitz+Pinheiro-macro" sheetId="42" r:id="rId4"/>
    <sheet name="batch-Rabinowitz" sheetId="41" r:id="rId5"/>
    <sheet name="batch-Rabinowitz-updates-to-GSM" sheetId="35" r:id="rId6"/>
    <sheet name="batch-Rabinowitz-updates-to (2)" sheetId="43" r:id="rId7"/>
    <sheet name="chemo-clim-Rabinowitz" sheetId="36" r:id="rId8"/>
    <sheet name="release2-to-chemo-c-lim" sheetId="14" r:id="rId9"/>
    <sheet name="chemo-nlim-Rabinowitz" sheetId="34" r:id="rId10"/>
    <sheet name="release2-to-chemo-n-lim" sheetId="37" r:id="rId11"/>
    <sheet name="Kim-et-al-2020" sheetId="38" r:id="rId12"/>
    <sheet name="Kim-equation-conversion" sheetId="11" r:id="rId13"/>
    <sheet name="oldBiomass-RBABioRxns" sheetId="1" r:id="rId14"/>
    <sheet name="oldBiomass-Rabinowitz-clim" sheetId="16" r:id="rId15"/>
    <sheet name="metaboliteInfo" sheetId="15" r:id="rId16"/>
  </sheets>
  <definedNames>
    <definedName name="Duplicates_DIY" comment="Returns all values in an array with duplicates (including duplicates) as a column. Case-sensitive by default, but set 2nd argument to false to make it case-insensitive.">_xlfn.LAMBDA(_xlpm.array,_xlop.match_case,_xlfn.LET(_xlpm.col,_xlfn.TOCOL(_xlpm.array),IF(IfBlank_DIY(_xlpm.match_case,TRUE),_xlfn._xlws.FILTER(_xlpm.col,_xlfn.BYROW(--EXACT(_xlpm.col,TRANSPOSE(_xlpm.col)),_xlfn.LAMBDA(_xlpm.r,_xlfn.XMATCH(1,_xlpm.r,0,1)&lt;&gt;_xlfn.XMATCH(1,_xlpm.r,0,-1)))),_xlfn.LET(_xlpm.x,_xlfn.UNIQUE(_xlfn.VSTACK(_xlfn.UNIQUE(_xlpm.col),_xlfn.UNIQUE(_xlpm.col,,TRUE)),,TRUE),_xlfn._xlws.FILTER(_xlpm.col,ISNUMBER(MATCH(_xlpm.col,_xlpm.x,0)),_xlpm.col)))))</definedName>
    <definedName name="IfBlank_DIY" comment="Return a default value if the input is blank.">_xlfn.LAMBDA(_xlpm.value,_xlpm.default,IF(_xlpm.value="",_xlpm.default,_xlpm.value))</definedName>
    <definedName name="IsElementOfSet_CaseInsensitive_DIY" comment="Checks if a value is an element of a set. Case-insensitive version.">_xlfn.LAMBDA(_xlpm.element,_xlpm.array,OR(_xlpm.element=_xlpm.array))</definedName>
    <definedName name="IsElementOfSet_DIY" comment="Checks if a value is an element of a set (case-sensitive).">_xlfn.LAMBDA(_xlpm.element,_xlpm.array,OR(EXACT(_xlpm.element,_xlpm.array)))</definedName>
    <definedName name="IsSubset_DIY">_xlfn.LAMBDA(_xlpm.x,_xlpm.y,AND(COUNTIF(_xlpm.y,_xlpm.x)&gt;=COUNTIF(_xlpm.x,_xlpm.x)))</definedName>
    <definedName name="LongestNumAtEnd_DIY" comment="Checks the end of a string for the longest number, including extra zeros (e.g., &quot;04&quot; in t04) unless the optional 2nd argument is set to 1 or TRUE.">_xlfn.LAMBDA(_xlpm.t,_xlop.min_digits,_xlfn.LET(_xlpm.n,RIGHT(_xlpm.t,_xlfn.SEQUENCE(LEN(_xlpm.t))),_xlpm.sortcol,IF(NOT(ISERROR(_xlfn.NUMBERVALUE(_xlpm.n)+TEXT(LEFT(_xlpm.n,1),0))),LEN(_xlpm.n),0),_xlpm.nmax,_xlfn.TAKE(_xlfn._xlws.SORT(_xlfn.HSTACK(_xlpm.n,_xlpm.sortcol),2,-1),1),IF(_xlfn.CHOOSECOLS(_xlpm.nmax,2)=0,"",IF(IfBlank_DIY(_xlpm.min_digits,FALSE),_xlfn.NUMBERVALUE(_xlfn.CHOOSECOLS(_xlpm.nmax,1)),_xlfn.CHOOSECOLS(_xlpm.nmax,1)))))</definedName>
    <definedName name="LongestNumAtStart_DIY" comment="Checks the start of a string for the longest number, including extra zeros (e.g., &quot;04&quot; in 04t) unless the optional 2nd argument is set to 1 or TRUE.">_xlfn.LAMBDA(_xlpm.t,_xlop.min_digits,_xlfn.LET(_xlpm.n,LEFT(_xlpm.t,_xlfn.SEQUENCE(LEN(_xlpm.t))),_xlpm.sortcol,IF(NOT(ISERROR(_xlfn.NUMBERVALUE(_xlpm.n)+TEXT(RIGHT(_xlpm.n,1),0))),LEN(_xlpm.n),0),_xlpm.nmax,_xlfn.TAKE(_xlfn._xlws.SORT(_xlfn.HSTACK(_xlpm.n,_xlpm.sortcol),2,-1),1),IF(_xlfn.CHOOSECOLS(_xlpm.nmax,2)=0,"",IF(IfBlank_DIY(_xlpm.min_digits,FALSE),_xlfn.NUMBERVALUE(_xlfn.CHOOSECOLS(_xlpm.nmax,1)),_xlfn.CHOOSECOLS(_xlpm.nmax,1)))))</definedName>
    <definedName name="nonblanks_DIY" comment="Returns all non-blank rows of an array.">_xlfn.LAMBDA(_xlpm.array,_xlop.num_rows_dropped,_xlop.num_cols_dropped,_xlfn.DROP(_xlfn._xlws.FILTER(_xlpm.array,NOT(ISBLANK(_xlpm.array))),IFERROR(_xlfn.NUMBERVALUE(_xlpm.num_rows_dropped),0),IFERROR(_xlfn.NUMBERVALUE(_xlpm.num_cols_dropped),0)))</definedName>
    <definedName name="tbl_mets" localSheetId="2">mets2713[#All]</definedName>
    <definedName name="TEXTBETWEEN_DIY">_xlfn.LAMBDA(_xlpm.cells,_xlpm.delim,_xlop.adj,_xlfn.LET(_xlpm.adjust,IF(_xlfn.ISOMITTED(_xlpm.adj),COLUMN()-COLUMN(_xlpm.cells),_xlpm.adj),_xlfn.IFS(_xlpm.adjust=1,_xlfn.TEXTBEFORE(_xlpm.cells,_xlpm.delim,_xlpm.adjust,,,_xlpm.cells),1=1,_xlfn.TEXTAFTER(_xlfn.TEXTBEFORE(_xlpm.cells,_xlpm.delim,_xlpm.adjust,,,_xlpm.cells),_xlpm.delim,_xlpm.adjust-1,,,_xlfn.TEXTBEFORE(_xlpm.cells,_xlpm.delim,_xlpm.adjust,,,_xlpm.cells)))))</definedName>
    <definedName name="TextSplitArray_DIY" comment="Like TEXTSPLIT but for an array; input cells and then a string to split them by. If the input array is a row, it's split vertically; otherwise, it's split horizontally.">_xlfn.LAMBDA(_xlpm.cells,_xlop.delimiter,_xlfn.LET(_xlpm.str,IfBlank_DIY(_xlpm.delimiter," "),_xlpm.n,MAX((LEN(_xlpm.cells)-LEN(SUBSTITUTE(_xlpm.cells,_xlpm.str,""))+1)/LEN(_xlpm.str)),_xlfn.TEXTBEFORE(IFERROR(_xlfn.TEXTAFTER(_xlpm.cells,_xlpm.str,IF(COLUMNS(_xlpm.cells)&gt;1,_xlfn.SEQUENCE(_xlpm.n,1,0),_xlfn.SEQUENCE(1,_xlpm.n,0)),,,""),_xlpm.cells),_xlpm.st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3" i="43" l="1"/>
  <c r="B93" i="43"/>
  <c r="C93" i="43" s="1"/>
  <c r="G93" i="43" s="1" a="1"/>
  <c r="G93" i="43" s="1"/>
  <c r="H93" i="43" s="1"/>
  <c r="F92" i="43"/>
  <c r="B92" i="43"/>
  <c r="C92" i="43" s="1"/>
  <c r="G92" i="43" s="1" a="1"/>
  <c r="G92" i="43" s="1"/>
  <c r="H92" i="43" s="1"/>
  <c r="F91" i="43"/>
  <c r="B91" i="43"/>
  <c r="C91" i="43" s="1"/>
  <c r="F90" i="43"/>
  <c r="B90" i="43"/>
  <c r="C90" i="43" s="1"/>
  <c r="F89" i="43"/>
  <c r="B89" i="43"/>
  <c r="C89" i="43" s="1"/>
  <c r="F88" i="43"/>
  <c r="B88" i="43"/>
  <c r="C88" i="43" s="1"/>
  <c r="F87" i="43"/>
  <c r="B87" i="43"/>
  <c r="C87" i="43" s="1"/>
  <c r="G87" i="43" s="1" a="1"/>
  <c r="G87" i="43" s="1"/>
  <c r="H87" i="43" s="1"/>
  <c r="F86" i="43"/>
  <c r="B86" i="43"/>
  <c r="C86" i="43" s="1"/>
  <c r="F85" i="43"/>
  <c r="B85" i="43"/>
  <c r="C85" i="43" s="1"/>
  <c r="F84" i="43"/>
  <c r="B84" i="43"/>
  <c r="C84" i="43" s="1"/>
  <c r="F83" i="43"/>
  <c r="B83" i="43"/>
  <c r="C83" i="43" s="1"/>
  <c r="F82" i="43"/>
  <c r="B82" i="43"/>
  <c r="C82" i="43" s="1"/>
  <c r="F81" i="43"/>
  <c r="B81" i="43"/>
  <c r="C81" i="43" s="1"/>
  <c r="F80" i="43"/>
  <c r="B80" i="43"/>
  <c r="C80" i="43" s="1"/>
  <c r="G80" i="43" s="1" a="1"/>
  <c r="G80" i="43" s="1"/>
  <c r="H80" i="43" s="1"/>
  <c r="F79" i="43"/>
  <c r="B79" i="43"/>
  <c r="C79" i="43" s="1"/>
  <c r="F78" i="43"/>
  <c r="B78" i="43"/>
  <c r="C78" i="43" s="1"/>
  <c r="F77" i="43"/>
  <c r="B77" i="43"/>
  <c r="C77" i="43" s="1"/>
  <c r="F76" i="43"/>
  <c r="B76" i="43"/>
  <c r="C76" i="43" s="1"/>
  <c r="F75" i="43"/>
  <c r="B75" i="43"/>
  <c r="C75" i="43" s="1"/>
  <c r="G75" i="43" s="1" a="1"/>
  <c r="G75" i="43" s="1"/>
  <c r="H75" i="43" s="1"/>
  <c r="F74" i="43"/>
  <c r="C74" i="43"/>
  <c r="B74" i="43"/>
  <c r="F73" i="43"/>
  <c r="B73" i="43"/>
  <c r="C73" i="43" s="1"/>
  <c r="F72" i="43"/>
  <c r="B72" i="43"/>
  <c r="C72" i="43" s="1"/>
  <c r="S71" i="43"/>
  <c r="S71" i="43" a="1"/>
  <c r="F71" i="43"/>
  <c r="B71" i="43"/>
  <c r="C71" i="43" s="1"/>
  <c r="G71" i="43" s="1" a="1"/>
  <c r="G71" i="43" s="1"/>
  <c r="H71" i="43" s="1"/>
  <c r="F70" i="43"/>
  <c r="B70" i="43"/>
  <c r="C70" i="43" s="1"/>
  <c r="F69" i="43"/>
  <c r="B69" i="43"/>
  <c r="C69" i="43" s="1"/>
  <c r="F68" i="43"/>
  <c r="B68" i="43"/>
  <c r="C68" i="43" s="1"/>
  <c r="F67" i="43"/>
  <c r="B67" i="43"/>
  <c r="C67" i="43" s="1"/>
  <c r="F66" i="43"/>
  <c r="B66" i="43"/>
  <c r="C66" i="43" s="1"/>
  <c r="F65" i="43"/>
  <c r="B65" i="43"/>
  <c r="C65" i="43" s="1"/>
  <c r="F64" i="43"/>
  <c r="C64" i="43"/>
  <c r="B64" i="43"/>
  <c r="F63" i="43"/>
  <c r="B63" i="43"/>
  <c r="C63" i="43" s="1"/>
  <c r="G63" i="43" s="1" a="1"/>
  <c r="G63" i="43" s="1"/>
  <c r="H63" i="43" s="1"/>
  <c r="T62" i="43"/>
  <c r="F62" i="43"/>
  <c r="B62" i="43"/>
  <c r="C62" i="43" s="1"/>
  <c r="F61" i="43"/>
  <c r="B61" i="43"/>
  <c r="C61" i="43" s="1"/>
  <c r="T60" i="43"/>
  <c r="F60" i="43"/>
  <c r="B60" i="43"/>
  <c r="C60" i="43" s="1"/>
  <c r="T59" i="43"/>
  <c r="T65" i="43" s="1"/>
  <c r="F59" i="43"/>
  <c r="C59" i="43"/>
  <c r="D59" i="43" s="1"/>
  <c r="B59" i="43"/>
  <c r="F58" i="43"/>
  <c r="B58" i="43"/>
  <c r="C58" i="43" s="1"/>
  <c r="F57" i="43"/>
  <c r="B57" i="43"/>
  <c r="C57" i="43" s="1"/>
  <c r="D57" i="43" s="1"/>
  <c r="K57" i="43" s="1" a="1"/>
  <c r="K57" i="43" s="1"/>
  <c r="F56" i="43"/>
  <c r="B56" i="43"/>
  <c r="C56" i="43" s="1"/>
  <c r="F55" i="43"/>
  <c r="B55" i="43"/>
  <c r="C55" i="43" s="1"/>
  <c r="G55" i="43" s="1" a="1"/>
  <c r="G55" i="43" s="1"/>
  <c r="H55" i="43" s="1"/>
  <c r="F54" i="43"/>
  <c r="B54" i="43"/>
  <c r="C54" i="43" s="1"/>
  <c r="F53" i="43"/>
  <c r="B53" i="43"/>
  <c r="C53" i="43" s="1"/>
  <c r="F52" i="43"/>
  <c r="B52" i="43"/>
  <c r="C52" i="43" s="1"/>
  <c r="F51" i="43"/>
  <c r="B51" i="43"/>
  <c r="C51" i="43" s="1"/>
  <c r="E51" i="43" s="1"/>
  <c r="F50" i="43"/>
  <c r="B50" i="43"/>
  <c r="C50" i="43" s="1"/>
  <c r="D50" i="43" s="1"/>
  <c r="K50" i="43" s="1" a="1"/>
  <c r="K50" i="43" s="1"/>
  <c r="F49" i="43"/>
  <c r="B49" i="43"/>
  <c r="C49" i="43" s="1"/>
  <c r="G49" i="43" s="1" a="1"/>
  <c r="G49" i="43" s="1"/>
  <c r="H49" i="43" s="1"/>
  <c r="F48" i="43"/>
  <c r="B48" i="43"/>
  <c r="C48" i="43" s="1"/>
  <c r="F47" i="43"/>
  <c r="B47" i="43"/>
  <c r="C47" i="43" s="1"/>
  <c r="F46" i="43"/>
  <c r="E46" i="43"/>
  <c r="B46" i="43"/>
  <c r="C46" i="43" s="1"/>
  <c r="T45" i="43" a="1"/>
  <c r="T45" i="43" s="1"/>
  <c r="F45" i="43"/>
  <c r="B45" i="43"/>
  <c r="C45" i="43" s="1"/>
  <c r="G45" i="43" s="1" a="1"/>
  <c r="G45" i="43" s="1"/>
  <c r="H45" i="43" s="1"/>
  <c r="F44" i="43"/>
  <c r="B44" i="43"/>
  <c r="C44" i="43" s="1"/>
  <c r="F43" i="43"/>
  <c r="B43" i="43"/>
  <c r="C43" i="43" s="1"/>
  <c r="F42" i="43"/>
  <c r="B42" i="43"/>
  <c r="C42" i="43" s="1"/>
  <c r="G42" i="43" s="1" a="1"/>
  <c r="G42" i="43" s="1"/>
  <c r="H42" i="43" s="1"/>
  <c r="F41" i="43"/>
  <c r="B41" i="43"/>
  <c r="C41" i="43" s="1"/>
  <c r="E41" i="43" s="1"/>
  <c r="F40" i="43"/>
  <c r="B40" i="43"/>
  <c r="C40" i="43" s="1"/>
  <c r="G40" i="43" s="1" a="1"/>
  <c r="G40" i="43" s="1"/>
  <c r="H40" i="43" s="1"/>
  <c r="F39" i="43"/>
  <c r="B39" i="43"/>
  <c r="C39" i="43" s="1"/>
  <c r="F38" i="43"/>
  <c r="D38" i="43"/>
  <c r="B38" i="43"/>
  <c r="C38" i="43" s="1"/>
  <c r="G37" i="43" a="1"/>
  <c r="G37" i="43" s="1"/>
  <c r="H37" i="43" s="1"/>
  <c r="F37" i="43"/>
  <c r="B37" i="43"/>
  <c r="C37" i="43" s="1"/>
  <c r="E37" i="43" s="1"/>
  <c r="F36" i="43"/>
  <c r="B36" i="43"/>
  <c r="C36" i="43" s="1"/>
  <c r="F35" i="43"/>
  <c r="B35" i="43"/>
  <c r="C35" i="43" s="1"/>
  <c r="F34" i="43"/>
  <c r="B34" i="43"/>
  <c r="C34" i="43" s="1"/>
  <c r="T33" i="43" a="1"/>
  <c r="T33" i="43" s="1"/>
  <c r="P33" i="43" a="1"/>
  <c r="P33" i="43" s="1"/>
  <c r="R33" i="43" s="1" a="1"/>
  <c r="R33" i="43" s="1"/>
  <c r="F33" i="43"/>
  <c r="G33" i="43" s="1" a="1"/>
  <c r="G33" i="43" s="1"/>
  <c r="H33" i="43" s="1"/>
  <c r="B33" i="43"/>
  <c r="C33" i="43" s="1"/>
  <c r="F32" i="43"/>
  <c r="B32" i="43"/>
  <c r="C32" i="43" s="1"/>
  <c r="G31" i="43" a="1"/>
  <c r="G31" i="43" s="1"/>
  <c r="H31" i="43" s="1"/>
  <c r="F31" i="43"/>
  <c r="B31" i="43"/>
  <c r="C31" i="43" s="1"/>
  <c r="F30" i="43"/>
  <c r="B30" i="43"/>
  <c r="C30" i="43" s="1"/>
  <c r="F29" i="43"/>
  <c r="B29" i="43"/>
  <c r="C29" i="43" s="1"/>
  <c r="F28" i="43"/>
  <c r="C28" i="43"/>
  <c r="E28" i="43" s="1"/>
  <c r="B28" i="43"/>
  <c r="F27" i="43"/>
  <c r="B27" i="43"/>
  <c r="C27" i="43" s="1"/>
  <c r="G27" i="43" s="1" a="1"/>
  <c r="G27" i="43" s="1"/>
  <c r="H27" i="43" s="1"/>
  <c r="F26" i="43"/>
  <c r="B26" i="43"/>
  <c r="C26" i="43" s="1"/>
  <c r="F25" i="43"/>
  <c r="C25" i="43"/>
  <c r="B25" i="43"/>
  <c r="F24" i="43"/>
  <c r="G24" i="43" s="1" a="1"/>
  <c r="G24" i="43" s="1"/>
  <c r="H24" i="43" s="1"/>
  <c r="C24" i="43"/>
  <c r="D24" i="43" s="1"/>
  <c r="B24" i="43"/>
  <c r="F23" i="43"/>
  <c r="B23" i="43"/>
  <c r="C23" i="43" s="1"/>
  <c r="F22" i="43"/>
  <c r="B22" i="43"/>
  <c r="C22" i="43" s="1"/>
  <c r="G22" i="43" s="1" a="1"/>
  <c r="G22" i="43" s="1"/>
  <c r="H22" i="43" s="1"/>
  <c r="F21" i="43"/>
  <c r="B21" i="43"/>
  <c r="C21" i="43" s="1"/>
  <c r="F20" i="43"/>
  <c r="B20" i="43"/>
  <c r="C20" i="43" s="1"/>
  <c r="V19" i="43"/>
  <c r="V20" i="43" s="1" a="1"/>
  <c r="V20" i="43" s="1"/>
  <c r="F19" i="43"/>
  <c r="B19" i="43"/>
  <c r="C19" i="43" s="1"/>
  <c r="F18" i="43"/>
  <c r="B18" i="43"/>
  <c r="C18" i="43" s="1"/>
  <c r="F17" i="43"/>
  <c r="B17" i="43"/>
  <c r="C17" i="43" s="1"/>
  <c r="F16" i="43"/>
  <c r="B16" i="43"/>
  <c r="C16" i="43" s="1"/>
  <c r="F15" i="43"/>
  <c r="B15" i="43"/>
  <c r="C15" i="43" s="1"/>
  <c r="G15" i="43" s="1" a="1"/>
  <c r="G15" i="43" s="1"/>
  <c r="H15" i="43" s="1"/>
  <c r="F14" i="43"/>
  <c r="B14" i="43"/>
  <c r="C14" i="43" s="1"/>
  <c r="D14" i="43" s="1"/>
  <c r="F13" i="43"/>
  <c r="B13" i="43"/>
  <c r="C13" i="43" s="1"/>
  <c r="F12" i="43"/>
  <c r="B12" i="43"/>
  <c r="C12" i="43" s="1"/>
  <c r="F11" i="43"/>
  <c r="B11" i="43"/>
  <c r="C11" i="43" s="1"/>
  <c r="G11" i="43" s="1" a="1"/>
  <c r="G11" i="43" s="1"/>
  <c r="H11" i="43" s="1"/>
  <c r="F10" i="43"/>
  <c r="B10" i="43"/>
  <c r="C10" i="43" s="1"/>
  <c r="G10" i="43" s="1" a="1"/>
  <c r="G10" i="43" s="1"/>
  <c r="H10" i="43" s="1"/>
  <c r="G9" i="43" a="1"/>
  <c r="G9" i="43" s="1"/>
  <c r="H9" i="43" s="1"/>
  <c r="F9" i="43"/>
  <c r="B9" i="43"/>
  <c r="C9" i="43" s="1"/>
  <c r="E9" i="43" s="1"/>
  <c r="F8" i="43"/>
  <c r="C8" i="43"/>
  <c r="D8" i="43" s="1"/>
  <c r="B8" i="43"/>
  <c r="Y7" i="43"/>
  <c r="F7" i="43"/>
  <c r="B7" i="43"/>
  <c r="C7" i="43" s="1"/>
  <c r="F6" i="43"/>
  <c r="B6" i="43"/>
  <c r="C6" i="43" s="1"/>
  <c r="D4" i="43"/>
  <c r="J2" i="41"/>
  <c r="R6" i="42"/>
  <c r="T6" i="42" s="1" a="1"/>
  <c r="T6" i="42" s="1"/>
  <c r="R7" i="42"/>
  <c r="R8" i="42"/>
  <c r="R9" i="42"/>
  <c r="R10" i="42"/>
  <c r="T10" i="42" s="1" a="1"/>
  <c r="T10" i="42" s="1"/>
  <c r="R11" i="42"/>
  <c r="R12" i="42"/>
  <c r="T12" i="42" s="1" a="1"/>
  <c r="T12" i="42" s="1"/>
  <c r="R13" i="42"/>
  <c r="T8" i="42" s="1" a="1"/>
  <c r="T8" i="42" s="1"/>
  <c r="R14" i="42"/>
  <c r="R15" i="42"/>
  <c r="T7" i="42" a="1"/>
  <c r="T7" i="42" s="1"/>
  <c r="T9" i="42" a="1"/>
  <c r="T9" i="42" s="1"/>
  <c r="T13" i="42" a="1"/>
  <c r="T13" i="42"/>
  <c r="T14" i="42" a="1"/>
  <c r="T14" i="42" s="1"/>
  <c r="T15" i="42" a="1"/>
  <c r="T15" i="42" s="1"/>
  <c r="T2" i="42" a="1"/>
  <c r="T2" i="42" s="1"/>
  <c r="S2" i="42" a="1"/>
  <c r="S2" i="42" s="1"/>
  <c r="F93" i="42"/>
  <c r="C93" i="42"/>
  <c r="B93" i="42"/>
  <c r="F92" i="42"/>
  <c r="C92" i="42"/>
  <c r="G92" i="42" s="1" a="1"/>
  <c r="G92" i="42" s="1"/>
  <c r="H92" i="42" s="1"/>
  <c r="B92" i="42"/>
  <c r="F91" i="42"/>
  <c r="E91" i="42"/>
  <c r="C91" i="42"/>
  <c r="D91" i="42" s="1"/>
  <c r="B91" i="42"/>
  <c r="F90" i="42"/>
  <c r="C90" i="42"/>
  <c r="G90" i="42" s="1" a="1"/>
  <c r="G90" i="42" s="1"/>
  <c r="H90" i="42" s="1"/>
  <c r="B90" i="42"/>
  <c r="F89" i="42"/>
  <c r="C89" i="42"/>
  <c r="B89" i="42"/>
  <c r="F88" i="42"/>
  <c r="G88" i="42" s="1" a="1"/>
  <c r="G88" i="42" s="1"/>
  <c r="H88" i="42" s="1"/>
  <c r="D88" i="42"/>
  <c r="L88" i="42" s="1" a="1"/>
  <c r="L88" i="42" s="1"/>
  <c r="C88" i="42"/>
  <c r="B88" i="42"/>
  <c r="K87" i="42" a="1"/>
  <c r="K87" i="42" s="1"/>
  <c r="G87" i="42" a="1"/>
  <c r="G87" i="42" s="1"/>
  <c r="H87" i="42" s="1"/>
  <c r="F87" i="42"/>
  <c r="E87" i="42"/>
  <c r="D87" i="42"/>
  <c r="L87" i="42" s="1" a="1"/>
  <c r="L87" i="42" s="1"/>
  <c r="C87" i="42"/>
  <c r="B87" i="42"/>
  <c r="F86" i="42"/>
  <c r="B86" i="42"/>
  <c r="C86" i="42" s="1"/>
  <c r="F85" i="42"/>
  <c r="B85" i="42"/>
  <c r="C85" i="42" s="1"/>
  <c r="G84" i="42" a="1"/>
  <c r="G84" i="42" s="1"/>
  <c r="H84" i="42" s="1"/>
  <c r="F84" i="42"/>
  <c r="B84" i="42"/>
  <c r="C84" i="42" s="1"/>
  <c r="F83" i="42"/>
  <c r="E83" i="42"/>
  <c r="C83" i="42"/>
  <c r="G83" i="42" s="1" a="1"/>
  <c r="G83" i="42" s="1"/>
  <c r="H83" i="42" s="1"/>
  <c r="B83" i="42"/>
  <c r="F82" i="42"/>
  <c r="B82" i="42"/>
  <c r="C82" i="42" s="1"/>
  <c r="L81" i="42" a="1"/>
  <c r="L81" i="42" s="1"/>
  <c r="G81" i="42" a="1"/>
  <c r="G81" i="42" s="1"/>
  <c r="H81" i="42" s="1"/>
  <c r="F81" i="42"/>
  <c r="C81" i="42"/>
  <c r="D81" i="42" s="1"/>
  <c r="K81" i="42" s="1" a="1"/>
  <c r="K81" i="42" s="1"/>
  <c r="B81" i="42"/>
  <c r="F80" i="42"/>
  <c r="C80" i="42"/>
  <c r="B80" i="42"/>
  <c r="F79" i="42"/>
  <c r="E79" i="42"/>
  <c r="C79" i="42"/>
  <c r="B79" i="42"/>
  <c r="F78" i="42"/>
  <c r="D78" i="42"/>
  <c r="L78" i="42" s="1" a="1"/>
  <c r="L78" i="42" s="1"/>
  <c r="B78" i="42"/>
  <c r="C78" i="42" s="1"/>
  <c r="F77" i="42"/>
  <c r="C77" i="42"/>
  <c r="B77" i="42"/>
  <c r="F76" i="42"/>
  <c r="D76" i="42"/>
  <c r="B76" i="42"/>
  <c r="C76" i="42" s="1"/>
  <c r="G75" i="42" a="1"/>
  <c r="G75" i="42" s="1"/>
  <c r="H75" i="42" s="1"/>
  <c r="F75" i="42"/>
  <c r="E75" i="42"/>
  <c r="D75" i="42"/>
  <c r="L75" i="42" s="1" a="1"/>
  <c r="L75" i="42" s="1"/>
  <c r="C75" i="42"/>
  <c r="B75" i="42"/>
  <c r="F74" i="42"/>
  <c r="D74" i="42"/>
  <c r="B74" i="42"/>
  <c r="C74" i="42" s="1"/>
  <c r="K73" i="42"/>
  <c r="G73" i="42" a="1"/>
  <c r="G73" i="42" s="1"/>
  <c r="H73" i="42" s="1"/>
  <c r="F73" i="42"/>
  <c r="C73" i="42"/>
  <c r="D73" i="42" s="1"/>
  <c r="K73" i="42" s="1" a="1"/>
  <c r="B73" i="42"/>
  <c r="F72" i="42"/>
  <c r="D72" i="42"/>
  <c r="B72" i="42"/>
  <c r="C72" i="42" s="1"/>
  <c r="S71" i="42" a="1"/>
  <c r="S71" i="42" s="1"/>
  <c r="F71" i="42"/>
  <c r="B71" i="42"/>
  <c r="C71" i="42" s="1"/>
  <c r="F70" i="42"/>
  <c r="B70" i="42"/>
  <c r="C70" i="42" s="1"/>
  <c r="F69" i="42"/>
  <c r="D69" i="42"/>
  <c r="B69" i="42"/>
  <c r="C69" i="42" s="1"/>
  <c r="F68" i="42"/>
  <c r="D68" i="42"/>
  <c r="B68" i="42"/>
  <c r="C68" i="42" s="1"/>
  <c r="K67" i="42" a="1"/>
  <c r="K67" i="42" s="1"/>
  <c r="F67" i="42"/>
  <c r="E67" i="42"/>
  <c r="L67" i="42" s="1" a="1"/>
  <c r="L67" i="42" s="1"/>
  <c r="C67" i="42"/>
  <c r="D67" i="42" s="1"/>
  <c r="B67" i="42"/>
  <c r="T66" i="42"/>
  <c r="G66" i="42" a="1"/>
  <c r="G66" i="42" s="1"/>
  <c r="H66" i="42" s="1"/>
  <c r="F66" i="42"/>
  <c r="C66" i="42"/>
  <c r="B66" i="42"/>
  <c r="L65" i="42" a="1"/>
  <c r="L65" i="42" s="1"/>
  <c r="K65" i="42" a="1"/>
  <c r="K65" i="42" s="1"/>
  <c r="G65" i="42" a="1"/>
  <c r="G65" i="42" s="1"/>
  <c r="H65" i="42" s="1"/>
  <c r="F65" i="42"/>
  <c r="E65" i="42"/>
  <c r="C65" i="42"/>
  <c r="D65" i="42" s="1"/>
  <c r="B65" i="42"/>
  <c r="T64" i="42"/>
  <c r="F64" i="42"/>
  <c r="G64" i="42" s="1" a="1"/>
  <c r="G64" i="42" s="1"/>
  <c r="H64" i="42" s="1"/>
  <c r="C64" i="42"/>
  <c r="B64" i="42"/>
  <c r="G63" i="42" a="1"/>
  <c r="G63" i="42" s="1"/>
  <c r="H63" i="42" s="1"/>
  <c r="F63" i="42"/>
  <c r="C63" i="42"/>
  <c r="D63" i="42" s="1"/>
  <c r="K63" i="42" s="1" a="1"/>
  <c r="K63" i="42" s="1"/>
  <c r="B63" i="42"/>
  <c r="T62" i="42"/>
  <c r="G62" i="42" a="1"/>
  <c r="G62" i="42" s="1"/>
  <c r="H62" i="42" s="1"/>
  <c r="F62" i="42"/>
  <c r="C62" i="42"/>
  <c r="B62" i="42"/>
  <c r="F61" i="42"/>
  <c r="E61" i="42"/>
  <c r="C61" i="42"/>
  <c r="B61" i="42"/>
  <c r="F60" i="42"/>
  <c r="E60" i="42"/>
  <c r="C60" i="42"/>
  <c r="D60" i="42" s="1"/>
  <c r="L60" i="42" s="1" a="1"/>
  <c r="L60" i="42" s="1"/>
  <c r="B60" i="42"/>
  <c r="T59" i="42"/>
  <c r="T69" i="42" s="1"/>
  <c r="F59" i="42"/>
  <c r="E59" i="42"/>
  <c r="D59" i="42"/>
  <c r="B59" i="42"/>
  <c r="C59" i="42" s="1"/>
  <c r="G59" i="42" s="1" a="1"/>
  <c r="G59" i="42" s="1"/>
  <c r="H59" i="42" s="1"/>
  <c r="F58" i="42"/>
  <c r="B58" i="42"/>
  <c r="C58" i="42" s="1"/>
  <c r="F57" i="42"/>
  <c r="C57" i="42"/>
  <c r="B57" i="42"/>
  <c r="F56" i="42"/>
  <c r="B56" i="42"/>
  <c r="C56" i="42" s="1"/>
  <c r="K55" i="42" a="1"/>
  <c r="K55" i="42" s="1"/>
  <c r="G55" i="42" a="1"/>
  <c r="G55" i="42" s="1"/>
  <c r="H55" i="42" s="1"/>
  <c r="F55" i="42"/>
  <c r="E55" i="42"/>
  <c r="C55" i="42"/>
  <c r="D55" i="42" s="1"/>
  <c r="B55" i="42"/>
  <c r="F54" i="42"/>
  <c r="C54" i="42"/>
  <c r="B54" i="42"/>
  <c r="L53" i="42" a="1"/>
  <c r="L53" i="42" s="1"/>
  <c r="G53" i="42" a="1"/>
  <c r="G53" i="42" s="1"/>
  <c r="H53" i="42" s="1"/>
  <c r="F53" i="42"/>
  <c r="E53" i="42"/>
  <c r="C53" i="42"/>
  <c r="D53" i="42" s="1"/>
  <c r="K53" i="42" s="1" a="1"/>
  <c r="K53" i="42" s="1"/>
  <c r="B53" i="42"/>
  <c r="F52" i="42"/>
  <c r="C52" i="42"/>
  <c r="B52" i="42"/>
  <c r="F51" i="42"/>
  <c r="E51" i="42"/>
  <c r="C51" i="42"/>
  <c r="B51" i="42"/>
  <c r="F50" i="42"/>
  <c r="D50" i="42"/>
  <c r="B50" i="42"/>
  <c r="C50" i="42" s="1"/>
  <c r="G49" i="42" a="1"/>
  <c r="G49" i="42" s="1"/>
  <c r="H49" i="42" s="1"/>
  <c r="F49" i="42"/>
  <c r="C49" i="42"/>
  <c r="B49" i="42"/>
  <c r="F48" i="42"/>
  <c r="B48" i="42"/>
  <c r="C48" i="42" s="1"/>
  <c r="F47" i="42"/>
  <c r="B47" i="42"/>
  <c r="C47" i="42" s="1"/>
  <c r="F46" i="42"/>
  <c r="D46" i="42"/>
  <c r="B46" i="42"/>
  <c r="C46" i="42" s="1"/>
  <c r="F45" i="42"/>
  <c r="C45" i="42"/>
  <c r="B45" i="42"/>
  <c r="G44" i="42" a="1"/>
  <c r="G44" i="42" s="1"/>
  <c r="H44" i="42" s="1"/>
  <c r="F44" i="42"/>
  <c r="D44" i="42"/>
  <c r="L44" i="42" s="1" a="1"/>
  <c r="L44" i="42" s="1"/>
  <c r="B44" i="42"/>
  <c r="C44" i="42" s="1"/>
  <c r="F43" i="42"/>
  <c r="B43" i="42"/>
  <c r="C43" i="42" s="1"/>
  <c r="F42" i="42"/>
  <c r="G42" i="42" s="1" a="1"/>
  <c r="G42" i="42" s="1"/>
  <c r="H42" i="42" s="1"/>
  <c r="E42" i="42"/>
  <c r="D42" i="42"/>
  <c r="C42" i="42"/>
  <c r="B42" i="42"/>
  <c r="K41" i="42" a="1"/>
  <c r="K41" i="42" s="1"/>
  <c r="G41" i="42" a="1"/>
  <c r="G41" i="42" s="1"/>
  <c r="H41" i="42" s="1"/>
  <c r="F41" i="42"/>
  <c r="D41" i="42"/>
  <c r="L41" i="42" s="1" a="1"/>
  <c r="L41" i="42" s="1"/>
  <c r="C41" i="42"/>
  <c r="E41" i="42" s="1"/>
  <c r="B41" i="42"/>
  <c r="F40" i="42"/>
  <c r="C40" i="42"/>
  <c r="B40" i="42"/>
  <c r="F39" i="42"/>
  <c r="B39" i="42"/>
  <c r="C39" i="42" s="1"/>
  <c r="F38" i="42"/>
  <c r="B38" i="42"/>
  <c r="C38" i="42" s="1"/>
  <c r="G37" i="42" a="1"/>
  <c r="G37" i="42" s="1"/>
  <c r="H37" i="42" s="1"/>
  <c r="F37" i="42"/>
  <c r="E37" i="42"/>
  <c r="D37" i="42"/>
  <c r="L37" i="42" s="1" a="1"/>
  <c r="L37" i="42" s="1"/>
  <c r="C37" i="42"/>
  <c r="B37" i="42"/>
  <c r="F36" i="42"/>
  <c r="E36" i="42"/>
  <c r="B36" i="42"/>
  <c r="C36" i="42" s="1"/>
  <c r="F35" i="42"/>
  <c r="C35" i="42"/>
  <c r="B35" i="42"/>
  <c r="G34" i="42" a="1"/>
  <c r="G34" i="42" s="1"/>
  <c r="H34" i="42" s="1"/>
  <c r="F34" i="42"/>
  <c r="B34" i="42"/>
  <c r="C34" i="42" s="1"/>
  <c r="T33" i="42" a="1"/>
  <c r="T33" i="42" s="1"/>
  <c r="T45" i="42" s="1" a="1"/>
  <c r="T45" i="42" s="1"/>
  <c r="P33" i="42" a="1"/>
  <c r="P33" i="42" s="1"/>
  <c r="R33" i="42" s="1" a="1"/>
  <c r="R33" i="42" s="1"/>
  <c r="F33" i="42"/>
  <c r="B33" i="42"/>
  <c r="C33" i="42" s="1"/>
  <c r="F32" i="42"/>
  <c r="B32" i="42"/>
  <c r="C32" i="42" s="1"/>
  <c r="L31" i="42" a="1"/>
  <c r="L31" i="42" s="1"/>
  <c r="K31" i="42" a="1"/>
  <c r="K31" i="42" s="1"/>
  <c r="F31" i="42"/>
  <c r="G31" i="42" s="1" a="1"/>
  <c r="G31" i="42" s="1"/>
  <c r="H31" i="42" s="1"/>
  <c r="E31" i="42"/>
  <c r="D31" i="42"/>
  <c r="C31" i="42"/>
  <c r="B31" i="42"/>
  <c r="F30" i="42"/>
  <c r="B30" i="42"/>
  <c r="C30" i="42" s="1"/>
  <c r="G30" i="42" s="1" a="1"/>
  <c r="G30" i="42" s="1"/>
  <c r="H30" i="42" s="1"/>
  <c r="F29" i="42"/>
  <c r="G29" i="42" s="1" a="1"/>
  <c r="G29" i="42" s="1"/>
  <c r="H29" i="42" s="1"/>
  <c r="E29" i="42"/>
  <c r="B29" i="42"/>
  <c r="C29" i="42" s="1"/>
  <c r="K28" i="42"/>
  <c r="F28" i="42"/>
  <c r="D28" i="42"/>
  <c r="K28" i="42" s="1" a="1"/>
  <c r="B28" i="42"/>
  <c r="C28" i="42" s="1"/>
  <c r="G27" i="42" a="1"/>
  <c r="G27" i="42" s="1"/>
  <c r="H27" i="42" s="1"/>
  <c r="F27" i="42"/>
  <c r="E27" i="42"/>
  <c r="D27" i="42"/>
  <c r="L27" i="42" s="1" a="1"/>
  <c r="L27" i="42" s="1"/>
  <c r="C27" i="42"/>
  <c r="B27" i="42"/>
  <c r="F26" i="42"/>
  <c r="C26" i="42"/>
  <c r="E26" i="42" s="1"/>
  <c r="B26" i="42"/>
  <c r="F25" i="42"/>
  <c r="C25" i="42"/>
  <c r="G25" i="42" s="1" a="1"/>
  <c r="G25" i="42" s="1"/>
  <c r="H25" i="42" s="1"/>
  <c r="B25" i="42"/>
  <c r="K24" i="42" a="1"/>
  <c r="K24" i="42" s="1"/>
  <c r="F24" i="42"/>
  <c r="E24" i="42"/>
  <c r="D24" i="42"/>
  <c r="L24" i="42" s="1" a="1"/>
  <c r="L24" i="42" s="1"/>
  <c r="C24" i="42"/>
  <c r="G24" i="42" s="1" a="1"/>
  <c r="G24" i="42" s="1"/>
  <c r="H24" i="42" s="1"/>
  <c r="B24" i="42"/>
  <c r="K23" i="42" a="1"/>
  <c r="K23" i="42" s="1"/>
  <c r="F23" i="42"/>
  <c r="G23" i="42" s="1" a="1"/>
  <c r="G23" i="42" s="1"/>
  <c r="H23" i="42" s="1"/>
  <c r="E23" i="42"/>
  <c r="D23" i="42"/>
  <c r="L23" i="42" s="1" a="1"/>
  <c r="L23" i="42" s="1"/>
  <c r="C23" i="42"/>
  <c r="B23" i="42"/>
  <c r="F22" i="42"/>
  <c r="B22" i="42"/>
  <c r="C22" i="42" s="1"/>
  <c r="F21" i="42"/>
  <c r="B21" i="42"/>
  <c r="C21" i="42" s="1"/>
  <c r="F20" i="42"/>
  <c r="B20" i="42"/>
  <c r="C20" i="42" s="1"/>
  <c r="V19" i="42"/>
  <c r="V20" i="42" s="1" a="1"/>
  <c r="V20" i="42" s="1"/>
  <c r="F19" i="42"/>
  <c r="C19" i="42"/>
  <c r="G19" i="42" s="1" a="1"/>
  <c r="G19" i="42" s="1"/>
  <c r="H19" i="42" s="1"/>
  <c r="B19" i="42"/>
  <c r="F18" i="42"/>
  <c r="B18" i="42"/>
  <c r="C18" i="42" s="1"/>
  <c r="F17" i="42"/>
  <c r="C17" i="42"/>
  <c r="G17" i="42" s="1" a="1"/>
  <c r="G17" i="42" s="1"/>
  <c r="H17" i="42" s="1"/>
  <c r="B17" i="42"/>
  <c r="F16" i="42"/>
  <c r="C16" i="42"/>
  <c r="D16" i="42" s="1"/>
  <c r="B16" i="42"/>
  <c r="G15" i="42" a="1"/>
  <c r="G15" i="42" s="1"/>
  <c r="H15" i="42" s="1"/>
  <c r="F15" i="42"/>
  <c r="C15" i="42"/>
  <c r="B15" i="42"/>
  <c r="F14" i="42"/>
  <c r="G14" i="42" s="1" a="1"/>
  <c r="G14" i="42" s="1"/>
  <c r="H14" i="42" s="1"/>
  <c r="B14" i="42"/>
  <c r="C14" i="42" s="1"/>
  <c r="D14" i="42" s="1"/>
  <c r="F13" i="42"/>
  <c r="E13" i="42"/>
  <c r="C13" i="42"/>
  <c r="D13" i="42" s="1"/>
  <c r="B13" i="42"/>
  <c r="F12" i="42"/>
  <c r="E12" i="42"/>
  <c r="D12" i="42"/>
  <c r="L12" i="42" s="1" a="1"/>
  <c r="L12" i="42" s="1"/>
  <c r="C12" i="42"/>
  <c r="G12" i="42" s="1" a="1"/>
  <c r="G12" i="42" s="1"/>
  <c r="H12" i="42" s="1"/>
  <c r="B12" i="42"/>
  <c r="F11" i="42"/>
  <c r="C11" i="42"/>
  <c r="G11" i="42" s="1" a="1"/>
  <c r="G11" i="42" s="1"/>
  <c r="H11" i="42" s="1"/>
  <c r="B11" i="42"/>
  <c r="K10" i="42" a="1"/>
  <c r="K10" i="42" s="1"/>
  <c r="F10" i="42"/>
  <c r="E10" i="42"/>
  <c r="D10" i="42"/>
  <c r="L10" i="42" s="1" a="1"/>
  <c r="L10" i="42" s="1"/>
  <c r="C10" i="42"/>
  <c r="G10" i="42" s="1" a="1"/>
  <c r="G10" i="42" s="1"/>
  <c r="H10" i="42" s="1"/>
  <c r="B10" i="42"/>
  <c r="K9" i="42" a="1"/>
  <c r="K9" i="42" s="1"/>
  <c r="F9" i="42"/>
  <c r="B9" i="42"/>
  <c r="C9" i="42" s="1"/>
  <c r="D9" i="42" s="1"/>
  <c r="L9" i="42" s="1" a="1"/>
  <c r="L9" i="42" s="1"/>
  <c r="F8" i="42"/>
  <c r="B8" i="42"/>
  <c r="C8" i="42" s="1"/>
  <c r="Y7" i="42"/>
  <c r="K7" i="42"/>
  <c r="F7" i="42"/>
  <c r="D7" i="42"/>
  <c r="K7" i="42" s="1" a="1"/>
  <c r="C7" i="42"/>
  <c r="G7" i="42" s="1" a="1"/>
  <c r="G7" i="42" s="1"/>
  <c r="H7" i="42" s="1"/>
  <c r="B7" i="42"/>
  <c r="F6" i="42"/>
  <c r="B6" i="42"/>
  <c r="C6" i="42" s="1"/>
  <c r="D4" i="42"/>
  <c r="G61" i="43" l="1" a="1"/>
  <c r="G61" i="43" s="1"/>
  <c r="H61" i="43" s="1"/>
  <c r="E61" i="43"/>
  <c r="D78" i="43"/>
  <c r="G78" i="43" a="1"/>
  <c r="G78" i="43" s="1"/>
  <c r="H78" i="43" s="1"/>
  <c r="D79" i="43"/>
  <c r="G79" i="43" a="1"/>
  <c r="G79" i="43" s="1"/>
  <c r="H79" i="43" s="1"/>
  <c r="E59" i="43"/>
  <c r="L59" i="43" s="1" a="1"/>
  <c r="L59" i="43" s="1"/>
  <c r="E24" i="43"/>
  <c r="G59" i="43" a="1"/>
  <c r="G59" i="43" s="1"/>
  <c r="H59" i="43" s="1"/>
  <c r="G41" i="43" a="1"/>
  <c r="G41" i="43" s="1"/>
  <c r="H41" i="43" s="1"/>
  <c r="L24" i="43" a="1"/>
  <c r="L24" i="43" s="1"/>
  <c r="G68" i="43" a="1"/>
  <c r="G68" i="43" s="1"/>
  <c r="H68" i="43" s="1"/>
  <c r="D68" i="43"/>
  <c r="D29" i="43"/>
  <c r="L29" i="43" s="1" a="1"/>
  <c r="L29" i="43" s="1"/>
  <c r="E29" i="43"/>
  <c r="G29" i="43" a="1"/>
  <c r="G29" i="43" s="1"/>
  <c r="H29" i="43" s="1"/>
  <c r="E16" i="43"/>
  <c r="L16" i="43" s="1" a="1"/>
  <c r="L16" i="43" s="1"/>
  <c r="G16" i="43" a="1"/>
  <c r="G16" i="43" s="1"/>
  <c r="H16" i="43" s="1"/>
  <c r="D16" i="43"/>
  <c r="K16" i="43" s="1" a="1"/>
  <c r="K16" i="43" s="1"/>
  <c r="G67" i="43" a="1"/>
  <c r="G67" i="43" s="1"/>
  <c r="H67" i="43" s="1"/>
  <c r="E67" i="43"/>
  <c r="D67" i="43"/>
  <c r="G84" i="43" a="1"/>
  <c r="G84" i="43" s="1"/>
  <c r="H84" i="43" s="1"/>
  <c r="D84" i="43"/>
  <c r="G30" i="43" a="1"/>
  <c r="G30" i="43" s="1"/>
  <c r="H30" i="43" s="1"/>
  <c r="E30" i="43"/>
  <c r="D30" i="43"/>
  <c r="G12" i="43" a="1"/>
  <c r="G12" i="43" s="1"/>
  <c r="H12" i="43" s="1"/>
  <c r="D12" i="43"/>
  <c r="E12" i="43"/>
  <c r="G23" i="43" a="1"/>
  <c r="G23" i="43" s="1"/>
  <c r="H23" i="43" s="1"/>
  <c r="D23" i="43"/>
  <c r="K23" i="43" s="1" a="1"/>
  <c r="K23" i="43" s="1"/>
  <c r="G56" i="43" a="1"/>
  <c r="G56" i="43" s="1"/>
  <c r="H56" i="43" s="1"/>
  <c r="D56" i="43"/>
  <c r="G65" i="43" a="1"/>
  <c r="G65" i="43" s="1"/>
  <c r="H65" i="43" s="1"/>
  <c r="E65" i="43"/>
  <c r="D65" i="43"/>
  <c r="D90" i="43"/>
  <c r="G90" i="43" a="1"/>
  <c r="G90" i="43" s="1"/>
  <c r="H90" i="43" s="1"/>
  <c r="E90" i="43"/>
  <c r="D91" i="43"/>
  <c r="L91" i="43" s="1" a="1"/>
  <c r="L91" i="43" s="1"/>
  <c r="G91" i="43" a="1"/>
  <c r="G91" i="43" s="1"/>
  <c r="H91" i="43" s="1"/>
  <c r="E91" i="43"/>
  <c r="G72" i="43" a="1"/>
  <c r="G72" i="43" s="1"/>
  <c r="H72" i="43" s="1"/>
  <c r="D72" i="43"/>
  <c r="K72" i="43" s="1" a="1"/>
  <c r="K72" i="43" s="1"/>
  <c r="G47" i="43" a="1"/>
  <c r="G47" i="43" s="1"/>
  <c r="H47" i="43" s="1"/>
  <c r="E47" i="43"/>
  <c r="D47" i="43"/>
  <c r="G52" i="43" a="1"/>
  <c r="G52" i="43" s="1"/>
  <c r="H52" i="43" s="1"/>
  <c r="D52" i="43"/>
  <c r="K52" i="43" s="1" a="1"/>
  <c r="K52" i="43" s="1"/>
  <c r="G70" i="43" a="1"/>
  <c r="G70" i="43" s="1"/>
  <c r="H70" i="43" s="1"/>
  <c r="D70" i="43"/>
  <c r="K70" i="43" s="1" a="1"/>
  <c r="K70" i="43" s="1"/>
  <c r="G83" i="43" a="1"/>
  <c r="G83" i="43" s="1"/>
  <c r="H83" i="43" s="1"/>
  <c r="D83" i="43"/>
  <c r="D10" i="43"/>
  <c r="E10" i="43"/>
  <c r="E8" i="43"/>
  <c r="L8" i="43" s="1" a="1"/>
  <c r="L8" i="43" s="1"/>
  <c r="D45" i="43"/>
  <c r="E78" i="43"/>
  <c r="D42" i="43"/>
  <c r="K42" i="43" s="1" a="1"/>
  <c r="K42" i="43" s="1"/>
  <c r="D55" i="43"/>
  <c r="K55" i="43" s="1" a="1"/>
  <c r="K55" i="43" s="1"/>
  <c r="D63" i="43"/>
  <c r="K8" i="43" a="1"/>
  <c r="K8" i="43" s="1"/>
  <c r="E40" i="43"/>
  <c r="E55" i="43"/>
  <c r="L55" i="43" s="1" a="1"/>
  <c r="L55" i="43" s="1"/>
  <c r="E63" i="43"/>
  <c r="D61" i="43"/>
  <c r="K61" i="43" s="1" a="1"/>
  <c r="K61" i="43" s="1"/>
  <c r="E79" i="43"/>
  <c r="D41" i="43"/>
  <c r="G13" i="43" a="1"/>
  <c r="G13" i="43" s="1"/>
  <c r="H13" i="43" s="1"/>
  <c r="G20" i="43" a="1"/>
  <c r="G20" i="43" s="1"/>
  <c r="H20" i="43" s="1"/>
  <c r="E20" i="43"/>
  <c r="D20" i="43"/>
  <c r="J2" i="43"/>
  <c r="E6" i="43"/>
  <c r="D6" i="43"/>
  <c r="G6" i="43" a="1"/>
  <c r="G6" i="43" s="1"/>
  <c r="D7" i="43"/>
  <c r="G7" i="43" a="1"/>
  <c r="G7" i="43" s="1"/>
  <c r="H7" i="43" s="1"/>
  <c r="E7" i="43"/>
  <c r="G18" i="43" a="1"/>
  <c r="G18" i="43" s="1"/>
  <c r="H18" i="43" s="1"/>
  <c r="E18" i="43"/>
  <c r="D18" i="43"/>
  <c r="D9" i="43"/>
  <c r="D13" i="43"/>
  <c r="E15" i="43"/>
  <c r="D15" i="43"/>
  <c r="G25" i="43" a="1"/>
  <c r="G25" i="43" s="1"/>
  <c r="H25" i="43" s="1"/>
  <c r="E25" i="43"/>
  <c r="D25" i="43"/>
  <c r="L30" i="43" a="1"/>
  <c r="L30" i="43" s="1"/>
  <c r="K30" i="43" a="1"/>
  <c r="K30" i="43" s="1"/>
  <c r="D35" i="43"/>
  <c r="G35" i="43" a="1"/>
  <c r="G35" i="43" s="1"/>
  <c r="H35" i="43" s="1"/>
  <c r="E35" i="43"/>
  <c r="G44" i="43" a="1"/>
  <c r="G44" i="43" s="1"/>
  <c r="H44" i="43" s="1"/>
  <c r="E44" i="43"/>
  <c r="D44" i="43"/>
  <c r="G46" i="43" a="1"/>
  <c r="G46" i="43" s="1"/>
  <c r="H46" i="43" s="1"/>
  <c r="D46" i="43"/>
  <c r="E60" i="43"/>
  <c r="D60" i="43"/>
  <c r="G60" i="43" a="1"/>
  <c r="G60" i="43" s="1"/>
  <c r="H60" i="43" s="1"/>
  <c r="E32" i="43"/>
  <c r="G32" i="43" a="1"/>
  <c r="G32" i="43" s="1"/>
  <c r="H32" i="43" s="1"/>
  <c r="G48" i="43" a="1"/>
  <c r="G48" i="43" s="1"/>
  <c r="H48" i="43" s="1"/>
  <c r="E48" i="43"/>
  <c r="D48" i="43"/>
  <c r="D32" i="43"/>
  <c r="E38" i="43"/>
  <c r="L38" i="43" s="1" a="1"/>
  <c r="L38" i="43" s="1"/>
  <c r="G38" i="43" a="1"/>
  <c r="G38" i="43" s="1"/>
  <c r="H38" i="43" s="1"/>
  <c r="K38" i="43" a="1"/>
  <c r="K38" i="43" s="1"/>
  <c r="D11" i="43"/>
  <c r="E13" i="43"/>
  <c r="D22" i="43"/>
  <c r="G28" i="43" a="1"/>
  <c r="G28" i="43" s="1"/>
  <c r="H28" i="43" s="1"/>
  <c r="D28" i="43"/>
  <c r="G36" i="43" a="1"/>
  <c r="G36" i="43" s="1"/>
  <c r="H36" i="43" s="1"/>
  <c r="E36" i="43"/>
  <c r="D36" i="43"/>
  <c r="E21" i="43"/>
  <c r="E22" i="43"/>
  <c r="L61" i="43" a="1"/>
  <c r="L61" i="43" s="1"/>
  <c r="E14" i="43"/>
  <c r="L14" i="43" s="1" a="1"/>
  <c r="L14" i="43" s="1"/>
  <c r="G17" i="43" a="1"/>
  <c r="G17" i="43" s="1"/>
  <c r="H17" i="43" s="1"/>
  <c r="D17" i="43"/>
  <c r="G19" i="43" a="1"/>
  <c r="G19" i="43" s="1"/>
  <c r="H19" i="43" s="1"/>
  <c r="D19" i="43"/>
  <c r="D21" i="43"/>
  <c r="D27" i="43"/>
  <c r="E31" i="43"/>
  <c r="D31" i="43"/>
  <c r="E34" i="43"/>
  <c r="D34" i="43"/>
  <c r="G54" i="43" a="1"/>
  <c r="G54" i="43" s="1"/>
  <c r="H54" i="43" s="1"/>
  <c r="D54" i="43"/>
  <c r="E54" i="43"/>
  <c r="E11" i="43"/>
  <c r="E17" i="43"/>
  <c r="E19" i="43"/>
  <c r="K24" i="43" a="1"/>
  <c r="K24" i="43" s="1"/>
  <c r="E27" i="43"/>
  <c r="E39" i="43"/>
  <c r="D39" i="43"/>
  <c r="D43" i="43"/>
  <c r="G43" i="43" a="1"/>
  <c r="G43" i="43" s="1"/>
  <c r="H43" i="43" s="1"/>
  <c r="L47" i="43" a="1"/>
  <c r="L47" i="43" s="1"/>
  <c r="K47" i="43" a="1"/>
  <c r="K47" i="43" s="1"/>
  <c r="L78" i="43" a="1"/>
  <c r="L78" i="43" s="1"/>
  <c r="K78" i="43" a="1"/>
  <c r="K78" i="43" s="1"/>
  <c r="K14" i="43" a="1"/>
  <c r="K14" i="43" s="1"/>
  <c r="G14" i="43" a="1"/>
  <c r="G14" i="43" s="1"/>
  <c r="H14" i="43" s="1"/>
  <c r="G21" i="43" a="1"/>
  <c r="G21" i="43" s="1"/>
  <c r="H21" i="43" s="1"/>
  <c r="G26" i="43" a="1"/>
  <c r="G26" i="43" s="1"/>
  <c r="H26" i="43" s="1"/>
  <c r="E26" i="43"/>
  <c r="D26" i="43"/>
  <c r="D33" i="43"/>
  <c r="G34" i="43" a="1"/>
  <c r="G34" i="43" s="1"/>
  <c r="H34" i="43" s="1"/>
  <c r="E43" i="43"/>
  <c r="E33" i="43"/>
  <c r="D37" i="43"/>
  <c r="G39" i="43" a="1"/>
  <c r="G39" i="43" s="1"/>
  <c r="H39" i="43" s="1"/>
  <c r="G66" i="43" a="1"/>
  <c r="G66" i="43" s="1"/>
  <c r="H66" i="43" s="1"/>
  <c r="E66" i="43"/>
  <c r="D66" i="43"/>
  <c r="G89" i="43" a="1"/>
  <c r="G89" i="43" s="1"/>
  <c r="H89" i="43" s="1"/>
  <c r="E89" i="43"/>
  <c r="D89" i="43"/>
  <c r="G76" i="43" a="1"/>
  <c r="G76" i="43" s="1"/>
  <c r="H76" i="43" s="1"/>
  <c r="E76" i="43"/>
  <c r="D76" i="43"/>
  <c r="L68" i="43" a="1"/>
  <c r="L68" i="43" s="1"/>
  <c r="K68" i="43" a="1"/>
  <c r="K68" i="43" s="1"/>
  <c r="L70" i="43" a="1"/>
  <c r="L70" i="43" s="1"/>
  <c r="E53" i="43"/>
  <c r="D53" i="43"/>
  <c r="E58" i="43"/>
  <c r="D58" i="43"/>
  <c r="G58" i="43" a="1"/>
  <c r="G58" i="43" s="1"/>
  <c r="H58" i="43" s="1"/>
  <c r="L63" i="43" a="1"/>
  <c r="L63" i="43" s="1"/>
  <c r="K63" i="43" a="1"/>
  <c r="K63" i="43" s="1"/>
  <c r="L72" i="43" a="1"/>
  <c r="L72" i="43" s="1"/>
  <c r="L83" i="43" a="1"/>
  <c r="L83" i="43" s="1"/>
  <c r="K83" i="43" a="1"/>
  <c r="K83" i="43" s="1"/>
  <c r="G85" i="43" a="1"/>
  <c r="G85" i="43" s="1"/>
  <c r="H85" i="43" s="1"/>
  <c r="E23" i="43"/>
  <c r="L23" i="43" s="1" a="1"/>
  <c r="L23" i="43" s="1"/>
  <c r="K29" i="43" a="1"/>
  <c r="K29" i="43" s="1"/>
  <c r="D40" i="43"/>
  <c r="E52" i="43"/>
  <c r="L52" i="43" s="1" a="1"/>
  <c r="L52" i="43" s="1"/>
  <c r="G53" i="43" a="1"/>
  <c r="G53" i="43" s="1"/>
  <c r="H53" i="43" s="1"/>
  <c r="L65" i="43" a="1"/>
  <c r="L65" i="43" s="1"/>
  <c r="K65" i="43" a="1"/>
  <c r="K65" i="43" s="1"/>
  <c r="L90" i="43" a="1"/>
  <c r="L90" i="43" s="1"/>
  <c r="K90" i="43" a="1"/>
  <c r="K90" i="43" s="1"/>
  <c r="G77" i="43" a="1"/>
  <c r="G77" i="43" s="1"/>
  <c r="H77" i="43" s="1"/>
  <c r="E77" i="43"/>
  <c r="D77" i="43"/>
  <c r="L79" i="43" a="1"/>
  <c r="L79" i="43" s="1"/>
  <c r="K79" i="43" a="1"/>
  <c r="K79" i="43" s="1"/>
  <c r="E81" i="43"/>
  <c r="D81" i="43"/>
  <c r="E45" i="43"/>
  <c r="G50" i="43" a="1"/>
  <c r="G50" i="43" s="1"/>
  <c r="H50" i="43" s="1"/>
  <c r="D51" i="43"/>
  <c r="G51" i="43" a="1"/>
  <c r="G51" i="43" s="1"/>
  <c r="H51" i="43" s="1"/>
  <c r="E57" i="43"/>
  <c r="L57" i="43" s="1" a="1"/>
  <c r="L57" i="43" s="1"/>
  <c r="K59" i="43" a="1"/>
  <c r="K59" i="43" s="1"/>
  <c r="G62" i="43" a="1"/>
  <c r="G62" i="43" s="1"/>
  <c r="H62" i="43" s="1"/>
  <c r="E62" i="43"/>
  <c r="D62" i="43"/>
  <c r="L67" i="43" a="1"/>
  <c r="L67" i="43" s="1"/>
  <c r="K67" i="43" a="1"/>
  <c r="K67" i="43" s="1"/>
  <c r="G69" i="43" a="1"/>
  <c r="G69" i="43" s="1"/>
  <c r="H69" i="43" s="1"/>
  <c r="D69" i="43"/>
  <c r="G88" i="43" a="1"/>
  <c r="G88" i="43" s="1"/>
  <c r="H88" i="43" s="1"/>
  <c r="E88" i="43"/>
  <c r="D88" i="43"/>
  <c r="E69" i="43"/>
  <c r="G81" i="43" a="1"/>
  <c r="G81" i="43" s="1"/>
  <c r="H81" i="43" s="1"/>
  <c r="E50" i="43"/>
  <c r="L50" i="43" s="1" a="1"/>
  <c r="L50" i="43" s="1"/>
  <c r="L56" i="43" a="1"/>
  <c r="L56" i="43" s="1"/>
  <c r="K56" i="43" a="1"/>
  <c r="K56" i="43" s="1"/>
  <c r="G57" i="43" a="1"/>
  <c r="G57" i="43" s="1"/>
  <c r="H57" i="43" s="1"/>
  <c r="E42" i="43"/>
  <c r="L42" i="43" s="1" a="1"/>
  <c r="L42" i="43" s="1"/>
  <c r="E49" i="43"/>
  <c r="D49" i="43"/>
  <c r="G64" i="43" a="1"/>
  <c r="G64" i="43" s="1"/>
  <c r="H64" i="43" s="1"/>
  <c r="E64" i="43"/>
  <c r="D64" i="43"/>
  <c r="G73" i="43" a="1"/>
  <c r="G73" i="43" s="1"/>
  <c r="H73" i="43" s="1"/>
  <c r="G82" i="43" a="1"/>
  <c r="G82" i="43" s="1"/>
  <c r="H82" i="43" s="1"/>
  <c r="E82" i="43"/>
  <c r="D82" i="43"/>
  <c r="L84" i="43" a="1"/>
  <c r="L84" i="43" s="1"/>
  <c r="K84" i="43" a="1"/>
  <c r="K84" i="43" s="1"/>
  <c r="E56" i="43"/>
  <c r="E68" i="43"/>
  <c r="E70" i="43"/>
  <c r="E72" i="43"/>
  <c r="G74" i="43" a="1"/>
  <c r="G74" i="43" s="1"/>
  <c r="H74" i="43" s="1"/>
  <c r="E84" i="43"/>
  <c r="G86" i="43" a="1"/>
  <c r="G86" i="43" s="1"/>
  <c r="H86" i="43" s="1"/>
  <c r="T68" i="43"/>
  <c r="D75" i="43"/>
  <c r="D87" i="43"/>
  <c r="T64" i="43"/>
  <c r="T66" i="43"/>
  <c r="E75" i="43"/>
  <c r="D80" i="43"/>
  <c r="E87" i="43"/>
  <c r="D92" i="43"/>
  <c r="D71" i="43"/>
  <c r="D73" i="43"/>
  <c r="E80" i="43"/>
  <c r="D85" i="43"/>
  <c r="E92" i="43"/>
  <c r="E71" i="43"/>
  <c r="E73" i="43"/>
  <c r="E85" i="43"/>
  <c r="E83" i="43"/>
  <c r="T69" i="43"/>
  <c r="D93" i="43"/>
  <c r="T61" i="43"/>
  <c r="T63" i="43"/>
  <c r="U60" i="43" s="1" a="1"/>
  <c r="U60" i="43" s="1"/>
  <c r="V60" i="43" s="1" a="1"/>
  <c r="V60" i="43" s="1"/>
  <c r="D74" i="43"/>
  <c r="D86" i="43"/>
  <c r="E93" i="43"/>
  <c r="E74" i="43"/>
  <c r="E86" i="43"/>
  <c r="T11" i="42" a="1"/>
  <c r="T11" i="42" s="1"/>
  <c r="K13" i="42" a="1"/>
  <c r="K13" i="42" s="1"/>
  <c r="L13" i="42" a="1"/>
  <c r="L13" i="42" s="1"/>
  <c r="G47" i="42" a="1"/>
  <c r="G47" i="42" s="1"/>
  <c r="H47" i="42" s="1"/>
  <c r="E47" i="42"/>
  <c r="D47" i="42"/>
  <c r="E6" i="42"/>
  <c r="J2" i="42"/>
  <c r="G35" i="42" s="1" a="1"/>
  <c r="G35" i="42" s="1"/>
  <c r="H35" i="42" s="1"/>
  <c r="D6" i="42"/>
  <c r="G6" i="42" a="1"/>
  <c r="G6" i="42" s="1"/>
  <c r="E21" i="42"/>
  <c r="G21" i="42" a="1"/>
  <c r="G21" i="42" s="1"/>
  <c r="H21" i="42" s="1"/>
  <c r="D21" i="42"/>
  <c r="G22" i="42" a="1"/>
  <c r="G22" i="42" s="1"/>
  <c r="H22" i="42" s="1"/>
  <c r="E22" i="42"/>
  <c r="D22" i="42"/>
  <c r="G18" i="42" a="1"/>
  <c r="G18" i="42" s="1"/>
  <c r="H18" i="42" s="1"/>
  <c r="D18" i="42"/>
  <c r="E18" i="42"/>
  <c r="E32" i="42"/>
  <c r="G32" i="42" a="1"/>
  <c r="G32" i="42" s="1"/>
  <c r="H32" i="42" s="1"/>
  <c r="D32" i="42"/>
  <c r="G20" i="42" a="1"/>
  <c r="G20" i="42" s="1"/>
  <c r="H20" i="42" s="1"/>
  <c r="E20" i="42"/>
  <c r="D20" i="42"/>
  <c r="E8" i="42"/>
  <c r="D8" i="42"/>
  <c r="K16" i="42" a="1"/>
  <c r="K16" i="42" s="1"/>
  <c r="L16" i="42" a="1"/>
  <c r="L16" i="42" s="1"/>
  <c r="E49" i="42"/>
  <c r="D49" i="42"/>
  <c r="D57" i="42"/>
  <c r="E57" i="42"/>
  <c r="L68" i="42" a="1"/>
  <c r="L68" i="42" s="1"/>
  <c r="K68" i="42" a="1"/>
  <c r="K68" i="42" s="1"/>
  <c r="L14" i="42" a="1"/>
  <c r="L14" i="42" s="1"/>
  <c r="K12" i="42" a="1"/>
  <c r="K12" i="42" s="1"/>
  <c r="E14" i="42"/>
  <c r="L55" i="42" a="1"/>
  <c r="L55" i="42" s="1"/>
  <c r="E70" i="42"/>
  <c r="G70" i="42" a="1"/>
  <c r="G70" i="42" s="1"/>
  <c r="H70" i="42" s="1"/>
  <c r="D70" i="42"/>
  <c r="E85" i="42"/>
  <c r="D85" i="42"/>
  <c r="G85" i="42" a="1"/>
  <c r="G85" i="42" s="1"/>
  <c r="H85" i="42" s="1"/>
  <c r="D39" i="42"/>
  <c r="E39" i="42"/>
  <c r="E45" i="42"/>
  <c r="D45" i="42"/>
  <c r="E11" i="42"/>
  <c r="L42" i="42" a="1"/>
  <c r="L42" i="42" s="1"/>
  <c r="K42" i="42" a="1"/>
  <c r="K42" i="42" s="1"/>
  <c r="G26" i="42" a="1"/>
  <c r="G26" i="42" s="1"/>
  <c r="H26" i="42" s="1"/>
  <c r="D30" i="42"/>
  <c r="K50" i="42" a="1"/>
  <c r="K50" i="42" s="1"/>
  <c r="L76" i="42" a="1"/>
  <c r="L76" i="42" s="1"/>
  <c r="K76" i="42" a="1"/>
  <c r="K76" i="42" s="1"/>
  <c r="D35" i="42"/>
  <c r="E38" i="42"/>
  <c r="G38" i="42" a="1"/>
  <c r="G38" i="42" s="1"/>
  <c r="H38" i="42" s="1"/>
  <c r="G54" i="42" a="1"/>
  <c r="G54" i="42" s="1"/>
  <c r="H54" i="42" s="1"/>
  <c r="D54" i="42"/>
  <c r="E54" i="42"/>
  <c r="E56" i="42"/>
  <c r="D56" i="42"/>
  <c r="G56" i="42" a="1"/>
  <c r="G56" i="42" s="1"/>
  <c r="H56" i="42" s="1"/>
  <c r="E9" i="42"/>
  <c r="E16" i="42"/>
  <c r="D17" i="42"/>
  <c r="D19" i="42"/>
  <c r="K27" i="42" a="1"/>
  <c r="K27" i="42" s="1"/>
  <c r="D29" i="42"/>
  <c r="E35" i="42"/>
  <c r="D38" i="42"/>
  <c r="E46" i="42"/>
  <c r="G46" i="42" a="1"/>
  <c r="G46" i="42" s="1"/>
  <c r="H46" i="42" s="1"/>
  <c r="G48" i="42" a="1"/>
  <c r="G48" i="42" s="1"/>
  <c r="H48" i="42" s="1"/>
  <c r="E48" i="42"/>
  <c r="D48" i="42"/>
  <c r="E15" i="42"/>
  <c r="D15" i="42"/>
  <c r="D26" i="42"/>
  <c r="E30" i="42"/>
  <c r="G9" i="42" a="1"/>
  <c r="G9" i="42" s="1"/>
  <c r="H9" i="42" s="1"/>
  <c r="E17" i="42"/>
  <c r="E19" i="42"/>
  <c r="G40" i="42" a="1"/>
  <c r="G40" i="42" s="1"/>
  <c r="H40" i="42" s="1"/>
  <c r="E40" i="42"/>
  <c r="L46" i="42" a="1"/>
  <c r="L46" i="42" s="1"/>
  <c r="K46" i="42" a="1"/>
  <c r="K46" i="42" s="1"/>
  <c r="L59" i="42" a="1"/>
  <c r="L59" i="42" s="1"/>
  <c r="K59" i="42" a="1"/>
  <c r="K59" i="42" s="1"/>
  <c r="L72" i="42" a="1"/>
  <c r="L72" i="42" s="1"/>
  <c r="K72" i="42" a="1"/>
  <c r="K72" i="42" s="1"/>
  <c r="E77" i="42"/>
  <c r="D77" i="42"/>
  <c r="G77" i="42" a="1"/>
  <c r="G77" i="42" s="1"/>
  <c r="H77" i="42" s="1"/>
  <c r="G39" i="42" a="1"/>
  <c r="G39" i="42" s="1"/>
  <c r="H39" i="42" s="1"/>
  <c r="D71" i="42"/>
  <c r="E71" i="42"/>
  <c r="G71" i="42" a="1"/>
  <c r="G71" i="42" s="1"/>
  <c r="H71" i="42" s="1"/>
  <c r="L28" i="42" a="1"/>
  <c r="L28" i="42" s="1"/>
  <c r="G16" i="42" a="1"/>
  <c r="G16" i="42" s="1"/>
  <c r="H16" i="42" s="1"/>
  <c r="D33" i="42"/>
  <c r="G33" i="42" a="1"/>
  <c r="G33" i="42" s="1"/>
  <c r="H33" i="42" s="1"/>
  <c r="E34" i="42"/>
  <c r="D34" i="42"/>
  <c r="D40" i="42"/>
  <c r="D43" i="42"/>
  <c r="G43" i="42" a="1"/>
  <c r="G43" i="42" s="1"/>
  <c r="H43" i="42" s="1"/>
  <c r="D61" i="42"/>
  <c r="G61" i="42" a="1"/>
  <c r="G61" i="42" s="1"/>
  <c r="H61" i="42" s="1"/>
  <c r="D11" i="42"/>
  <c r="G45" i="42" a="1"/>
  <c r="G45" i="42" s="1"/>
  <c r="H45" i="42" s="1"/>
  <c r="E25" i="42"/>
  <c r="D25" i="42"/>
  <c r="K14" i="42" a="1"/>
  <c r="K14" i="42" s="1"/>
  <c r="E7" i="42"/>
  <c r="L7" i="42" s="1" a="1"/>
  <c r="L7" i="42" s="1"/>
  <c r="E28" i="42"/>
  <c r="G28" i="42" a="1"/>
  <c r="G28" i="42" s="1"/>
  <c r="H28" i="42" s="1"/>
  <c r="E33" i="42"/>
  <c r="E43" i="42"/>
  <c r="K44" i="42" a="1"/>
  <c r="K44" i="42" s="1"/>
  <c r="G80" i="42" a="1"/>
  <c r="G80" i="42" s="1"/>
  <c r="H80" i="42" s="1"/>
  <c r="E80" i="42"/>
  <c r="D80" i="42"/>
  <c r="E44" i="42"/>
  <c r="T60" i="42"/>
  <c r="E64" i="42"/>
  <c r="D64" i="42"/>
  <c r="T68" i="42"/>
  <c r="G52" i="42" a="1"/>
  <c r="G52" i="42" s="1"/>
  <c r="H52" i="42" s="1"/>
  <c r="E52" i="42"/>
  <c r="T61" i="42"/>
  <c r="D51" i="42"/>
  <c r="G51" i="42" a="1"/>
  <c r="G51" i="42" s="1"/>
  <c r="H51" i="42" s="1"/>
  <c r="D52" i="42"/>
  <c r="E63" i="42"/>
  <c r="L63" i="42" s="1" a="1"/>
  <c r="L63" i="42" s="1"/>
  <c r="G69" i="42" a="1"/>
  <c r="G69" i="42" s="1"/>
  <c r="H69" i="42" s="1"/>
  <c r="E69" i="42"/>
  <c r="E74" i="42"/>
  <c r="G74" i="42" a="1"/>
  <c r="G74" i="42" s="1"/>
  <c r="H74" i="42" s="1"/>
  <c r="D79" i="42"/>
  <c r="G79" i="42" a="1"/>
  <c r="G79" i="42" s="1"/>
  <c r="H79" i="42" s="1"/>
  <c r="L91" i="42" a="1"/>
  <c r="L91" i="42" s="1"/>
  <c r="K91" i="42" a="1"/>
  <c r="K91" i="42" s="1"/>
  <c r="G50" i="42" a="1"/>
  <c r="G50" i="42" s="1"/>
  <c r="H50" i="42" s="1"/>
  <c r="E50" i="42"/>
  <c r="L50" i="42" s="1" a="1"/>
  <c r="L50" i="42" s="1"/>
  <c r="E62" i="42"/>
  <c r="D62" i="42"/>
  <c r="L69" i="42" a="1"/>
  <c r="L69" i="42" s="1"/>
  <c r="L74" i="42" a="1"/>
  <c r="L74" i="42" s="1"/>
  <c r="K74" i="42" a="1"/>
  <c r="K74" i="42" s="1"/>
  <c r="E68" i="42"/>
  <c r="G78" i="42" a="1"/>
  <c r="G78" i="42" s="1"/>
  <c r="H78" i="42" s="1"/>
  <c r="E78" i="42"/>
  <c r="G82" i="42" a="1"/>
  <c r="G82" i="42" s="1"/>
  <c r="H82" i="42" s="1"/>
  <c r="D82" i="42"/>
  <c r="E82" i="42"/>
  <c r="G36" i="42" a="1"/>
  <c r="G36" i="42" s="1"/>
  <c r="H36" i="42" s="1"/>
  <c r="K37" i="42" a="1"/>
  <c r="K37" i="42" s="1"/>
  <c r="E58" i="42"/>
  <c r="G58" i="42" a="1"/>
  <c r="G58" i="42" s="1"/>
  <c r="H58" i="42" s="1"/>
  <c r="G60" i="42" a="1"/>
  <c r="G60" i="42" s="1"/>
  <c r="H60" i="42" s="1"/>
  <c r="E73" i="42"/>
  <c r="L73" i="42" s="1" a="1"/>
  <c r="L73" i="42" s="1"/>
  <c r="G89" i="42" a="1"/>
  <c r="G89" i="42" s="1"/>
  <c r="H89" i="42" s="1"/>
  <c r="E89" i="42"/>
  <c r="D89" i="42"/>
  <c r="D36" i="42"/>
  <c r="D58" i="42"/>
  <c r="T65" i="42"/>
  <c r="G68" i="42" a="1"/>
  <c r="G68" i="42" s="1"/>
  <c r="H68" i="42" s="1"/>
  <c r="K69" i="42" a="1"/>
  <c r="K69" i="42" s="1"/>
  <c r="E72" i="42"/>
  <c r="K75" i="42" a="1"/>
  <c r="K75" i="42" s="1"/>
  <c r="E84" i="42"/>
  <c r="K60" i="42" a="1"/>
  <c r="K60" i="42" s="1"/>
  <c r="E66" i="42"/>
  <c r="D66" i="42"/>
  <c r="K78" i="42" a="1"/>
  <c r="K78" i="42" s="1"/>
  <c r="E81" i="42"/>
  <c r="D84" i="42"/>
  <c r="T63" i="42"/>
  <c r="G67" i="42" a="1"/>
  <c r="G67" i="42" s="1"/>
  <c r="H67" i="42" s="1"/>
  <c r="G72" i="42" a="1"/>
  <c r="G72" i="42" s="1"/>
  <c r="H72" i="42" s="1"/>
  <c r="G76" i="42" a="1"/>
  <c r="G76" i="42" s="1"/>
  <c r="H76" i="42" s="1"/>
  <c r="E76" i="42"/>
  <c r="E86" i="42"/>
  <c r="D86" i="42"/>
  <c r="G86" i="42" a="1"/>
  <c r="G86" i="42" s="1"/>
  <c r="H86" i="42" s="1"/>
  <c r="G93" i="42" a="1"/>
  <c r="G93" i="42" s="1"/>
  <c r="H93" i="42" s="1"/>
  <c r="G91" i="42" a="1"/>
  <c r="G91" i="42" s="1"/>
  <c r="H91" i="42" s="1"/>
  <c r="D92" i="42"/>
  <c r="K88" i="42" a="1"/>
  <c r="K88" i="42" s="1"/>
  <c r="E92" i="42"/>
  <c r="D90" i="42"/>
  <c r="D83" i="42"/>
  <c r="E90" i="42"/>
  <c r="E88" i="42"/>
  <c r="D93" i="42"/>
  <c r="E93" i="42"/>
  <c r="L45" i="43" l="1" a="1"/>
  <c r="L45" i="43" s="1"/>
  <c r="L41" i="43" a="1"/>
  <c r="L41" i="43" s="1"/>
  <c r="K41" i="43" a="1"/>
  <c r="K41" i="43" s="1"/>
  <c r="L10" i="43" a="1"/>
  <c r="L10" i="43" s="1"/>
  <c r="K10" i="43" a="1"/>
  <c r="K10" i="43" s="1"/>
  <c r="K45" i="43" a="1"/>
  <c r="K45" i="43" s="1"/>
  <c r="L12" i="43" a="1"/>
  <c r="L12" i="43" s="1"/>
  <c r="K12" i="43" a="1"/>
  <c r="K12" i="43" s="1"/>
  <c r="K91" i="43" a="1"/>
  <c r="K91" i="43" s="1"/>
  <c r="L92" i="43" a="1"/>
  <c r="L92" i="43" s="1"/>
  <c r="K92" i="43" a="1"/>
  <c r="K92" i="43" s="1"/>
  <c r="L75" i="43" a="1"/>
  <c r="L75" i="43" s="1"/>
  <c r="K75" i="43" a="1"/>
  <c r="K75" i="43" s="1"/>
  <c r="K82" i="43" a="1"/>
  <c r="K82" i="43" s="1"/>
  <c r="L82" i="43" a="1"/>
  <c r="L82" i="43" s="1"/>
  <c r="L49" i="43" a="1"/>
  <c r="L49" i="43" s="1"/>
  <c r="K49" i="43" a="1"/>
  <c r="K49" i="43" s="1"/>
  <c r="L21" i="43" a="1"/>
  <c r="L21" i="43" s="1"/>
  <c r="K21" i="43" a="1"/>
  <c r="K21" i="43" s="1"/>
  <c r="L35" i="43" a="1"/>
  <c r="L35" i="43" s="1"/>
  <c r="K35" i="43" a="1"/>
  <c r="K35" i="43" s="1"/>
  <c r="L93" i="43" a="1"/>
  <c r="L93" i="43" s="1"/>
  <c r="K93" i="43" a="1"/>
  <c r="K93" i="43" s="1"/>
  <c r="L85" i="43" a="1"/>
  <c r="L85" i="43" s="1"/>
  <c r="K85" i="43" a="1"/>
  <c r="K85" i="43" s="1"/>
  <c r="L87" i="43" a="1"/>
  <c r="L87" i="43" s="1"/>
  <c r="K87" i="43" a="1"/>
  <c r="K87" i="43" s="1"/>
  <c r="L40" i="43" a="1"/>
  <c r="L40" i="43" s="1"/>
  <c r="K40" i="43" a="1"/>
  <c r="K40" i="43" s="1"/>
  <c r="K89" i="43" a="1"/>
  <c r="K89" i="43" s="1"/>
  <c r="L89" i="43" a="1"/>
  <c r="L89" i="43" s="1"/>
  <c r="L26" i="43" a="1"/>
  <c r="L26" i="43" s="1"/>
  <c r="K26" i="43" a="1"/>
  <c r="K26" i="43" s="1"/>
  <c r="L73" i="43" a="1"/>
  <c r="L73" i="43" s="1"/>
  <c r="K73" i="43" a="1"/>
  <c r="K73" i="43" s="1"/>
  <c r="L37" i="43" a="1"/>
  <c r="L37" i="43" s="1"/>
  <c r="K37" i="43" a="1"/>
  <c r="K37" i="43" s="1"/>
  <c r="K19" i="43" a="1"/>
  <c r="K19" i="43" s="1"/>
  <c r="L19" i="43" a="1"/>
  <c r="L19" i="43" s="1"/>
  <c r="K13" i="43" a="1"/>
  <c r="K13" i="43" s="1"/>
  <c r="L13" i="43" a="1"/>
  <c r="L13" i="43" s="1"/>
  <c r="K62" i="43" a="1"/>
  <c r="K62" i="43" s="1"/>
  <c r="L62" i="43" a="1"/>
  <c r="L62" i="43" s="1"/>
  <c r="L36" i="43" a="1"/>
  <c r="L36" i="43" s="1"/>
  <c r="K36" i="43" a="1"/>
  <c r="K36" i="43" s="1"/>
  <c r="K44" i="43" a="1"/>
  <c r="K44" i="43" s="1"/>
  <c r="L44" i="43" a="1"/>
  <c r="L44" i="43" s="1"/>
  <c r="L9" i="43" a="1"/>
  <c r="L9" i="43" s="1"/>
  <c r="K9" i="43" a="1"/>
  <c r="K9" i="43" s="1"/>
  <c r="K20" i="43" a="1"/>
  <c r="K20" i="43" s="1"/>
  <c r="L20" i="43" a="1"/>
  <c r="L20" i="43" s="1"/>
  <c r="K54" i="43" a="1"/>
  <c r="K54" i="43" s="1"/>
  <c r="L54" i="43" a="1"/>
  <c r="L54" i="43" s="1"/>
  <c r="K17" i="43" a="1"/>
  <c r="K17" i="43" s="1"/>
  <c r="L17" i="43" a="1"/>
  <c r="L17" i="43" s="1"/>
  <c r="L25" i="43" a="1"/>
  <c r="L25" i="43" s="1"/>
  <c r="K25" i="43" a="1"/>
  <c r="K25" i="43" s="1"/>
  <c r="K66" i="43" a="1"/>
  <c r="K66" i="43" s="1"/>
  <c r="L66" i="43" a="1"/>
  <c r="L66" i="43" s="1"/>
  <c r="L18" i="43" a="1"/>
  <c r="L18" i="43" s="1"/>
  <c r="K18" i="43" a="1"/>
  <c r="K18" i="43" s="1"/>
  <c r="L80" i="43" a="1"/>
  <c r="L80" i="43" s="1"/>
  <c r="K80" i="43" a="1"/>
  <c r="K80" i="43" s="1"/>
  <c r="K88" i="43" a="1"/>
  <c r="K88" i="43" s="1"/>
  <c r="L88" i="43" a="1"/>
  <c r="L88" i="43" s="1"/>
  <c r="K76" i="43" a="1"/>
  <c r="K76" i="43" s="1"/>
  <c r="L76" i="43" a="1"/>
  <c r="L76" i="43" s="1"/>
  <c r="K39" i="43" a="1"/>
  <c r="K39" i="43" s="1"/>
  <c r="L39" i="43" a="1"/>
  <c r="L39" i="43" s="1"/>
  <c r="K34" i="43" a="1"/>
  <c r="K34" i="43" s="1"/>
  <c r="L34" i="43" a="1"/>
  <c r="L34" i="43" s="1"/>
  <c r="L28" i="43" a="1"/>
  <c r="L28" i="43" s="1"/>
  <c r="K28" i="43" a="1"/>
  <c r="K28" i="43" s="1"/>
  <c r="K60" i="43" a="1"/>
  <c r="K60" i="43" s="1"/>
  <c r="L60" i="43" a="1"/>
  <c r="L60" i="43" s="1"/>
  <c r="L71" i="43" a="1"/>
  <c r="L71" i="43" s="1"/>
  <c r="K71" i="43" a="1"/>
  <c r="K71" i="43" s="1"/>
  <c r="L58" i="43" a="1"/>
  <c r="L58" i="43" s="1"/>
  <c r="K58" i="43" a="1"/>
  <c r="K58" i="43" s="1"/>
  <c r="K32" i="43" a="1"/>
  <c r="K32" i="43" s="1"/>
  <c r="L32" i="43" a="1"/>
  <c r="L32" i="43" s="1"/>
  <c r="H6" i="43"/>
  <c r="L86" i="43" a="1"/>
  <c r="L86" i="43" s="1"/>
  <c r="K86" i="43" a="1"/>
  <c r="K86" i="43" s="1"/>
  <c r="L74" i="43" a="1"/>
  <c r="L74" i="43" s="1"/>
  <c r="K74" i="43" a="1"/>
  <c r="K74" i="43" s="1"/>
  <c r="K64" i="43" a="1"/>
  <c r="K64" i="43" s="1"/>
  <c r="L64" i="43" a="1"/>
  <c r="L64" i="43" s="1"/>
  <c r="K77" i="43" a="1"/>
  <c r="K77" i="43" s="1"/>
  <c r="L77" i="43" a="1"/>
  <c r="L77" i="43" s="1"/>
  <c r="L31" i="43" a="1"/>
  <c r="L31" i="43" s="1"/>
  <c r="K31" i="43" a="1"/>
  <c r="K31" i="43" s="1"/>
  <c r="O6" i="43" a="1"/>
  <c r="L6" i="43" a="1"/>
  <c r="L6" i="43" s="1"/>
  <c r="K6" i="43" a="1"/>
  <c r="K6" i="43" s="1"/>
  <c r="L22" i="43" a="1"/>
  <c r="L22" i="43" s="1"/>
  <c r="K22" i="43" a="1"/>
  <c r="K22" i="43" s="1"/>
  <c r="L69" i="43" a="1"/>
  <c r="L69" i="43" s="1"/>
  <c r="K69" i="43" a="1"/>
  <c r="K69" i="43" s="1"/>
  <c r="L51" i="43" a="1"/>
  <c r="L51" i="43" s="1"/>
  <c r="K51" i="43" a="1"/>
  <c r="K51" i="43" s="1"/>
  <c r="L53" i="43" a="1"/>
  <c r="L53" i="43" s="1"/>
  <c r="K53" i="43" a="1"/>
  <c r="K53" i="43" s="1"/>
  <c r="L33" i="43" a="1"/>
  <c r="L33" i="43" s="1"/>
  <c r="K33" i="43" a="1"/>
  <c r="K33" i="43" s="1"/>
  <c r="K48" i="43" a="1"/>
  <c r="K48" i="43" s="1"/>
  <c r="L48" i="43" a="1"/>
  <c r="L48" i="43" s="1"/>
  <c r="K15" i="43" a="1"/>
  <c r="K15" i="43" s="1"/>
  <c r="L15" i="43" a="1"/>
  <c r="L15" i="43" s="1"/>
  <c r="L81" i="43" a="1"/>
  <c r="L81" i="43" s="1"/>
  <c r="K81" i="43" a="1"/>
  <c r="K81" i="43" s="1"/>
  <c r="L43" i="43" a="1"/>
  <c r="L43" i="43" s="1"/>
  <c r="K43" i="43" a="1"/>
  <c r="K43" i="43" s="1"/>
  <c r="L27" i="43" a="1"/>
  <c r="L27" i="43" s="1"/>
  <c r="K27" i="43" a="1"/>
  <c r="K27" i="43" s="1"/>
  <c r="K11" i="43" a="1"/>
  <c r="K11" i="43" s="1"/>
  <c r="L11" i="43" a="1"/>
  <c r="L11" i="43" s="1"/>
  <c r="L46" i="43" a="1"/>
  <c r="L46" i="43" s="1"/>
  <c r="K46" i="43" a="1"/>
  <c r="K46" i="43" s="1"/>
  <c r="K7" i="43" a="1"/>
  <c r="K7" i="43" s="1"/>
  <c r="L7" i="43" a="1"/>
  <c r="L7" i="43" s="1"/>
  <c r="G8" i="43" a="1"/>
  <c r="G8" i="43" s="1"/>
  <c r="H8" i="43" s="1"/>
  <c r="K79" i="42" a="1"/>
  <c r="K79" i="42" s="1"/>
  <c r="L79" i="42" a="1"/>
  <c r="L79" i="42" s="1"/>
  <c r="K15" i="42" a="1"/>
  <c r="K15" i="42" s="1"/>
  <c r="L15" i="42" a="1"/>
  <c r="L15" i="42" s="1"/>
  <c r="H6" i="42"/>
  <c r="L51" i="42" a="1"/>
  <c r="L51" i="42" s="1"/>
  <c r="K51" i="42" a="1"/>
  <c r="K51" i="42" s="1"/>
  <c r="U60" i="42" a="1"/>
  <c r="U60" i="42" s="1"/>
  <c r="V60" i="42" s="1" a="1"/>
  <c r="V60" i="42" s="1"/>
  <c r="K11" i="42" a="1"/>
  <c r="K11" i="42" s="1"/>
  <c r="L11" i="42" a="1"/>
  <c r="L11" i="42" s="1"/>
  <c r="L77" i="42" a="1"/>
  <c r="L77" i="42" s="1"/>
  <c r="K77" i="42" a="1"/>
  <c r="K77" i="42" s="1"/>
  <c r="L30" i="42" a="1"/>
  <c r="L30" i="42" s="1"/>
  <c r="K30" i="42" a="1"/>
  <c r="K30" i="42" s="1"/>
  <c r="K85" i="42" a="1"/>
  <c r="K85" i="42" s="1"/>
  <c r="L85" i="42" a="1"/>
  <c r="L85" i="42" s="1"/>
  <c r="L49" i="42" a="1"/>
  <c r="L49" i="42" s="1"/>
  <c r="K49" i="42" a="1"/>
  <c r="K49" i="42" s="1"/>
  <c r="K20" i="42" a="1"/>
  <c r="K20" i="42" s="1"/>
  <c r="L20" i="42" a="1"/>
  <c r="L20" i="42" s="1"/>
  <c r="L92" i="42" a="1"/>
  <c r="L92" i="42" s="1"/>
  <c r="K92" i="42" a="1"/>
  <c r="K92" i="42" s="1"/>
  <c r="L93" i="42" a="1"/>
  <c r="L93" i="42" s="1"/>
  <c r="K93" i="42" a="1"/>
  <c r="K93" i="42" s="1"/>
  <c r="L58" i="42" a="1"/>
  <c r="L58" i="42" s="1"/>
  <c r="K58" i="42" a="1"/>
  <c r="K58" i="42" s="1"/>
  <c r="L47" i="42" a="1"/>
  <c r="L47" i="42" s="1"/>
  <c r="K47" i="42" a="1"/>
  <c r="K47" i="42" s="1"/>
  <c r="K25" i="42" a="1"/>
  <c r="K25" i="42" s="1"/>
  <c r="L25" i="42" a="1"/>
  <c r="L25" i="42" s="1"/>
  <c r="K80" i="42" a="1"/>
  <c r="K80" i="42" s="1"/>
  <c r="L80" i="42" a="1"/>
  <c r="L80" i="42" s="1"/>
  <c r="L29" i="42" a="1"/>
  <c r="L29" i="42" s="1"/>
  <c r="K29" i="42" a="1"/>
  <c r="K29" i="42" s="1"/>
  <c r="O6" i="42" a="1"/>
  <c r="K6" i="42" a="1"/>
  <c r="K6" i="42" s="1"/>
  <c r="L6" i="42" a="1"/>
  <c r="L6" i="42" s="1"/>
  <c r="L35" i="42" a="1"/>
  <c r="L35" i="42" s="1"/>
  <c r="K35" i="42" a="1"/>
  <c r="K35" i="42" s="1"/>
  <c r="L32" i="42" a="1"/>
  <c r="L32" i="42" s="1"/>
  <c r="K32" i="42" a="1"/>
  <c r="K32" i="42" s="1"/>
  <c r="K22" i="42" a="1"/>
  <c r="K22" i="42" s="1"/>
  <c r="L22" i="42" a="1"/>
  <c r="L22" i="42" s="1"/>
  <c r="G13" i="42" a="1"/>
  <c r="G13" i="42" s="1"/>
  <c r="H13" i="42" s="1"/>
  <c r="G57" i="42" a="1"/>
  <c r="G57" i="42" s="1"/>
  <c r="H57" i="42" s="1"/>
  <c r="L86" i="42" a="1"/>
  <c r="L86" i="42" s="1"/>
  <c r="K86" i="42" a="1"/>
  <c r="K86" i="42" s="1"/>
  <c r="L84" i="42" a="1"/>
  <c r="L84" i="42" s="1"/>
  <c r="K84" i="42" a="1"/>
  <c r="K84" i="42" s="1"/>
  <c r="K82" i="42" a="1"/>
  <c r="K82" i="42" s="1"/>
  <c r="L82" i="42" a="1"/>
  <c r="L82" i="42" s="1"/>
  <c r="K71" i="42" a="1"/>
  <c r="K71" i="42" s="1"/>
  <c r="L71" i="42" a="1"/>
  <c r="L71" i="42" s="1"/>
  <c r="L48" i="42" a="1"/>
  <c r="L48" i="42" s="1"/>
  <c r="K48" i="42" a="1"/>
  <c r="K48" i="42" s="1"/>
  <c r="K19" i="42" a="1"/>
  <c r="K19" i="42" s="1"/>
  <c r="L19" i="42" a="1"/>
  <c r="L19" i="42" s="1"/>
  <c r="L56" i="42" a="1"/>
  <c r="L56" i="42" s="1"/>
  <c r="K56" i="42" a="1"/>
  <c r="K56" i="42" s="1"/>
  <c r="K45" i="42" a="1"/>
  <c r="K45" i="42" s="1"/>
  <c r="L45" i="42" a="1"/>
  <c r="L45" i="42" s="1"/>
  <c r="L43" i="42" a="1"/>
  <c r="L43" i="42" s="1"/>
  <c r="K43" i="42" a="1"/>
  <c r="K43" i="42" s="1"/>
  <c r="K17" i="42" a="1"/>
  <c r="K17" i="42" s="1"/>
  <c r="L17" i="42" a="1"/>
  <c r="L17" i="42" s="1"/>
  <c r="G8" i="42" a="1"/>
  <c r="G8" i="42" s="1"/>
  <c r="H8" i="42" s="1"/>
  <c r="K26" i="42" a="1"/>
  <c r="K26" i="42" s="1"/>
  <c r="L26" i="42" a="1"/>
  <c r="L26" i="42" s="1"/>
  <c r="L70" i="42" a="1"/>
  <c r="L70" i="42" s="1"/>
  <c r="K70" i="42" a="1"/>
  <c r="K70" i="42" s="1"/>
  <c r="K89" i="42" a="1"/>
  <c r="K89" i="42" s="1"/>
  <c r="L89" i="42" a="1"/>
  <c r="L89" i="42" s="1"/>
  <c r="L83" i="42" a="1"/>
  <c r="L83" i="42" s="1"/>
  <c r="K83" i="42" a="1"/>
  <c r="K83" i="42" s="1"/>
  <c r="L64" i="42" a="1"/>
  <c r="L64" i="42" s="1"/>
  <c r="K64" i="42" a="1"/>
  <c r="K64" i="42" s="1"/>
  <c r="L40" i="42" a="1"/>
  <c r="L40" i="42" s="1"/>
  <c r="K40" i="42" a="1"/>
  <c r="K40" i="42" s="1"/>
  <c r="L8" i="42" a="1"/>
  <c r="L8" i="42" s="1"/>
  <c r="K8" i="42" a="1"/>
  <c r="K8" i="42" s="1"/>
  <c r="K33" i="42" a="1"/>
  <c r="K33" i="42" s="1"/>
  <c r="L33" i="42" a="1"/>
  <c r="L33" i="42" s="1"/>
  <c r="L38" i="42" a="1"/>
  <c r="L38" i="42" s="1"/>
  <c r="K38" i="42" a="1"/>
  <c r="K38" i="42" s="1"/>
  <c r="L36" i="42" a="1"/>
  <c r="L36" i="42" s="1"/>
  <c r="K36" i="42" a="1"/>
  <c r="K36" i="42" s="1"/>
  <c r="K61" i="42" a="1"/>
  <c r="K61" i="42" s="1"/>
  <c r="L61" i="42" a="1"/>
  <c r="L61" i="42" s="1"/>
  <c r="K18" i="42" a="1"/>
  <c r="K18" i="42" s="1"/>
  <c r="L18" i="42" a="1"/>
  <c r="L18" i="42" s="1"/>
  <c r="L90" i="42" a="1"/>
  <c r="L90" i="42" s="1"/>
  <c r="K90" i="42" a="1"/>
  <c r="K90" i="42" s="1"/>
  <c r="K52" i="42" a="1"/>
  <c r="K52" i="42" s="1"/>
  <c r="L52" i="42" a="1"/>
  <c r="L52" i="42" s="1"/>
  <c r="K34" i="42" a="1"/>
  <c r="K34" i="42" s="1"/>
  <c r="L34" i="42" a="1"/>
  <c r="L34" i="42" s="1"/>
  <c r="K39" i="42" a="1"/>
  <c r="K39" i="42" s="1"/>
  <c r="L39" i="42" a="1"/>
  <c r="L39" i="42" s="1"/>
  <c r="K21" i="42" a="1"/>
  <c r="K21" i="42" s="1"/>
  <c r="L21" i="42" a="1"/>
  <c r="L21" i="42" s="1"/>
  <c r="L62" i="42" a="1"/>
  <c r="L62" i="42" s="1"/>
  <c r="K62" i="42" a="1"/>
  <c r="K62" i="42" s="1"/>
  <c r="L66" i="42" a="1"/>
  <c r="L66" i="42" s="1"/>
  <c r="K66" i="42" a="1"/>
  <c r="K66" i="42" s="1"/>
  <c r="K54" i="42" a="1"/>
  <c r="K54" i="42" s="1"/>
  <c r="L54" i="42" a="1"/>
  <c r="L54" i="42" s="1"/>
  <c r="K57" i="42" a="1"/>
  <c r="K57" i="42" s="1"/>
  <c r="L57" i="42" a="1"/>
  <c r="L57" i="42" s="1"/>
  <c r="P10" i="43" l="1"/>
  <c r="Q10" i="43" s="1"/>
  <c r="P7" i="43"/>
  <c r="Q7" i="43" s="1"/>
  <c r="P12" i="43"/>
  <c r="Q12" i="43" s="1"/>
  <c r="P15" i="43"/>
  <c r="Q15" i="43" s="1"/>
  <c r="P13" i="43"/>
  <c r="P8" i="43"/>
  <c r="Q8" i="43" s="1"/>
  <c r="P14" i="43"/>
  <c r="Q14" i="43" s="1"/>
  <c r="P9" i="43"/>
  <c r="Q9" i="43" s="1"/>
  <c r="O6" i="43"/>
  <c r="P11" i="43"/>
  <c r="Q11" i="43" s="1"/>
  <c r="G3" i="43" a="1"/>
  <c r="G3" i="43" s="1"/>
  <c r="H3" i="43" a="1"/>
  <c r="H3" i="43" s="1"/>
  <c r="I8" i="43" s="1"/>
  <c r="J8" i="43" s="1" a="1"/>
  <c r="J8" i="43" s="1"/>
  <c r="P12" i="42"/>
  <c r="Q12" i="42" s="1"/>
  <c r="P10" i="42"/>
  <c r="Q10" i="42" s="1"/>
  <c r="P7" i="42"/>
  <c r="Q7" i="42" s="1"/>
  <c r="P15" i="42"/>
  <c r="Q15" i="42" s="1"/>
  <c r="P14" i="42"/>
  <c r="Q14" i="42" s="1"/>
  <c r="P13" i="42"/>
  <c r="P9" i="42"/>
  <c r="Q9" i="42" s="1"/>
  <c r="P11" i="42"/>
  <c r="Q11" i="42" s="1"/>
  <c r="P8" i="42"/>
  <c r="Q8" i="42" s="1"/>
  <c r="O6" i="42"/>
  <c r="G3" i="42" a="1"/>
  <c r="G3" i="42" s="1"/>
  <c r="H3" i="42" a="1"/>
  <c r="H3" i="42" s="1"/>
  <c r="I6" i="43" l="1"/>
  <c r="P6" i="43"/>
  <c r="I78" i="43"/>
  <c r="J78" i="43" s="1" a="1"/>
  <c r="J78" i="43" s="1"/>
  <c r="I10" i="43"/>
  <c r="J10" i="43" s="1" a="1"/>
  <c r="J10" i="43" s="1"/>
  <c r="I31" i="43"/>
  <c r="J31" i="43" s="1" a="1"/>
  <c r="J31" i="43" s="1"/>
  <c r="I70" i="43"/>
  <c r="J70" i="43" s="1" a="1"/>
  <c r="J70" i="43" s="1"/>
  <c r="I92" i="43"/>
  <c r="J92" i="43" s="1" a="1"/>
  <c r="J92" i="43" s="1"/>
  <c r="I30" i="43"/>
  <c r="J30" i="43" s="1" a="1"/>
  <c r="J30" i="43" s="1"/>
  <c r="I75" i="43"/>
  <c r="J75" i="43" s="1" a="1"/>
  <c r="J75" i="43" s="1"/>
  <c r="I41" i="43"/>
  <c r="J41" i="43" s="1" a="1"/>
  <c r="J41" i="43" s="1"/>
  <c r="I65" i="43"/>
  <c r="J65" i="43" s="1" a="1"/>
  <c r="J65" i="43" s="1"/>
  <c r="I52" i="43"/>
  <c r="J52" i="43" s="1" a="1"/>
  <c r="J52" i="43" s="1"/>
  <c r="I55" i="43"/>
  <c r="J55" i="43" s="1" a="1"/>
  <c r="J55" i="43" s="1"/>
  <c r="I23" i="43"/>
  <c r="J23" i="43" s="1" a="1"/>
  <c r="J23" i="43" s="1"/>
  <c r="I93" i="43"/>
  <c r="J93" i="43" s="1" a="1"/>
  <c r="J93" i="43" s="1"/>
  <c r="I16" i="43"/>
  <c r="J16" i="43" s="1" a="1"/>
  <c r="J16" i="43" s="1"/>
  <c r="I47" i="43"/>
  <c r="J47" i="43" s="1" a="1"/>
  <c r="J47" i="43" s="1"/>
  <c r="I42" i="43"/>
  <c r="J42" i="43" s="1" a="1"/>
  <c r="J42" i="43" s="1"/>
  <c r="I80" i="43"/>
  <c r="J80" i="43" s="1" a="1"/>
  <c r="J80" i="43" s="1"/>
  <c r="I67" i="43"/>
  <c r="J67" i="43" s="1" a="1"/>
  <c r="J67" i="43" s="1"/>
  <c r="I84" i="43"/>
  <c r="J84" i="43" s="1" a="1"/>
  <c r="J84" i="43" s="1"/>
  <c r="I15" i="43"/>
  <c r="J15" i="43" s="1" a="1"/>
  <c r="J15" i="43" s="1"/>
  <c r="I29" i="43"/>
  <c r="J29" i="43" s="1" a="1"/>
  <c r="J29" i="43" s="1"/>
  <c r="I22" i="43"/>
  <c r="J22" i="43" s="1" a="1"/>
  <c r="J22" i="43" s="1"/>
  <c r="I37" i="43"/>
  <c r="J37" i="43" s="1" a="1"/>
  <c r="J37" i="43" s="1"/>
  <c r="I24" i="43"/>
  <c r="J24" i="43" s="1" a="1"/>
  <c r="J24" i="43" s="1"/>
  <c r="I12" i="43"/>
  <c r="J12" i="43" s="1" a="1"/>
  <c r="J12" i="43" s="1"/>
  <c r="I40" i="43"/>
  <c r="J40" i="43" s="1" a="1"/>
  <c r="J40" i="43" s="1"/>
  <c r="I87" i="43"/>
  <c r="J87" i="43" s="1" a="1"/>
  <c r="J87" i="43" s="1"/>
  <c r="I90" i="43"/>
  <c r="J90" i="43" s="1" a="1"/>
  <c r="J90" i="43" s="1"/>
  <c r="I79" i="43"/>
  <c r="J79" i="43" s="1" a="1"/>
  <c r="J79" i="43" s="1"/>
  <c r="I33" i="43"/>
  <c r="J33" i="43" s="1" a="1"/>
  <c r="J33" i="43" s="1"/>
  <c r="I56" i="43"/>
  <c r="J56" i="43" s="1" a="1"/>
  <c r="J56" i="43" s="1"/>
  <c r="I49" i="43"/>
  <c r="J49" i="43" s="1" a="1"/>
  <c r="J49" i="43" s="1"/>
  <c r="I11" i="43"/>
  <c r="J11" i="43" s="1" a="1"/>
  <c r="J11" i="43" s="1"/>
  <c r="I59" i="43"/>
  <c r="J59" i="43" s="1" a="1"/>
  <c r="J59" i="43" s="1"/>
  <c r="I83" i="43"/>
  <c r="J83" i="43" s="1" a="1"/>
  <c r="J83" i="43" s="1"/>
  <c r="I9" i="43"/>
  <c r="J9" i="43" s="1" a="1"/>
  <c r="J9" i="43" s="1"/>
  <c r="I61" i="43"/>
  <c r="J61" i="43" s="1" a="1"/>
  <c r="J61" i="43" s="1"/>
  <c r="I91" i="43"/>
  <c r="J91" i="43" s="1" a="1"/>
  <c r="J91" i="43" s="1"/>
  <c r="I63" i="43"/>
  <c r="J63" i="43" s="1" a="1"/>
  <c r="J63" i="43" s="1"/>
  <c r="I71" i="43"/>
  <c r="J71" i="43" s="1" a="1"/>
  <c r="J71" i="43" s="1"/>
  <c r="I68" i="43"/>
  <c r="J68" i="43" s="1" a="1"/>
  <c r="J68" i="43" s="1"/>
  <c r="I72" i="43"/>
  <c r="J72" i="43" s="1" a="1"/>
  <c r="J72" i="43" s="1"/>
  <c r="I45" i="43"/>
  <c r="J45" i="43" s="1" a="1"/>
  <c r="J45" i="43" s="1"/>
  <c r="I27" i="43"/>
  <c r="J27" i="43" s="1" a="1"/>
  <c r="J27" i="43" s="1"/>
  <c r="I36" i="43"/>
  <c r="J36" i="43" s="1" a="1"/>
  <c r="J36" i="43" s="1"/>
  <c r="I18" i="43"/>
  <c r="J18" i="43" s="1" a="1"/>
  <c r="J18" i="43" s="1"/>
  <c r="I53" i="43"/>
  <c r="J53" i="43" s="1" a="1"/>
  <c r="J53" i="43" s="1"/>
  <c r="I50" i="43"/>
  <c r="J50" i="43" s="1" a="1"/>
  <c r="J50" i="43" s="1"/>
  <c r="I86" i="43"/>
  <c r="J86" i="43" s="1" a="1"/>
  <c r="J86" i="43" s="1"/>
  <c r="I38" i="43"/>
  <c r="J38" i="43" s="1" a="1"/>
  <c r="J38" i="43" s="1"/>
  <c r="I66" i="43"/>
  <c r="J66" i="43" s="1" a="1"/>
  <c r="J66" i="43" s="1"/>
  <c r="I7" i="43"/>
  <c r="J7" i="43" s="1" a="1"/>
  <c r="J7" i="43" s="1"/>
  <c r="I77" i="43"/>
  <c r="J77" i="43" s="1" a="1"/>
  <c r="J77" i="43" s="1"/>
  <c r="I51" i="43"/>
  <c r="J51" i="43" s="1" a="1"/>
  <c r="J51" i="43" s="1"/>
  <c r="I54" i="43"/>
  <c r="J54" i="43" s="1" a="1"/>
  <c r="J54" i="43" s="1"/>
  <c r="I89" i="43"/>
  <c r="J89" i="43" s="1" a="1"/>
  <c r="J89" i="43" s="1"/>
  <c r="I44" i="43"/>
  <c r="J44" i="43" s="1" a="1"/>
  <c r="J44" i="43" s="1"/>
  <c r="I34" i="43"/>
  <c r="J34" i="43" s="1" a="1"/>
  <c r="J34" i="43" s="1"/>
  <c r="I13" i="43"/>
  <c r="J13" i="43" s="1" a="1"/>
  <c r="J13" i="43" s="1"/>
  <c r="I26" i="43"/>
  <c r="J26" i="43" s="1" a="1"/>
  <c r="J26" i="43" s="1"/>
  <c r="I20" i="43"/>
  <c r="J20" i="43" s="1" a="1"/>
  <c r="J20" i="43" s="1"/>
  <c r="I58" i="43"/>
  <c r="J58" i="43" s="1" a="1"/>
  <c r="J58" i="43" s="1"/>
  <c r="I25" i="43"/>
  <c r="J25" i="43" s="1" a="1"/>
  <c r="J25" i="43" s="1"/>
  <c r="I73" i="43"/>
  <c r="J73" i="43" s="1" a="1"/>
  <c r="J73" i="43" s="1"/>
  <c r="I82" i="43"/>
  <c r="J82" i="43" s="1" a="1"/>
  <c r="J82" i="43" s="1"/>
  <c r="I19" i="43"/>
  <c r="J19" i="43" s="1" a="1"/>
  <c r="J19" i="43" s="1"/>
  <c r="I43" i="43"/>
  <c r="J43" i="43" s="1" a="1"/>
  <c r="J43" i="43" s="1"/>
  <c r="I74" i="43"/>
  <c r="J74" i="43" s="1" a="1"/>
  <c r="J74" i="43" s="1"/>
  <c r="I28" i="43"/>
  <c r="J28" i="43" s="1" a="1"/>
  <c r="J28" i="43" s="1"/>
  <c r="I76" i="43"/>
  <c r="J76" i="43" s="1" a="1"/>
  <c r="J76" i="43" s="1"/>
  <c r="I69" i="43"/>
  <c r="J69" i="43" s="1" a="1"/>
  <c r="J69" i="43" s="1"/>
  <c r="I14" i="43"/>
  <c r="J14" i="43" s="1" a="1"/>
  <c r="J14" i="43" s="1"/>
  <c r="I85" i="43"/>
  <c r="J85" i="43" s="1" a="1"/>
  <c r="J85" i="43" s="1"/>
  <c r="I35" i="43"/>
  <c r="J35" i="43" s="1" a="1"/>
  <c r="J35" i="43" s="1"/>
  <c r="I32" i="43"/>
  <c r="J32" i="43" s="1" a="1"/>
  <c r="J32" i="43" s="1"/>
  <c r="I21" i="43"/>
  <c r="J21" i="43" s="1" a="1"/>
  <c r="J21" i="43" s="1"/>
  <c r="I57" i="43"/>
  <c r="J57" i="43" s="1" a="1"/>
  <c r="J57" i="43" s="1"/>
  <c r="I62" i="43"/>
  <c r="J62" i="43" s="1" a="1"/>
  <c r="J62" i="43" s="1"/>
  <c r="I64" i="43"/>
  <c r="J64" i="43" s="1" a="1"/>
  <c r="J64" i="43" s="1"/>
  <c r="I39" i="43"/>
  <c r="J39" i="43" s="1" a="1"/>
  <c r="J39" i="43" s="1"/>
  <c r="I60" i="43"/>
  <c r="J60" i="43" s="1" a="1"/>
  <c r="J60" i="43" s="1"/>
  <c r="I81" i="43"/>
  <c r="J81" i="43" s="1" a="1"/>
  <c r="J81" i="43" s="1"/>
  <c r="I48" i="43"/>
  <c r="J48" i="43" s="1" a="1"/>
  <c r="J48" i="43" s="1"/>
  <c r="I88" i="43"/>
  <c r="J88" i="43" s="1" a="1"/>
  <c r="J88" i="43" s="1"/>
  <c r="I46" i="43"/>
  <c r="J46" i="43" s="1" a="1"/>
  <c r="J46" i="43" s="1"/>
  <c r="I17" i="43"/>
  <c r="J17" i="43" s="1" a="1"/>
  <c r="J17" i="43" s="1"/>
  <c r="I90" i="42"/>
  <c r="I30" i="42"/>
  <c r="I11" i="42"/>
  <c r="I15" i="42"/>
  <c r="I73" i="42"/>
  <c r="I17" i="42"/>
  <c r="I34" i="42"/>
  <c r="I23" i="42"/>
  <c r="I10" i="42"/>
  <c r="I55" i="42"/>
  <c r="I75" i="42"/>
  <c r="I92" i="42"/>
  <c r="I88" i="42"/>
  <c r="I62" i="42"/>
  <c r="I63" i="42"/>
  <c r="I59" i="42"/>
  <c r="I64" i="42"/>
  <c r="I49" i="42"/>
  <c r="I81" i="42"/>
  <c r="I44" i="42"/>
  <c r="I31" i="42"/>
  <c r="I53" i="42"/>
  <c r="I37" i="42"/>
  <c r="I65" i="42"/>
  <c r="I24" i="42"/>
  <c r="I29" i="42"/>
  <c r="I42" i="42"/>
  <c r="I12" i="42"/>
  <c r="I14" i="42"/>
  <c r="I19" i="42"/>
  <c r="I41" i="42"/>
  <c r="I25" i="42"/>
  <c r="I27" i="42"/>
  <c r="I83" i="42"/>
  <c r="I87" i="42"/>
  <c r="I7" i="42"/>
  <c r="I66" i="42"/>
  <c r="I84" i="42"/>
  <c r="I35" i="42"/>
  <c r="I22" i="42"/>
  <c r="I32" i="42"/>
  <c r="I40" i="42"/>
  <c r="I39" i="42"/>
  <c r="I89" i="42"/>
  <c r="I67" i="42"/>
  <c r="I47" i="42"/>
  <c r="I56" i="42"/>
  <c r="I68" i="42"/>
  <c r="I21" i="42"/>
  <c r="I18" i="42"/>
  <c r="I60" i="42"/>
  <c r="I78" i="42"/>
  <c r="I76" i="42"/>
  <c r="I38" i="42"/>
  <c r="I45" i="42"/>
  <c r="I93" i="42"/>
  <c r="I79" i="42"/>
  <c r="I80" i="42"/>
  <c r="I82" i="42"/>
  <c r="I52" i="42"/>
  <c r="I48" i="42"/>
  <c r="I85" i="42"/>
  <c r="I54" i="42"/>
  <c r="I16" i="42"/>
  <c r="I58" i="42"/>
  <c r="I72" i="42"/>
  <c r="I43" i="42"/>
  <c r="I61" i="42"/>
  <c r="I71" i="42"/>
  <c r="I36" i="42"/>
  <c r="I74" i="42"/>
  <c r="I91" i="42"/>
  <c r="I50" i="42"/>
  <c r="I26" i="42"/>
  <c r="I51" i="42"/>
  <c r="I77" i="42"/>
  <c r="I20" i="42"/>
  <c r="I46" i="42"/>
  <c r="I86" i="42"/>
  <c r="I28" i="42"/>
  <c r="I33" i="42"/>
  <c r="I70" i="42"/>
  <c r="I69" i="42"/>
  <c r="I9" i="42"/>
  <c r="P6" i="42"/>
  <c r="I13" i="42"/>
  <c r="I8" i="42"/>
  <c r="I57" i="42"/>
  <c r="I6" i="42"/>
  <c r="M6" i="42" l="1" a="1"/>
  <c r="M6" i="42" s="1"/>
  <c r="U6" i="42" a="1"/>
  <c r="U6" i="42" s="1"/>
  <c r="J58" i="42" a="1"/>
  <c r="J58" i="42" s="1"/>
  <c r="M58" i="42" a="1"/>
  <c r="M58" i="42" s="1"/>
  <c r="J14" i="42" a="1"/>
  <c r="J14" i="42" s="1"/>
  <c r="M14" i="42" a="1"/>
  <c r="M14" i="42" s="1"/>
  <c r="J64" i="42" a="1"/>
  <c r="J64" i="42" s="1"/>
  <c r="M64" i="42" a="1"/>
  <c r="M64" i="42" s="1"/>
  <c r="J73" i="42" a="1"/>
  <c r="J73" i="42" s="1"/>
  <c r="M73" i="42" a="1"/>
  <c r="M73" i="42" s="1"/>
  <c r="J77" i="42" a="1"/>
  <c r="J77" i="42" s="1"/>
  <c r="M77" i="42" a="1"/>
  <c r="M77" i="42" s="1"/>
  <c r="J28" i="42" a="1"/>
  <c r="J28" i="42" s="1"/>
  <c r="M28" i="42" a="1"/>
  <c r="M28" i="42" s="1"/>
  <c r="J61" i="42" a="1"/>
  <c r="J61" i="42" s="1"/>
  <c r="M61" i="42" a="1"/>
  <c r="M61" i="42" s="1"/>
  <c r="J93" i="42" a="1"/>
  <c r="J93" i="42" s="1"/>
  <c r="M93" i="42" a="1"/>
  <c r="M93" i="42" s="1"/>
  <c r="J89" i="42" a="1"/>
  <c r="J89" i="42" s="1"/>
  <c r="M89" i="42" a="1"/>
  <c r="M89" i="42" s="1"/>
  <c r="J25" i="42" a="1"/>
  <c r="J25" i="42" s="1"/>
  <c r="M25" i="42" a="1"/>
  <c r="M25" i="42" s="1"/>
  <c r="J44" i="42" a="1"/>
  <c r="J44" i="42" s="1"/>
  <c r="M44" i="42" a="1"/>
  <c r="M44" i="42" s="1"/>
  <c r="J23" i="42" a="1"/>
  <c r="J23" i="42" s="1"/>
  <c r="M23" i="42" a="1"/>
  <c r="M23" i="42" s="1"/>
  <c r="J49" i="42" a="1"/>
  <c r="J49" i="42" s="1"/>
  <c r="M49" i="42" a="1"/>
  <c r="M49" i="42" s="1"/>
  <c r="J43" i="42" a="1"/>
  <c r="J43" i="42" s="1"/>
  <c r="M43" i="42" a="1"/>
  <c r="M43" i="42" s="1"/>
  <c r="J39" i="42" a="1"/>
  <c r="J39" i="42" s="1"/>
  <c r="M39" i="42" a="1"/>
  <c r="M39" i="42" s="1"/>
  <c r="J81" i="42" a="1"/>
  <c r="J81" i="42" s="1"/>
  <c r="M81" i="42" a="1"/>
  <c r="M81" i="42" s="1"/>
  <c r="J46" i="42" a="1"/>
  <c r="J46" i="42" s="1"/>
  <c r="M46" i="42" a="1"/>
  <c r="M46" i="42" s="1"/>
  <c r="J72" i="42" a="1"/>
  <c r="J72" i="42" s="1"/>
  <c r="M72" i="42" a="1"/>
  <c r="M72" i="42" s="1"/>
  <c r="J38" i="42" a="1"/>
  <c r="J38" i="42" s="1"/>
  <c r="M38" i="42" a="1"/>
  <c r="M38" i="42" s="1"/>
  <c r="J40" i="42" a="1"/>
  <c r="J40" i="42" s="1"/>
  <c r="M40" i="42" a="1"/>
  <c r="M40" i="42" s="1"/>
  <c r="J19" i="42" a="1"/>
  <c r="J19" i="42" s="1"/>
  <c r="M19" i="42" a="1"/>
  <c r="M19" i="42" s="1"/>
  <c r="J20" i="42" a="1"/>
  <c r="J20" i="42" s="1"/>
  <c r="M20" i="42" a="1"/>
  <c r="M20" i="42" s="1"/>
  <c r="J57" i="42" a="1"/>
  <c r="J57" i="42" s="1"/>
  <c r="M57" i="42" a="1"/>
  <c r="M57" i="42" s="1"/>
  <c r="J78" i="42" a="1"/>
  <c r="J78" i="42" s="1"/>
  <c r="M78" i="42" a="1"/>
  <c r="M78" i="42" s="1"/>
  <c r="J12" i="42" a="1"/>
  <c r="J12" i="42" s="1"/>
  <c r="M12" i="42" a="1"/>
  <c r="M12" i="42" s="1"/>
  <c r="J15" i="42" a="1"/>
  <c r="J15" i="42" s="1"/>
  <c r="M15" i="42" a="1"/>
  <c r="M15" i="42" s="1"/>
  <c r="J51" i="42" a="1"/>
  <c r="J51" i="42" s="1"/>
  <c r="M51" i="42" a="1"/>
  <c r="M51" i="42" s="1"/>
  <c r="J26" i="42" a="1"/>
  <c r="J26" i="42" s="1"/>
  <c r="M26" i="42" a="1"/>
  <c r="M26" i="42" s="1"/>
  <c r="J18" i="42" a="1"/>
  <c r="J18" i="42" s="1"/>
  <c r="M18" i="42" a="1"/>
  <c r="M18" i="42" s="1"/>
  <c r="J29" i="42" a="1"/>
  <c r="J29" i="42" s="1"/>
  <c r="M29" i="42" a="1"/>
  <c r="M29" i="42" s="1"/>
  <c r="J30" i="42" a="1"/>
  <c r="J30" i="42" s="1"/>
  <c r="M30" i="42" a="1"/>
  <c r="M30" i="42" s="1"/>
  <c r="J90" i="42" a="1"/>
  <c r="J90" i="42" s="1"/>
  <c r="M90" i="42" a="1"/>
  <c r="M90" i="42" s="1"/>
  <c r="J86" i="42" a="1"/>
  <c r="J86" i="42" s="1"/>
  <c r="M86" i="42" a="1"/>
  <c r="M86" i="42" s="1"/>
  <c r="J76" i="42" a="1"/>
  <c r="J76" i="42" s="1"/>
  <c r="M76" i="42" a="1"/>
  <c r="M76" i="42" s="1"/>
  <c r="J60" i="42" a="1"/>
  <c r="J60" i="42" s="1"/>
  <c r="M60" i="42" a="1"/>
  <c r="M60" i="42" s="1"/>
  <c r="J13" i="42" a="1"/>
  <c r="J13" i="42" s="1"/>
  <c r="M13" i="42" a="1"/>
  <c r="M13" i="42" s="1"/>
  <c r="J85" i="42" a="1"/>
  <c r="J85" i="42" s="1"/>
  <c r="M85" i="42" a="1"/>
  <c r="M85" i="42" s="1"/>
  <c r="J84" i="42" a="1"/>
  <c r="J84" i="42" s="1"/>
  <c r="M84" i="42" a="1"/>
  <c r="M84" i="42" s="1"/>
  <c r="J62" i="42" a="1"/>
  <c r="J62" i="42" s="1"/>
  <c r="M62" i="42" a="1"/>
  <c r="M62" i="42" s="1"/>
  <c r="J9" i="42" a="1"/>
  <c r="J9" i="42" s="1"/>
  <c r="M9" i="42" a="1"/>
  <c r="M9" i="42" s="1"/>
  <c r="J32" i="42" a="1"/>
  <c r="J32" i="42" s="1"/>
  <c r="M32" i="42" a="1"/>
  <c r="M32" i="42" s="1"/>
  <c r="J50" i="42" a="1"/>
  <c r="J50" i="42" s="1"/>
  <c r="M50" i="42" a="1"/>
  <c r="M50" i="42" s="1"/>
  <c r="J24" i="42" a="1"/>
  <c r="J24" i="42" s="1"/>
  <c r="M24" i="42" a="1"/>
  <c r="M24" i="42" s="1"/>
  <c r="J52" i="42" a="1"/>
  <c r="J52" i="42" s="1"/>
  <c r="M52" i="42" a="1"/>
  <c r="M52" i="42" s="1"/>
  <c r="J69" i="42" a="1"/>
  <c r="J69" i="42" s="1"/>
  <c r="M69" i="42" a="1"/>
  <c r="M69" i="42" s="1"/>
  <c r="J56" i="42" a="1"/>
  <c r="J56" i="42" s="1"/>
  <c r="M56" i="42" a="1"/>
  <c r="M56" i="42" s="1"/>
  <c r="J37" i="42" a="1"/>
  <c r="J37" i="42" s="1"/>
  <c r="M37" i="42" a="1"/>
  <c r="M37" i="42" s="1"/>
  <c r="J75" i="42" a="1"/>
  <c r="J75" i="42" s="1"/>
  <c r="M75" i="42" a="1"/>
  <c r="M75" i="42" s="1"/>
  <c r="J45" i="42" a="1"/>
  <c r="J45" i="42" s="1"/>
  <c r="M45" i="42" a="1"/>
  <c r="M45" i="42" s="1"/>
  <c r="J41" i="42" a="1"/>
  <c r="J41" i="42" s="1"/>
  <c r="M41" i="42" a="1"/>
  <c r="M41" i="42" s="1"/>
  <c r="J34" i="42" a="1"/>
  <c r="J34" i="42" s="1"/>
  <c r="M34" i="42" a="1"/>
  <c r="M34" i="42" s="1"/>
  <c r="J17" i="42" a="1"/>
  <c r="J17" i="42" s="1"/>
  <c r="M17" i="42" a="1"/>
  <c r="M17" i="42" s="1"/>
  <c r="J16" i="42" a="1"/>
  <c r="J16" i="42" s="1"/>
  <c r="M16" i="42" a="1"/>
  <c r="M16" i="42" s="1"/>
  <c r="J22" i="42" a="1"/>
  <c r="J22" i="42" s="1"/>
  <c r="M22" i="42" a="1"/>
  <c r="M22" i="42" s="1"/>
  <c r="J59" i="42" a="1"/>
  <c r="J59" i="42" s="1"/>
  <c r="M59" i="42" a="1"/>
  <c r="M59" i="42" s="1"/>
  <c r="J8" i="42" a="1"/>
  <c r="J8" i="42" s="1"/>
  <c r="M8" i="42" a="1"/>
  <c r="M8" i="42" s="1"/>
  <c r="J54" i="42" a="1"/>
  <c r="J54" i="42" s="1"/>
  <c r="M54" i="42" a="1"/>
  <c r="M54" i="42" s="1"/>
  <c r="J35" i="42" a="1"/>
  <c r="J35" i="42" s="1"/>
  <c r="M35" i="42" a="1"/>
  <c r="M35" i="42" s="1"/>
  <c r="J42" i="42" a="1"/>
  <c r="J42" i="42" s="1"/>
  <c r="M42" i="42" a="1"/>
  <c r="M42" i="42" s="1"/>
  <c r="J63" i="42" a="1"/>
  <c r="J63" i="42" s="1"/>
  <c r="M63" i="42" a="1"/>
  <c r="M63" i="42" s="1"/>
  <c r="J11" i="42" a="1"/>
  <c r="J11" i="42" s="1"/>
  <c r="M11" i="42" a="1"/>
  <c r="M11" i="42" s="1"/>
  <c r="J21" i="42" a="1"/>
  <c r="J21" i="42" s="1"/>
  <c r="M21" i="42" a="1"/>
  <c r="M21" i="42" s="1"/>
  <c r="J88" i="42" a="1"/>
  <c r="J88" i="42" s="1"/>
  <c r="M88" i="42" a="1"/>
  <c r="M88" i="42" s="1"/>
  <c r="J68" i="42" a="1"/>
  <c r="J68" i="42" s="1"/>
  <c r="M68" i="42" a="1"/>
  <c r="M68" i="42" s="1"/>
  <c r="J80" i="42" a="1"/>
  <c r="J80" i="42" s="1"/>
  <c r="M80" i="42" a="1"/>
  <c r="M80" i="42" s="1"/>
  <c r="J83" i="42" a="1"/>
  <c r="J83" i="42" s="1"/>
  <c r="M83" i="42" a="1"/>
  <c r="M83" i="42" s="1"/>
  <c r="J53" i="42" a="1"/>
  <c r="J53" i="42" s="1"/>
  <c r="M53" i="42" a="1"/>
  <c r="M53" i="42" s="1"/>
  <c r="J55" i="42" a="1"/>
  <c r="J55" i="42" s="1"/>
  <c r="M55" i="42" a="1"/>
  <c r="M55" i="42" s="1"/>
  <c r="J48" i="42" a="1"/>
  <c r="J48" i="42" s="1"/>
  <c r="M48" i="42" a="1"/>
  <c r="M48" i="42" s="1"/>
  <c r="J66" i="42" a="1"/>
  <c r="J66" i="42" s="1"/>
  <c r="M66" i="42" a="1"/>
  <c r="M66" i="42" s="1"/>
  <c r="J91" i="42" a="1"/>
  <c r="J91" i="42" s="1"/>
  <c r="M91" i="42" a="1"/>
  <c r="M91" i="42" s="1"/>
  <c r="J7" i="42" a="1"/>
  <c r="J7" i="42" s="1"/>
  <c r="M7" i="42" a="1"/>
  <c r="M7" i="42" s="1"/>
  <c r="J65" i="42" a="1"/>
  <c r="J65" i="42" s="1"/>
  <c r="M65" i="42" a="1"/>
  <c r="M65" i="42" s="1"/>
  <c r="J92" i="42" a="1"/>
  <c r="J92" i="42" s="1"/>
  <c r="M92" i="42" a="1"/>
  <c r="M92" i="42" s="1"/>
  <c r="J74" i="42" a="1"/>
  <c r="J74" i="42" s="1"/>
  <c r="M74" i="42" a="1"/>
  <c r="M74" i="42" s="1"/>
  <c r="J82" i="42" a="1"/>
  <c r="J82" i="42" s="1"/>
  <c r="M82" i="42" a="1"/>
  <c r="M82" i="42" s="1"/>
  <c r="J87" i="42" a="1"/>
  <c r="J87" i="42" s="1"/>
  <c r="M87" i="42" a="1"/>
  <c r="M87" i="42" s="1"/>
  <c r="J70" i="42" a="1"/>
  <c r="J70" i="42" s="1"/>
  <c r="M70" i="42" a="1"/>
  <c r="M70" i="42" s="1"/>
  <c r="J36" i="42" a="1"/>
  <c r="J36" i="42" s="1"/>
  <c r="M36" i="42" a="1"/>
  <c r="M36" i="42" s="1"/>
  <c r="J47" i="42" a="1"/>
  <c r="J47" i="42" s="1"/>
  <c r="M47" i="42" a="1"/>
  <c r="M47" i="42" s="1"/>
  <c r="J33" i="42" a="1"/>
  <c r="J33" i="42" s="1"/>
  <c r="M33" i="42" a="1"/>
  <c r="M33" i="42" s="1"/>
  <c r="J71" i="42" a="1"/>
  <c r="J71" i="42" s="1"/>
  <c r="M71" i="42" a="1"/>
  <c r="M71" i="42" s="1"/>
  <c r="J79" i="42" a="1"/>
  <c r="J79" i="42" s="1"/>
  <c r="M79" i="42" a="1"/>
  <c r="M79" i="42" s="1"/>
  <c r="J67" i="42" a="1"/>
  <c r="J67" i="42" s="1"/>
  <c r="M67" i="42" a="1"/>
  <c r="M67" i="42" s="1"/>
  <c r="J27" i="42" a="1"/>
  <c r="J27" i="42" s="1"/>
  <c r="M27" i="42" a="1"/>
  <c r="M27" i="42" s="1"/>
  <c r="J31" i="42" a="1"/>
  <c r="J31" i="42" s="1"/>
  <c r="M31" i="42" a="1"/>
  <c r="M31" i="42" s="1"/>
  <c r="J10" i="42" a="1"/>
  <c r="J10" i="42" s="1"/>
  <c r="M10" i="42" a="1"/>
  <c r="M10" i="42" s="1"/>
  <c r="Z17" i="43" a="1"/>
  <c r="Z17" i="43" s="1"/>
  <c r="Q6" i="43"/>
  <c r="Z7" i="43" s="1" a="1"/>
  <c r="Z7" i="43" s="1"/>
  <c r="Z16" i="43" a="1"/>
  <c r="Z16" i="43" s="1"/>
  <c r="Z15" i="43" a="1"/>
  <c r="Z15" i="43" s="1"/>
  <c r="R13" i="43" a="1"/>
  <c r="R13" i="43" s="1"/>
  <c r="V13" i="43" s="1" a="1"/>
  <c r="V13" i="43" s="1"/>
  <c r="R12" i="43" a="1"/>
  <c r="R12" i="43" s="1"/>
  <c r="U12" i="43" s="1" a="1"/>
  <c r="U12" i="43" s="1"/>
  <c r="R10" i="43" a="1"/>
  <c r="R10" i="43" s="1"/>
  <c r="V10" i="43" s="1" a="1"/>
  <c r="V10" i="43" s="1"/>
  <c r="R8" i="43" a="1"/>
  <c r="R8" i="43" s="1"/>
  <c r="U8" i="43" s="1" a="1"/>
  <c r="U8" i="43" s="1"/>
  <c r="R6" i="43" a="1"/>
  <c r="R6" i="43" s="1"/>
  <c r="R14" i="43" a="1"/>
  <c r="R14" i="43" s="1"/>
  <c r="V14" i="43" s="1" a="1"/>
  <c r="V14" i="43" s="1"/>
  <c r="V6" i="43" a="1"/>
  <c r="V6" i="43" s="1"/>
  <c r="R11" i="43" a="1"/>
  <c r="R11" i="43" s="1"/>
  <c r="V11" i="43" s="1" a="1"/>
  <c r="V11" i="43" s="1"/>
  <c r="R9" i="43" a="1"/>
  <c r="R9" i="43" s="1"/>
  <c r="V9" i="43" s="1" a="1"/>
  <c r="V9" i="43" s="1"/>
  <c r="V8" i="43" a="1"/>
  <c r="V8" i="43" s="1"/>
  <c r="R7" i="43" a="1"/>
  <c r="R7" i="43" s="1"/>
  <c r="V7" i="43" s="1" a="1"/>
  <c r="V7" i="43" s="1"/>
  <c r="R15" i="43" a="1"/>
  <c r="R15" i="43" s="1"/>
  <c r="U15" i="43" s="1" a="1"/>
  <c r="U15" i="43" s="1"/>
  <c r="I3" i="43" a="1"/>
  <c r="I3" i="43" s="1"/>
  <c r="J6" i="43" a="1"/>
  <c r="J6" i="43" s="1"/>
  <c r="K2" i="43" s="1" a="1"/>
  <c r="K2" i="43" s="1"/>
  <c r="V13" i="42" a="1"/>
  <c r="V13" i="42" s="1"/>
  <c r="U10" i="42" a="1"/>
  <c r="U10" i="42" s="1"/>
  <c r="V15" i="42" a="1"/>
  <c r="V15" i="42" s="1"/>
  <c r="V8" i="42" a="1"/>
  <c r="V8" i="42" s="1"/>
  <c r="V14" i="42" a="1"/>
  <c r="V14" i="42" s="1"/>
  <c r="V7" i="42" a="1"/>
  <c r="V7" i="42" s="1"/>
  <c r="U12" i="42" a="1"/>
  <c r="U12" i="42" s="1"/>
  <c r="V12" i="42" a="1"/>
  <c r="V12" i="42" s="1"/>
  <c r="V9" i="42" a="1"/>
  <c r="V9" i="42" s="1"/>
  <c r="I3" i="42" a="1"/>
  <c r="I3" i="42" s="1"/>
  <c r="V11" i="42" a="1"/>
  <c r="V11" i="42" s="1"/>
  <c r="V10" i="42" a="1"/>
  <c r="V10" i="42" s="1"/>
  <c r="J6" i="42" a="1"/>
  <c r="J6" i="42" s="1"/>
  <c r="K2" i="42" s="1" a="1"/>
  <c r="K2" i="42" s="1"/>
  <c r="Z17" i="42" a="1"/>
  <c r="Z17" i="42" s="1"/>
  <c r="Z16" i="42" a="1"/>
  <c r="Z16" i="42" s="1"/>
  <c r="Q6" i="42"/>
  <c r="Z7" i="42" s="1" a="1"/>
  <c r="Z7" i="42" s="1"/>
  <c r="Z15" i="42" a="1"/>
  <c r="Z15" i="42" s="1"/>
  <c r="V15" i="43" l="1" a="1"/>
  <c r="V15" i="43" s="1"/>
  <c r="U9" i="43" a="1"/>
  <c r="U9" i="43" s="1"/>
  <c r="U10" i="43" a="1"/>
  <c r="U10" i="43" s="1"/>
  <c r="V12" i="43" a="1"/>
  <c r="V12" i="43" s="1"/>
  <c r="V3" i="43" s="1" a="1"/>
  <c r="V3" i="43" s="1"/>
  <c r="M67" i="43" a="1"/>
  <c r="M67" i="43" s="1"/>
  <c r="M90" i="43" a="1"/>
  <c r="M90" i="43" s="1"/>
  <c r="M91" i="43" a="1"/>
  <c r="M91" i="43" s="1"/>
  <c r="M65" i="43" a="1"/>
  <c r="M65" i="43" s="1"/>
  <c r="M24" i="43" a="1"/>
  <c r="M24" i="43" s="1"/>
  <c r="M59" i="43" a="1"/>
  <c r="M59" i="43" s="1"/>
  <c r="M47" i="43" a="1"/>
  <c r="M47" i="43" s="1"/>
  <c r="M63" i="43" a="1"/>
  <c r="M63" i="43" s="1"/>
  <c r="M55" i="43" a="1"/>
  <c r="M55" i="43" s="1"/>
  <c r="M61" i="43" a="1"/>
  <c r="M61" i="43" s="1"/>
  <c r="M78" i="43" a="1"/>
  <c r="M78" i="43" s="1"/>
  <c r="M50" i="43" a="1"/>
  <c r="M50" i="43" s="1"/>
  <c r="M51" i="43" a="1"/>
  <c r="M51" i="43" s="1"/>
  <c r="M79" i="43" a="1"/>
  <c r="M79" i="43" s="1"/>
  <c r="M69" i="43" a="1"/>
  <c r="M69" i="43" s="1"/>
  <c r="M19" i="43" a="1"/>
  <c r="M19" i="43" s="1"/>
  <c r="M9" i="43" a="1"/>
  <c r="M9" i="43" s="1"/>
  <c r="M10" i="43" a="1"/>
  <c r="M10" i="43" s="1"/>
  <c r="M12" i="43" a="1"/>
  <c r="M12" i="43" s="1"/>
  <c r="M8" i="43" a="1"/>
  <c r="M8" i="43" s="1"/>
  <c r="M17" i="43" a="1"/>
  <c r="M17" i="43" s="1"/>
  <c r="M16" i="43" a="1"/>
  <c r="M16" i="43" s="1"/>
  <c r="M14" i="43" a="1"/>
  <c r="M14" i="43" s="1"/>
  <c r="M13" i="43" a="1"/>
  <c r="M13" i="43" s="1"/>
  <c r="M57" i="43" a="1"/>
  <c r="M57" i="43" s="1"/>
  <c r="M43" i="43" a="1"/>
  <c r="M43" i="43" s="1"/>
  <c r="M11" i="43" a="1"/>
  <c r="M11" i="43" s="1"/>
  <c r="M68" i="43" a="1"/>
  <c r="M68" i="43" s="1"/>
  <c r="M45" i="43" a="1"/>
  <c r="M45" i="43" s="1"/>
  <c r="M93" i="43" a="1"/>
  <c r="M93" i="43" s="1"/>
  <c r="M42" i="43" a="1"/>
  <c r="M42" i="43" s="1"/>
  <c r="M72" i="43" a="1"/>
  <c r="M72" i="43" s="1"/>
  <c r="M56" i="43" a="1"/>
  <c r="M56" i="43" s="1"/>
  <c r="M85" i="43" a="1"/>
  <c r="M85" i="43" s="1"/>
  <c r="M6" i="43" a="1"/>
  <c r="M6" i="43" s="1"/>
  <c r="M7" i="43" a="1"/>
  <c r="M7" i="43" s="1"/>
  <c r="M35" i="43" a="1"/>
  <c r="M35" i="43" s="1"/>
  <c r="M46" i="43" a="1"/>
  <c r="M46" i="43" s="1"/>
  <c r="M70" i="43" a="1"/>
  <c r="M70" i="43" s="1"/>
  <c r="M52" i="43" a="1"/>
  <c r="M52" i="43" s="1"/>
  <c r="M77" i="43" a="1"/>
  <c r="M77" i="43" s="1"/>
  <c r="M64" i="43" a="1"/>
  <c r="M64" i="43" s="1"/>
  <c r="M29" i="43" a="1"/>
  <c r="M29" i="43" s="1"/>
  <c r="M86" i="43" a="1"/>
  <c r="M86" i="43" s="1"/>
  <c r="M87" i="43" a="1"/>
  <c r="M87" i="43" s="1"/>
  <c r="M31" i="43" a="1"/>
  <c r="M31" i="43" s="1"/>
  <c r="M33" i="43" a="1"/>
  <c r="M33" i="43" s="1"/>
  <c r="M58" i="43" a="1"/>
  <c r="M58" i="43" s="1"/>
  <c r="M92" i="43" a="1"/>
  <c r="M92" i="43" s="1"/>
  <c r="M81" i="43" a="1"/>
  <c r="M81" i="43" s="1"/>
  <c r="M60" i="43" a="1"/>
  <c r="M60" i="43" s="1"/>
  <c r="M27" i="43" a="1"/>
  <c r="M27" i="43" s="1"/>
  <c r="M76" i="43" a="1"/>
  <c r="M76" i="43" s="1"/>
  <c r="M88" i="43" a="1"/>
  <c r="M88" i="43" s="1"/>
  <c r="M75" i="43" a="1"/>
  <c r="M75" i="43" s="1"/>
  <c r="M71" i="43" a="1"/>
  <c r="M71" i="43" s="1"/>
  <c r="M84" i="43" a="1"/>
  <c r="M84" i="43" s="1"/>
  <c r="M40" i="43" a="1"/>
  <c r="M40" i="43" s="1"/>
  <c r="M22" i="43" a="1"/>
  <c r="M22" i="43" s="1"/>
  <c r="M28" i="43" a="1"/>
  <c r="M28" i="43" s="1"/>
  <c r="M36" i="43" a="1"/>
  <c r="M36" i="43" s="1"/>
  <c r="M66" i="43" a="1"/>
  <c r="M66" i="43" s="1"/>
  <c r="M38" i="43" a="1"/>
  <c r="M38" i="43" s="1"/>
  <c r="M25" i="43" a="1"/>
  <c r="M25" i="43" s="1"/>
  <c r="M30" i="43" a="1"/>
  <c r="M30" i="43" s="1"/>
  <c r="M34" i="43" a="1"/>
  <c r="M34" i="43" s="1"/>
  <c r="M39" i="43" a="1"/>
  <c r="M39" i="43" s="1"/>
  <c r="M62" i="43" a="1"/>
  <c r="M62" i="43" s="1"/>
  <c r="M18" i="43" a="1"/>
  <c r="M18" i="43" s="1"/>
  <c r="M32" i="43" a="1"/>
  <c r="M32" i="43" s="1"/>
  <c r="M54" i="43" a="1"/>
  <c r="M54" i="43" s="1"/>
  <c r="M26" i="43" a="1"/>
  <c r="M26" i="43" s="1"/>
  <c r="M37" i="43" a="1"/>
  <c r="M37" i="43" s="1"/>
  <c r="M89" i="43" a="1"/>
  <c r="M89" i="43" s="1"/>
  <c r="M74" i="43" a="1"/>
  <c r="M74" i="43" s="1"/>
  <c r="M23" i="43" a="1"/>
  <c r="M23" i="43" s="1"/>
  <c r="M49" i="43" a="1"/>
  <c r="M49" i="43" s="1"/>
  <c r="M82" i="43" a="1"/>
  <c r="M82" i="43" s="1"/>
  <c r="M20" i="43" a="1"/>
  <c r="M20" i="43" s="1"/>
  <c r="M44" i="43" a="1"/>
  <c r="M44" i="43" s="1"/>
  <c r="M80" i="43" a="1"/>
  <c r="M80" i="43" s="1"/>
  <c r="M41" i="43" a="1"/>
  <c r="M41" i="43" s="1"/>
  <c r="M83" i="43" a="1"/>
  <c r="M83" i="43" s="1"/>
  <c r="M53" i="43" a="1"/>
  <c r="M53" i="43" s="1"/>
  <c r="M73" i="43" a="1"/>
  <c r="M73" i="43" s="1"/>
  <c r="M15" i="43" a="1"/>
  <c r="M15" i="43" s="1"/>
  <c r="M48" i="43" a="1"/>
  <c r="M48" i="43" s="1"/>
  <c r="M21" i="43" a="1"/>
  <c r="M21" i="43" s="1"/>
  <c r="U6" i="43" a="1"/>
  <c r="U6" i="43" s="1"/>
  <c r="AB6" i="43" s="1" a="1"/>
  <c r="AB6" i="43" s="1"/>
  <c r="Z6" i="43"/>
  <c r="V6" i="42" a="1"/>
  <c r="V6" i="42" s="1"/>
  <c r="V3" i="42" s="1" a="1"/>
  <c r="V3" i="42" s="1"/>
  <c r="U8" i="42" a="1"/>
  <c r="U8" i="42" s="1"/>
  <c r="Z6" i="42"/>
  <c r="U15" i="42" a="1"/>
  <c r="U15" i="42" s="1"/>
  <c r="U9" i="42" a="1"/>
  <c r="U9" i="42" s="1"/>
  <c r="M3" i="43" l="1" a="1"/>
  <c r="M3" i="43" s="1"/>
  <c r="AB6" i="42" a="1"/>
  <c r="AB6" i="42" s="1"/>
  <c r="M3" i="42" a="1"/>
  <c r="M3" i="42" s="1"/>
  <c r="B76" i="39" l="1"/>
  <c r="C76" i="39" s="1"/>
  <c r="F76" i="39"/>
  <c r="B68" i="39"/>
  <c r="C68" i="39" s="1"/>
  <c r="F68" i="39"/>
  <c r="B69" i="39"/>
  <c r="C69" i="39" s="1"/>
  <c r="F69" i="39"/>
  <c r="B70" i="39"/>
  <c r="C70" i="39" s="1"/>
  <c r="F70" i="39"/>
  <c r="B71" i="39"/>
  <c r="C71" i="39" s="1"/>
  <c r="F71" i="39"/>
  <c r="B72" i="39"/>
  <c r="C72" i="39" s="1"/>
  <c r="F72" i="39"/>
  <c r="B73" i="39"/>
  <c r="C73" i="39" s="1"/>
  <c r="F73" i="39"/>
  <c r="B74" i="39"/>
  <c r="C74" i="39" s="1"/>
  <c r="F74" i="39"/>
  <c r="B75" i="39"/>
  <c r="C75" i="39" s="1"/>
  <c r="F75" i="39"/>
  <c r="T9" i="39"/>
  <c r="T10" i="39"/>
  <c r="E83" i="39"/>
  <c r="B63" i="39"/>
  <c r="C63" i="39" s="1"/>
  <c r="E63" i="39" s="1"/>
  <c r="F63" i="39"/>
  <c r="B64" i="39"/>
  <c r="C64" i="39" s="1"/>
  <c r="E64" i="39" s="1"/>
  <c r="F64" i="39"/>
  <c r="B65" i="39"/>
  <c r="C65" i="39" s="1"/>
  <c r="E65" i="39" s="1"/>
  <c r="F65" i="39"/>
  <c r="B66" i="39"/>
  <c r="C66" i="39" s="1"/>
  <c r="E66" i="39" s="1"/>
  <c r="F66" i="39"/>
  <c r="B67" i="39"/>
  <c r="C67" i="39" s="1"/>
  <c r="E67" i="39" s="1"/>
  <c r="F67" i="39"/>
  <c r="B6" i="39"/>
  <c r="B7" i="39"/>
  <c r="B8" i="39"/>
  <c r="B9" i="39"/>
  <c r="B10" i="39"/>
  <c r="B11" i="39"/>
  <c r="B12" i="39"/>
  <c r="B13" i="39"/>
  <c r="B14" i="39"/>
  <c r="B15" i="39"/>
  <c r="B16" i="39"/>
  <c r="B17" i="39"/>
  <c r="B18" i="39"/>
  <c r="B19" i="39"/>
  <c r="B20" i="39"/>
  <c r="B21" i="39"/>
  <c r="B22" i="39"/>
  <c r="B23" i="39"/>
  <c r="B24" i="39"/>
  <c r="B25" i="39"/>
  <c r="B26" i="39"/>
  <c r="B27" i="39"/>
  <c r="B28" i="39"/>
  <c r="B29" i="39"/>
  <c r="B30" i="39"/>
  <c r="B31" i="39"/>
  <c r="B32" i="39"/>
  <c r="B33" i="39"/>
  <c r="B34" i="39"/>
  <c r="B35" i="39"/>
  <c r="B36" i="39"/>
  <c r="B37" i="39"/>
  <c r="B38" i="39"/>
  <c r="B39" i="39"/>
  <c r="B40" i="39"/>
  <c r="B41" i="39"/>
  <c r="B42" i="39"/>
  <c r="B43" i="39"/>
  <c r="B44" i="39"/>
  <c r="B45" i="39"/>
  <c r="B46" i="39"/>
  <c r="B47" i="39"/>
  <c r="B48" i="39"/>
  <c r="B49" i="39"/>
  <c r="B50" i="39"/>
  <c r="B51" i="39"/>
  <c r="B52" i="39"/>
  <c r="B53" i="39"/>
  <c r="B54" i="39"/>
  <c r="B55" i="39"/>
  <c r="B56" i="39"/>
  <c r="B57" i="39"/>
  <c r="B58" i="39"/>
  <c r="B59" i="39"/>
  <c r="B60" i="39"/>
  <c r="B61" i="39"/>
  <c r="B62" i="39"/>
  <c r="B77" i="39"/>
  <c r="B78" i="39"/>
  <c r="B79" i="39"/>
  <c r="B80" i="39"/>
  <c r="C80" i="39" s="1"/>
  <c r="E80" i="39" s="1"/>
  <c r="B81" i="39"/>
  <c r="C81" i="39" s="1"/>
  <c r="E81" i="39" s="1"/>
  <c r="B82" i="39"/>
  <c r="C82" i="39" s="1"/>
  <c r="E82" i="39" s="1"/>
  <c r="B83" i="39"/>
  <c r="C83" i="39" s="1"/>
  <c r="D127" i="15"/>
  <c r="D128" i="15"/>
  <c r="D129" i="15"/>
  <c r="D130" i="15"/>
  <c r="F81" i="39"/>
  <c r="F82" i="39"/>
  <c r="F83" i="39"/>
  <c r="F80" i="39"/>
  <c r="D76" i="39" l="1"/>
  <c r="E76" i="39"/>
  <c r="G76" i="39" a="1"/>
  <c r="G76" i="39" s="1"/>
  <c r="H76" i="39" s="1"/>
  <c r="D69" i="39"/>
  <c r="E69" i="39"/>
  <c r="G69" i="39" a="1"/>
  <c r="G69" i="39" s="1"/>
  <c r="H69" i="39" s="1"/>
  <c r="E74" i="39"/>
  <c r="D74" i="39"/>
  <c r="L74" i="39" s="1" a="1"/>
  <c r="L74" i="39" s="1"/>
  <c r="G74" i="39" a="1"/>
  <c r="G74" i="39" s="1"/>
  <c r="H74" i="39" s="1"/>
  <c r="D72" i="39"/>
  <c r="G72" i="39" a="1"/>
  <c r="G72" i="39" s="1"/>
  <c r="H72" i="39" s="1"/>
  <c r="E72" i="39"/>
  <c r="E71" i="39"/>
  <c r="G71" i="39" a="1"/>
  <c r="G71" i="39" s="1"/>
  <c r="H71" i="39" s="1"/>
  <c r="D71" i="39"/>
  <c r="D75" i="39"/>
  <c r="E75" i="39"/>
  <c r="G75" i="39" a="1"/>
  <c r="G75" i="39" s="1"/>
  <c r="H75" i="39" s="1"/>
  <c r="D70" i="39"/>
  <c r="E70" i="39"/>
  <c r="G70" i="39" a="1"/>
  <c r="G70" i="39" s="1"/>
  <c r="H70" i="39" s="1"/>
  <c r="L69" i="39" a="1"/>
  <c r="L69" i="39" s="1"/>
  <c r="K69" i="39" a="1"/>
  <c r="K69" i="39" s="1"/>
  <c r="G73" i="39" a="1"/>
  <c r="G73" i="39" s="1"/>
  <c r="H73" i="39" s="1"/>
  <c r="D73" i="39"/>
  <c r="E73" i="39"/>
  <c r="D68" i="39"/>
  <c r="E68" i="39"/>
  <c r="G68" i="39" a="1"/>
  <c r="G68" i="39" s="1"/>
  <c r="H68" i="39" s="1"/>
  <c r="K74" i="39" a="1"/>
  <c r="K74" i="39" s="1"/>
  <c r="D64" i="39"/>
  <c r="K64" i="39" s="1" a="1"/>
  <c r="K64" i="39" s="1"/>
  <c r="G64" i="39" a="1"/>
  <c r="G64" i="39" s="1"/>
  <c r="H64" i="39" s="1"/>
  <c r="D63" i="39"/>
  <c r="L63" i="39" s="1" a="1"/>
  <c r="L63" i="39" s="1"/>
  <c r="G63" i="39" a="1"/>
  <c r="G63" i="39" s="1"/>
  <c r="H63" i="39" s="1"/>
  <c r="G67" i="39" a="1"/>
  <c r="G67" i="39" s="1"/>
  <c r="H67" i="39" s="1"/>
  <c r="D67" i="39"/>
  <c r="D66" i="39"/>
  <c r="G66" i="39" a="1"/>
  <c r="G66" i="39" s="1"/>
  <c r="H66" i="39" s="1"/>
  <c r="D65" i="39"/>
  <c r="G65" i="39" a="1"/>
  <c r="G65" i="39" s="1"/>
  <c r="H65" i="39" s="1"/>
  <c r="D83" i="39"/>
  <c r="K83" i="39" s="1" a="1"/>
  <c r="K83" i="39" s="1"/>
  <c r="G83" i="39" a="1"/>
  <c r="G83" i="39" s="1"/>
  <c r="H83" i="39" s="1"/>
  <c r="G82" i="39" a="1"/>
  <c r="G82" i="39" s="1"/>
  <c r="H82" i="39" s="1"/>
  <c r="D82" i="39"/>
  <c r="D81" i="39"/>
  <c r="G81" i="39" a="1"/>
  <c r="G81" i="39" s="1"/>
  <c r="H81" i="39" s="1"/>
  <c r="D80" i="39"/>
  <c r="G80" i="39" a="1"/>
  <c r="G80" i="39" s="1"/>
  <c r="H80" i="39" s="1"/>
  <c r="C79" i="39"/>
  <c r="E79" i="39" s="1"/>
  <c r="F79" i="39"/>
  <c r="C78" i="39"/>
  <c r="E78" i="39" s="1"/>
  <c r="F78" i="39"/>
  <c r="C77" i="39"/>
  <c r="E77" i="39" s="1"/>
  <c r="F77" i="39"/>
  <c r="C51" i="39"/>
  <c r="E51" i="39" s="1"/>
  <c r="L76" i="39" l="1" a="1"/>
  <c r="L76" i="39" s="1"/>
  <c r="K76" i="39" a="1"/>
  <c r="K76" i="39" s="1"/>
  <c r="K73" i="39" a="1"/>
  <c r="K73" i="39" s="1"/>
  <c r="L73" i="39" a="1"/>
  <c r="L73" i="39" s="1"/>
  <c r="L75" i="39" a="1"/>
  <c r="L75" i="39" s="1"/>
  <c r="K75" i="39" a="1"/>
  <c r="K75" i="39" s="1"/>
  <c r="K71" i="39" a="1"/>
  <c r="K71" i="39" s="1"/>
  <c r="L71" i="39" a="1"/>
  <c r="L71" i="39" s="1"/>
  <c r="L68" i="39" a="1"/>
  <c r="L68" i="39" s="1"/>
  <c r="K68" i="39" a="1"/>
  <c r="K68" i="39" s="1"/>
  <c r="K70" i="39" a="1"/>
  <c r="K70" i="39" s="1"/>
  <c r="L70" i="39" a="1"/>
  <c r="L70" i="39" s="1"/>
  <c r="K72" i="39" a="1"/>
  <c r="K72" i="39" s="1"/>
  <c r="L72" i="39" a="1"/>
  <c r="L72" i="39" s="1"/>
  <c r="L64" i="39" a="1"/>
  <c r="L64" i="39" s="1"/>
  <c r="K63" i="39" a="1"/>
  <c r="K63" i="39" s="1"/>
  <c r="K65" i="39" a="1"/>
  <c r="K65" i="39" s="1"/>
  <c r="L65" i="39" a="1"/>
  <c r="L65" i="39" s="1"/>
  <c r="K66" i="39" a="1"/>
  <c r="K66" i="39" s="1"/>
  <c r="L66" i="39" a="1"/>
  <c r="L66" i="39" s="1"/>
  <c r="K67" i="39" a="1"/>
  <c r="K67" i="39" s="1"/>
  <c r="L67" i="39" a="1"/>
  <c r="L67" i="39" s="1"/>
  <c r="D51" i="39"/>
  <c r="L51" i="39" s="1" a="1"/>
  <c r="L51" i="39" s="1"/>
  <c r="K81" i="39" a="1"/>
  <c r="K81" i="39" s="1"/>
  <c r="K82" i="39" a="1"/>
  <c r="K82" i="39" s="1"/>
  <c r="L80" i="39" a="1"/>
  <c r="L80" i="39" s="1"/>
  <c r="K80" i="39" a="1"/>
  <c r="K80" i="39" s="1"/>
  <c r="D79" i="39"/>
  <c r="G79" i="39" a="1"/>
  <c r="G79" i="39" s="1"/>
  <c r="H79" i="39" s="1"/>
  <c r="D78" i="39"/>
  <c r="G78" i="39" a="1"/>
  <c r="G78" i="39" s="1"/>
  <c r="H78" i="39" s="1"/>
  <c r="D77" i="39"/>
  <c r="G77" i="39" a="1"/>
  <c r="G77" i="39" s="1"/>
  <c r="H77" i="39" s="1"/>
  <c r="L78" i="39" l="1" a="1"/>
  <c r="L78" i="39" s="1"/>
  <c r="L77" i="39" a="1"/>
  <c r="L77" i="39" s="1"/>
  <c r="L79" i="39" a="1"/>
  <c r="L79" i="39" s="1"/>
  <c r="K79" i="39" a="1"/>
  <c r="K79" i="39" s="1"/>
  <c r="K78" i="39" a="1"/>
  <c r="K78" i="39" s="1"/>
  <c r="K77" i="39" a="1"/>
  <c r="K77" i="39" s="1"/>
  <c r="G93" i="41" l="1" a="1"/>
  <c r="G93" i="41" s="1"/>
  <c r="H93" i="41" s="1"/>
  <c r="F93" i="41"/>
  <c r="C93" i="41"/>
  <c r="B93" i="41"/>
  <c r="F92" i="41"/>
  <c r="B92" i="41"/>
  <c r="C92" i="41" s="1"/>
  <c r="G91" i="41" a="1"/>
  <c r="G91" i="41" s="1"/>
  <c r="H91" i="41" s="1"/>
  <c r="F91" i="41"/>
  <c r="C91" i="41"/>
  <c r="D91" i="41" s="1"/>
  <c r="B91" i="41"/>
  <c r="F90" i="41"/>
  <c r="B90" i="41"/>
  <c r="C90" i="41" s="1"/>
  <c r="F89" i="41"/>
  <c r="G89" i="41" s="1" a="1"/>
  <c r="G89" i="41" s="1"/>
  <c r="H89" i="41" s="1"/>
  <c r="D89" i="41"/>
  <c r="C89" i="41"/>
  <c r="B89" i="41"/>
  <c r="F88" i="41"/>
  <c r="B88" i="41"/>
  <c r="C88" i="41" s="1"/>
  <c r="F87" i="41"/>
  <c r="B87" i="41"/>
  <c r="C87" i="41" s="1"/>
  <c r="G86" i="41" a="1"/>
  <c r="G86" i="41" s="1"/>
  <c r="H86" i="41" s="1"/>
  <c r="F86" i="41"/>
  <c r="C86" i="41"/>
  <c r="D86" i="41" s="1"/>
  <c r="B86" i="41"/>
  <c r="F85" i="41"/>
  <c r="B85" i="41"/>
  <c r="C85" i="41" s="1"/>
  <c r="F84" i="41"/>
  <c r="C84" i="41"/>
  <c r="B84" i="41"/>
  <c r="F83" i="41"/>
  <c r="C83" i="41"/>
  <c r="B83" i="41"/>
  <c r="F82" i="41"/>
  <c r="D82" i="41"/>
  <c r="K82" i="41" s="1" a="1"/>
  <c r="K82" i="41" s="1"/>
  <c r="C82" i="41"/>
  <c r="G82" i="41" s="1" a="1"/>
  <c r="G82" i="41" s="1"/>
  <c r="H82" i="41" s="1"/>
  <c r="B82" i="41"/>
  <c r="F81" i="41"/>
  <c r="G81" i="41" s="1" a="1"/>
  <c r="G81" i="41" s="1"/>
  <c r="H81" i="41" s="1"/>
  <c r="D81" i="41"/>
  <c r="L81" i="41" s="1" a="1"/>
  <c r="L81" i="41" s="1"/>
  <c r="C81" i="41"/>
  <c r="B81" i="41"/>
  <c r="F80" i="41"/>
  <c r="B80" i="41"/>
  <c r="C80" i="41" s="1"/>
  <c r="G79" i="41" a="1"/>
  <c r="G79" i="41" s="1"/>
  <c r="H79" i="41" s="1"/>
  <c r="F79" i="41"/>
  <c r="D79" i="41"/>
  <c r="B79" i="41"/>
  <c r="C79" i="41" s="1"/>
  <c r="F78" i="41"/>
  <c r="B78" i="41"/>
  <c r="C78" i="41" s="1"/>
  <c r="F77" i="41"/>
  <c r="B77" i="41"/>
  <c r="C77" i="41" s="1"/>
  <c r="F76" i="41"/>
  <c r="B76" i="41"/>
  <c r="C76" i="41" s="1"/>
  <c r="G75" i="41" a="1"/>
  <c r="G75" i="41" s="1"/>
  <c r="H75" i="41" s="1"/>
  <c r="F75" i="41"/>
  <c r="D75" i="41"/>
  <c r="K75" i="41" s="1" a="1"/>
  <c r="K75" i="41" s="1"/>
  <c r="C75" i="41"/>
  <c r="B75" i="41"/>
  <c r="G74" i="41" a="1"/>
  <c r="G74" i="41" s="1"/>
  <c r="H74" i="41" s="1"/>
  <c r="F74" i="41"/>
  <c r="C74" i="41"/>
  <c r="D74" i="41" s="1"/>
  <c r="B74" i="41"/>
  <c r="F73" i="41"/>
  <c r="C73" i="41"/>
  <c r="B73" i="41"/>
  <c r="F72" i="41"/>
  <c r="C72" i="41"/>
  <c r="B72" i="41"/>
  <c r="S71" i="41"/>
  <c r="S71" i="41" a="1"/>
  <c r="F71" i="41"/>
  <c r="C71" i="41"/>
  <c r="B71" i="41"/>
  <c r="F70" i="41"/>
  <c r="C70" i="41"/>
  <c r="D70" i="41" s="1"/>
  <c r="K70" i="41" s="1" a="1"/>
  <c r="K70" i="41" s="1"/>
  <c r="B70" i="41"/>
  <c r="F69" i="41"/>
  <c r="B69" i="41"/>
  <c r="C69" i="41" s="1"/>
  <c r="L68" i="41" a="1"/>
  <c r="L68" i="41" s="1"/>
  <c r="G68" i="41" a="1"/>
  <c r="G68" i="41" s="1"/>
  <c r="H68" i="41" s="1"/>
  <c r="F68" i="41"/>
  <c r="C68" i="41"/>
  <c r="D68" i="41" s="1"/>
  <c r="K68" i="41" s="1" a="1"/>
  <c r="K68" i="41" s="1"/>
  <c r="B68" i="41"/>
  <c r="F67" i="41"/>
  <c r="C67" i="41"/>
  <c r="B67" i="41"/>
  <c r="F66" i="41"/>
  <c r="D66" i="41"/>
  <c r="B66" i="41"/>
  <c r="C66" i="41" s="1"/>
  <c r="F65" i="41"/>
  <c r="C65" i="41"/>
  <c r="B65" i="41"/>
  <c r="F64" i="41"/>
  <c r="C64" i="41"/>
  <c r="B64" i="41"/>
  <c r="F63" i="41"/>
  <c r="C63" i="41"/>
  <c r="B63" i="41"/>
  <c r="T62" i="41"/>
  <c r="F62" i="41"/>
  <c r="B62" i="41"/>
  <c r="C62" i="41" s="1"/>
  <c r="F61" i="41"/>
  <c r="C61" i="41"/>
  <c r="B61" i="41"/>
  <c r="T60" i="41"/>
  <c r="G60" i="41" a="1"/>
  <c r="G60" i="41" s="1"/>
  <c r="H60" i="41" s="1"/>
  <c r="F60" i="41"/>
  <c r="D60" i="41"/>
  <c r="L60" i="41" s="1" a="1"/>
  <c r="L60" i="41" s="1"/>
  <c r="C60" i="41"/>
  <c r="B60" i="41"/>
  <c r="T59" i="41"/>
  <c r="F59" i="41"/>
  <c r="B59" i="41"/>
  <c r="C59" i="41" s="1"/>
  <c r="G58" i="41" a="1"/>
  <c r="G58" i="41" s="1"/>
  <c r="H58" i="41" s="1"/>
  <c r="F58" i="41"/>
  <c r="C58" i="41"/>
  <c r="B58" i="41"/>
  <c r="F57" i="41"/>
  <c r="B57" i="41"/>
  <c r="C57" i="41" s="1"/>
  <c r="F56" i="41"/>
  <c r="G56" i="41" s="1" a="1"/>
  <c r="G56" i="41" s="1"/>
  <c r="H56" i="41" s="1"/>
  <c r="D56" i="41"/>
  <c r="C56" i="41"/>
  <c r="B56" i="41"/>
  <c r="F55" i="41"/>
  <c r="C55" i="41"/>
  <c r="B55" i="41"/>
  <c r="F54" i="41"/>
  <c r="B54" i="41"/>
  <c r="C54" i="41" s="1"/>
  <c r="G53" i="41" a="1"/>
  <c r="G53" i="41" s="1"/>
  <c r="H53" i="41" s="1"/>
  <c r="F53" i="41"/>
  <c r="C53" i="41"/>
  <c r="B53" i="41"/>
  <c r="F52" i="41"/>
  <c r="B52" i="41"/>
  <c r="C52" i="41" s="1"/>
  <c r="F51" i="41"/>
  <c r="B51" i="41"/>
  <c r="C51" i="41" s="1"/>
  <c r="F50" i="41"/>
  <c r="D50" i="41"/>
  <c r="B50" i="41"/>
  <c r="C50" i="41" s="1"/>
  <c r="F49" i="41"/>
  <c r="C49" i="41"/>
  <c r="G49" i="41" s="1" a="1"/>
  <c r="G49" i="41" s="1"/>
  <c r="H49" i="41" s="1"/>
  <c r="B49" i="41"/>
  <c r="G48" i="41" a="1"/>
  <c r="G48" i="41" s="1"/>
  <c r="H48" i="41" s="1"/>
  <c r="F48" i="41"/>
  <c r="D48" i="41"/>
  <c r="B48" i="41"/>
  <c r="C48" i="41" s="1"/>
  <c r="F47" i="41"/>
  <c r="C47" i="41"/>
  <c r="G47" i="41" s="1" a="1"/>
  <c r="G47" i="41" s="1"/>
  <c r="H47" i="41" s="1"/>
  <c r="B47" i="41"/>
  <c r="G46" i="41" a="1"/>
  <c r="G46" i="41" s="1"/>
  <c r="H46" i="41" s="1"/>
  <c r="F46" i="41"/>
  <c r="C46" i="41"/>
  <c r="D46" i="41" s="1"/>
  <c r="K46" i="41" s="1" a="1"/>
  <c r="K46" i="41" s="1"/>
  <c r="B46" i="41"/>
  <c r="G45" i="41" a="1"/>
  <c r="G45" i="41" s="1"/>
  <c r="H45" i="41" s="1"/>
  <c r="F45" i="41"/>
  <c r="C45" i="41"/>
  <c r="B45" i="41"/>
  <c r="G44" i="41" a="1"/>
  <c r="G44" i="41" s="1"/>
  <c r="H44" i="41" s="1"/>
  <c r="F44" i="41"/>
  <c r="C44" i="41"/>
  <c r="D44" i="41" s="1"/>
  <c r="K44" i="41" s="1" a="1"/>
  <c r="K44" i="41" s="1"/>
  <c r="B44" i="41"/>
  <c r="F43" i="41"/>
  <c r="B43" i="41"/>
  <c r="C43" i="41" s="1"/>
  <c r="F42" i="41"/>
  <c r="C42" i="41"/>
  <c r="B42" i="41"/>
  <c r="F41" i="41"/>
  <c r="C41" i="41"/>
  <c r="B41" i="41"/>
  <c r="F40" i="41"/>
  <c r="D40" i="41"/>
  <c r="K40" i="41" s="1" a="1"/>
  <c r="K40" i="41" s="1"/>
  <c r="C40" i="41"/>
  <c r="B40" i="41"/>
  <c r="G39" i="41" a="1"/>
  <c r="G39" i="41" s="1"/>
  <c r="H39" i="41" s="1"/>
  <c r="F39" i="41"/>
  <c r="D39" i="41"/>
  <c r="L39" i="41" s="1" a="1"/>
  <c r="L39" i="41" s="1"/>
  <c r="C39" i="41"/>
  <c r="B39" i="41"/>
  <c r="F38" i="41"/>
  <c r="D38" i="41"/>
  <c r="C38" i="41"/>
  <c r="B38" i="41"/>
  <c r="F37" i="41"/>
  <c r="B37" i="41"/>
  <c r="C37" i="41" s="1"/>
  <c r="F36" i="41"/>
  <c r="B36" i="41"/>
  <c r="C36" i="41" s="1"/>
  <c r="F35" i="41"/>
  <c r="B35" i="41"/>
  <c r="C35" i="41" s="1"/>
  <c r="F34" i="41"/>
  <c r="G34" i="41" s="1" a="1"/>
  <c r="G34" i="41" s="1"/>
  <c r="H34" i="41" s="1"/>
  <c r="D34" i="41"/>
  <c r="B34" i="41"/>
  <c r="C34" i="41" s="1"/>
  <c r="T33" i="41" a="1"/>
  <c r="T33" i="41" s="1"/>
  <c r="T45" i="41" s="1" a="1"/>
  <c r="T45" i="41" s="1"/>
  <c r="P33" i="41" a="1"/>
  <c r="P33" i="41" s="1"/>
  <c r="R33" i="41" s="1" a="1"/>
  <c r="R33" i="41" s="1"/>
  <c r="F33" i="41"/>
  <c r="C33" i="41"/>
  <c r="B33" i="41"/>
  <c r="F32" i="41"/>
  <c r="G32" i="41" s="1" a="1"/>
  <c r="G32" i="41" s="1"/>
  <c r="H32" i="41" s="1"/>
  <c r="D32" i="41"/>
  <c r="C32" i="41"/>
  <c r="B32" i="41"/>
  <c r="G31" i="41" a="1"/>
  <c r="G31" i="41" s="1"/>
  <c r="H31" i="41" s="1"/>
  <c r="F31" i="41"/>
  <c r="D31" i="41"/>
  <c r="C31" i="41"/>
  <c r="B31" i="41"/>
  <c r="F30" i="41"/>
  <c r="D30" i="41"/>
  <c r="L30" i="41" s="1" a="1"/>
  <c r="L30" i="41" s="1"/>
  <c r="B30" i="41"/>
  <c r="C30" i="41" s="1"/>
  <c r="G30" i="41" s="1" a="1"/>
  <c r="G30" i="41" s="1"/>
  <c r="H30" i="41" s="1"/>
  <c r="G29" i="41" a="1"/>
  <c r="G29" i="41" s="1"/>
  <c r="H29" i="41" s="1"/>
  <c r="F29" i="41"/>
  <c r="D29" i="41"/>
  <c r="C29" i="41"/>
  <c r="B29" i="41"/>
  <c r="F28" i="41"/>
  <c r="C28" i="41"/>
  <c r="G28" i="41" s="1" a="1"/>
  <c r="G28" i="41" s="1"/>
  <c r="H28" i="41" s="1"/>
  <c r="B28" i="41"/>
  <c r="F27" i="41"/>
  <c r="B27" i="41"/>
  <c r="C27" i="41" s="1"/>
  <c r="F26" i="41"/>
  <c r="C26" i="41"/>
  <c r="B26" i="41"/>
  <c r="G25" i="41" a="1"/>
  <c r="G25" i="41" s="1"/>
  <c r="H25" i="41" s="1"/>
  <c r="F25" i="41"/>
  <c r="D25" i="41"/>
  <c r="K25" i="41" s="1" a="1"/>
  <c r="K25" i="41" s="1"/>
  <c r="C25" i="41"/>
  <c r="B25" i="41"/>
  <c r="F24" i="41"/>
  <c r="B24" i="41"/>
  <c r="C24" i="41" s="1"/>
  <c r="F23" i="41"/>
  <c r="B23" i="41"/>
  <c r="C23" i="41" s="1"/>
  <c r="F22" i="41"/>
  <c r="B22" i="41"/>
  <c r="C22" i="41" s="1"/>
  <c r="F21" i="41"/>
  <c r="C21" i="41"/>
  <c r="G21" i="41" s="1" a="1"/>
  <c r="G21" i="41" s="1"/>
  <c r="H21" i="41" s="1"/>
  <c r="B21" i="41"/>
  <c r="F20" i="41"/>
  <c r="B20" i="41"/>
  <c r="C20" i="41" s="1"/>
  <c r="V19" i="41"/>
  <c r="V20" i="41" s="1" a="1"/>
  <c r="V20" i="41" s="1"/>
  <c r="F19" i="41"/>
  <c r="B19" i="41"/>
  <c r="C19" i="41" s="1"/>
  <c r="F18" i="41"/>
  <c r="C18" i="41"/>
  <c r="G18" i="41" s="1" a="1"/>
  <c r="G18" i="41" s="1"/>
  <c r="H18" i="41" s="1"/>
  <c r="B18" i="41"/>
  <c r="F17" i="41"/>
  <c r="G17" i="41" s="1" a="1"/>
  <c r="G17" i="41" s="1"/>
  <c r="H17" i="41" s="1"/>
  <c r="B17" i="41"/>
  <c r="C17" i="41" s="1"/>
  <c r="D17" i="41" s="1"/>
  <c r="F16" i="41"/>
  <c r="B16" i="41"/>
  <c r="C16" i="41" s="1"/>
  <c r="G15" i="41" a="1"/>
  <c r="G15" i="41" s="1"/>
  <c r="H15" i="41" s="1"/>
  <c r="F15" i="41"/>
  <c r="B15" i="41"/>
  <c r="C15" i="41" s="1"/>
  <c r="F14" i="41"/>
  <c r="B14" i="41"/>
  <c r="C14" i="41" s="1"/>
  <c r="F13" i="41"/>
  <c r="B13" i="41"/>
  <c r="C13" i="41" s="1"/>
  <c r="D13" i="41" s="1"/>
  <c r="F12" i="41"/>
  <c r="D12" i="41"/>
  <c r="K12" i="41" s="1" a="1"/>
  <c r="K12" i="41" s="1"/>
  <c r="C12" i="41"/>
  <c r="B12" i="41"/>
  <c r="F11" i="41"/>
  <c r="B11" i="41"/>
  <c r="C11" i="41" s="1"/>
  <c r="F10" i="41"/>
  <c r="B10" i="41"/>
  <c r="C10" i="41" s="1"/>
  <c r="F9" i="41"/>
  <c r="G9" i="41" s="1" a="1"/>
  <c r="G9" i="41" s="1"/>
  <c r="H9" i="41" s="1"/>
  <c r="D9" i="41"/>
  <c r="C9" i="41"/>
  <c r="B9" i="41"/>
  <c r="F8" i="41"/>
  <c r="B8" i="41"/>
  <c r="C8" i="41" s="1"/>
  <c r="Y7" i="41"/>
  <c r="F7" i="41"/>
  <c r="G7" i="41" s="1" a="1"/>
  <c r="G7" i="41" s="1"/>
  <c r="H7" i="41" s="1"/>
  <c r="C7" i="41"/>
  <c r="D7" i="41" s="1"/>
  <c r="B7" i="41"/>
  <c r="F6" i="41"/>
  <c r="B6" i="41"/>
  <c r="C6" i="41" s="1"/>
  <c r="D4" i="41"/>
  <c r="D8" i="41" l="1"/>
  <c r="K81" i="41" a="1"/>
  <c r="K81" i="41" s="1"/>
  <c r="L46" i="41" a="1"/>
  <c r="L46" i="41" s="1"/>
  <c r="L44" i="41" a="1"/>
  <c r="L44" i="41" s="1"/>
  <c r="L70" i="41" a="1"/>
  <c r="L70" i="41" s="1"/>
  <c r="L75" i="41" a="1"/>
  <c r="L75" i="41" s="1"/>
  <c r="K60" i="41" a="1"/>
  <c r="K60" i="41" s="1"/>
  <c r="G27" i="41" a="1"/>
  <c r="G27" i="41" s="1"/>
  <c r="H27" i="41" s="1"/>
  <c r="D27" i="41"/>
  <c r="G20" i="41" a="1"/>
  <c r="G20" i="41" s="1"/>
  <c r="H20" i="41" s="1"/>
  <c r="D20" i="41"/>
  <c r="K7" i="41" a="1"/>
  <c r="K7" i="41" s="1"/>
  <c r="D37" i="41"/>
  <c r="G37" i="41" a="1"/>
  <c r="G37" i="41" s="1"/>
  <c r="H37" i="41" s="1"/>
  <c r="G24" i="41" a="1"/>
  <c r="G24" i="41" s="1"/>
  <c r="H24" i="41" s="1"/>
  <c r="D24" i="41"/>
  <c r="G14" i="41" a="1"/>
  <c r="G14" i="41" s="1"/>
  <c r="H14" i="41" s="1"/>
  <c r="D14" i="41"/>
  <c r="D57" i="41"/>
  <c r="L12" i="41" a="1"/>
  <c r="L12" i="41" s="1"/>
  <c r="G26" i="41" a="1"/>
  <c r="G26" i="41" s="1"/>
  <c r="H26" i="41" s="1"/>
  <c r="D26" i="41"/>
  <c r="G12" i="41" a="1"/>
  <c r="G12" i="41" s="1"/>
  <c r="H12" i="41" s="1"/>
  <c r="K13" i="41" a="1"/>
  <c r="K13" i="41" s="1"/>
  <c r="L32" i="41" a="1"/>
  <c r="L32" i="41" s="1"/>
  <c r="K32" i="41" a="1"/>
  <c r="K32" i="41" s="1"/>
  <c r="D18" i="41"/>
  <c r="G73" i="41" a="1"/>
  <c r="G73" i="41" s="1"/>
  <c r="H73" i="41" s="1"/>
  <c r="D73" i="41"/>
  <c r="G10" i="41" a="1"/>
  <c r="G10" i="41" s="1"/>
  <c r="H10" i="41" s="1"/>
  <c r="D10" i="41"/>
  <c r="D42" i="41"/>
  <c r="G42" i="41" a="1"/>
  <c r="G42" i="41" s="1"/>
  <c r="H42" i="41" s="1"/>
  <c r="D6" i="41"/>
  <c r="D15" i="41"/>
  <c r="D19" i="41"/>
  <c r="G16" i="41" a="1"/>
  <c r="G16" i="41" s="1"/>
  <c r="H16" i="41" s="1"/>
  <c r="D16" i="41"/>
  <c r="K30" i="41" a="1"/>
  <c r="K30" i="41" s="1"/>
  <c r="D43" i="41"/>
  <c r="G43" i="41" a="1"/>
  <c r="G43" i="41" s="1"/>
  <c r="H43" i="41" s="1"/>
  <c r="G77" i="41" a="1"/>
  <c r="G77" i="41" s="1"/>
  <c r="H77" i="41" s="1"/>
  <c r="G11" i="41" a="1"/>
  <c r="G11" i="41" s="1"/>
  <c r="H11" i="41" s="1"/>
  <c r="D11" i="41"/>
  <c r="G71" i="41" a="1"/>
  <c r="G71" i="41" s="1"/>
  <c r="H71" i="41" s="1"/>
  <c r="D71" i="41"/>
  <c r="D28" i="41"/>
  <c r="K50" i="41" a="1"/>
  <c r="K50" i="41" s="1"/>
  <c r="K48" i="41" a="1"/>
  <c r="K48" i="41" s="1"/>
  <c r="G6" i="41" a="1"/>
  <c r="G6" i="41" s="1"/>
  <c r="G22" i="41" a="1"/>
  <c r="G22" i="41" s="1"/>
  <c r="H22" i="41" s="1"/>
  <c r="D22" i="41"/>
  <c r="G59" i="41" a="1"/>
  <c r="G59" i="41" s="1"/>
  <c r="H59" i="41" s="1"/>
  <c r="D59" i="41"/>
  <c r="D77" i="41"/>
  <c r="K8" i="41" a="1"/>
  <c r="K8" i="41" s="1"/>
  <c r="G54" i="41" a="1"/>
  <c r="G54" i="41" s="1"/>
  <c r="H54" i="41" s="1"/>
  <c r="D54" i="41"/>
  <c r="L9" i="41" a="1"/>
  <c r="L9" i="41" s="1"/>
  <c r="K9" i="41" a="1"/>
  <c r="K9" i="41" s="1"/>
  <c r="K38" i="41" a="1"/>
  <c r="K38" i="41" s="1"/>
  <c r="D23" i="41"/>
  <c r="G23" i="41" a="1"/>
  <c r="G23" i="41" s="1"/>
  <c r="H23" i="41" s="1"/>
  <c r="G36" i="41" a="1"/>
  <c r="G36" i="41" s="1"/>
  <c r="H36" i="41" s="1"/>
  <c r="D36" i="41"/>
  <c r="G19" i="41" a="1"/>
  <c r="G19" i="41" s="1"/>
  <c r="H19" i="41" s="1"/>
  <c r="K29" i="41" a="1"/>
  <c r="K29" i="41" s="1"/>
  <c r="K17" i="41" a="1"/>
  <c r="K17" i="41" s="1"/>
  <c r="L31" i="41" a="1"/>
  <c r="L31" i="41" s="1"/>
  <c r="K31" i="41" a="1"/>
  <c r="K31" i="41" s="1"/>
  <c r="G13" i="41" a="1"/>
  <c r="G13" i="41" s="1"/>
  <c r="H13" i="41" s="1"/>
  <c r="G51" i="41" a="1"/>
  <c r="G51" i="41" s="1"/>
  <c r="H51" i="41" s="1"/>
  <c r="D51" i="41"/>
  <c r="G67" i="41" a="1"/>
  <c r="G67" i="41" s="1"/>
  <c r="H67" i="41" s="1"/>
  <c r="D67" i="41"/>
  <c r="L91" i="41" a="1"/>
  <c r="L91" i="41" s="1"/>
  <c r="K91" i="41" a="1"/>
  <c r="K91" i="41" s="1"/>
  <c r="G50" i="41" a="1"/>
  <c r="G50" i="41" s="1"/>
  <c r="H50" i="41" s="1"/>
  <c r="G65" i="41" a="1"/>
  <c r="G65" i="41" s="1"/>
  <c r="H65" i="41" s="1"/>
  <c r="D65" i="41"/>
  <c r="D84" i="41"/>
  <c r="G84" i="41" a="1"/>
  <c r="G84" i="41" s="1"/>
  <c r="H84" i="41" s="1"/>
  <c r="G92" i="41" a="1"/>
  <c r="G92" i="41" s="1"/>
  <c r="H92" i="41" s="1"/>
  <c r="D92" i="41"/>
  <c r="G78" i="41" a="1"/>
  <c r="G78" i="41" s="1"/>
  <c r="H78" i="41" s="1"/>
  <c r="G80" i="41" a="1"/>
  <c r="G80" i="41" s="1"/>
  <c r="H80" i="41" s="1"/>
  <c r="D80" i="41"/>
  <c r="D47" i="41"/>
  <c r="L74" i="41" a="1"/>
  <c r="L74" i="41" s="1"/>
  <c r="K74" i="41" a="1"/>
  <c r="K74" i="41" s="1"/>
  <c r="D78" i="41"/>
  <c r="G87" i="41" a="1"/>
  <c r="G87" i="41" s="1"/>
  <c r="H87" i="41" s="1"/>
  <c r="D87" i="41"/>
  <c r="D21" i="41"/>
  <c r="G52" i="41" a="1"/>
  <c r="G52" i="41" s="1"/>
  <c r="H52" i="41" s="1"/>
  <c r="D52" i="41"/>
  <c r="G62" i="41" a="1"/>
  <c r="G62" i="41" s="1"/>
  <c r="H62" i="41" s="1"/>
  <c r="D62" i="41"/>
  <c r="G85" i="41" a="1"/>
  <c r="G85" i="41" s="1"/>
  <c r="H85" i="41" s="1"/>
  <c r="D85" i="41"/>
  <c r="G41" i="41" a="1"/>
  <c r="G41" i="41" s="1"/>
  <c r="H41" i="41" s="1"/>
  <c r="D41" i="41"/>
  <c r="K66" i="41" a="1"/>
  <c r="K66" i="41" s="1"/>
  <c r="L66" i="41" a="1"/>
  <c r="L66" i="41" s="1"/>
  <c r="L82" i="41" a="1"/>
  <c r="L82" i="41" s="1"/>
  <c r="G33" i="41" a="1"/>
  <c r="G33" i="41" s="1"/>
  <c r="H33" i="41" s="1"/>
  <c r="D35" i="41"/>
  <c r="D49" i="41"/>
  <c r="L56" i="41" a="1"/>
  <c r="L56" i="41" s="1"/>
  <c r="K56" i="41" a="1"/>
  <c r="K56" i="41" s="1"/>
  <c r="D72" i="41"/>
  <c r="G72" i="41" a="1"/>
  <c r="G72" i="41" s="1"/>
  <c r="H72" i="41" s="1"/>
  <c r="D33" i="41"/>
  <c r="G40" i="41" a="1"/>
  <c r="G40" i="41" s="1"/>
  <c r="H40" i="41" s="1"/>
  <c r="D45" i="41"/>
  <c r="D58" i="41"/>
  <c r="T65" i="41"/>
  <c r="T63" i="41"/>
  <c r="T61" i="41"/>
  <c r="T69" i="41"/>
  <c r="T68" i="41"/>
  <c r="T64" i="41"/>
  <c r="T66" i="41"/>
  <c r="G64" i="41" a="1"/>
  <c r="G64" i="41" s="1"/>
  <c r="H64" i="41" s="1"/>
  <c r="D64" i="41"/>
  <c r="G66" i="41" a="1"/>
  <c r="G66" i="41" s="1"/>
  <c r="H66" i="41" s="1"/>
  <c r="K89" i="41" a="1"/>
  <c r="K89" i="41" s="1"/>
  <c r="L89" i="41" a="1"/>
  <c r="L89" i="41" s="1"/>
  <c r="G88" i="41" a="1"/>
  <c r="G88" i="41" s="1"/>
  <c r="H88" i="41" s="1"/>
  <c r="D88" i="41"/>
  <c r="K39" i="41" a="1"/>
  <c r="K39" i="41" s="1"/>
  <c r="G90" i="41" a="1"/>
  <c r="G90" i="41" s="1"/>
  <c r="H90" i="41" s="1"/>
  <c r="G38" i="41" a="1"/>
  <c r="G38" i="41" s="1"/>
  <c r="H38" i="41" s="1"/>
  <c r="G63" i="41" a="1"/>
  <c r="G63" i="41" s="1"/>
  <c r="H63" i="41" s="1"/>
  <c r="D63" i="41"/>
  <c r="D90" i="41"/>
  <c r="D53" i="41"/>
  <c r="G61" i="41" a="1"/>
  <c r="G61" i="41" s="1"/>
  <c r="H61" i="41" s="1"/>
  <c r="D61" i="41"/>
  <c r="G69" i="41" a="1"/>
  <c r="G69" i="41" s="1"/>
  <c r="H69" i="41" s="1"/>
  <c r="D76" i="41"/>
  <c r="D69" i="41"/>
  <c r="G70" i="41" a="1"/>
  <c r="G70" i="41" s="1"/>
  <c r="H70" i="41" s="1"/>
  <c r="G83" i="41" a="1"/>
  <c r="G83" i="41" s="1"/>
  <c r="H83" i="41" s="1"/>
  <c r="D83" i="41"/>
  <c r="K34" i="41" a="1"/>
  <c r="K34" i="41" s="1"/>
  <c r="G55" i="41" a="1"/>
  <c r="G55" i="41" s="1"/>
  <c r="H55" i="41" s="1"/>
  <c r="D55" i="41"/>
  <c r="G76" i="41" a="1"/>
  <c r="G76" i="41" s="1"/>
  <c r="H76" i="41" s="1"/>
  <c r="L79" i="41" a="1"/>
  <c r="L79" i="41" s="1"/>
  <c r="K79" i="41" a="1"/>
  <c r="K79" i="41" s="1"/>
  <c r="L86" i="41" a="1"/>
  <c r="L86" i="41" s="1"/>
  <c r="K86" i="41" a="1"/>
  <c r="K86" i="41" s="1"/>
  <c r="D93" i="41"/>
  <c r="T59" i="35"/>
  <c r="T69" i="35" s="1"/>
  <c r="S71" i="35" a="1"/>
  <c r="S71" i="35" s="1"/>
  <c r="K21" i="41" l="1" a="1"/>
  <c r="K21" i="41" s="1"/>
  <c r="K16" i="41" a="1"/>
  <c r="K16" i="41" s="1"/>
  <c r="K84" i="41" a="1"/>
  <c r="K84" i="41" s="1"/>
  <c r="L84" i="41" a="1"/>
  <c r="L84" i="41" s="1"/>
  <c r="K67" i="41" a="1"/>
  <c r="K67" i="41" s="1"/>
  <c r="K54" i="41" a="1"/>
  <c r="K54" i="41" s="1"/>
  <c r="K61" i="41" a="1"/>
  <c r="K61" i="41" s="1"/>
  <c r="K26" i="41" a="1"/>
  <c r="K26" i="41" s="1"/>
  <c r="K20" i="41" a="1"/>
  <c r="K20" i="41" s="1"/>
  <c r="L20" i="41" a="1"/>
  <c r="L20" i="41" s="1"/>
  <c r="K65" i="41" a="1"/>
  <c r="K65" i="41" s="1"/>
  <c r="K22" i="41" a="1"/>
  <c r="K22" i="41" s="1"/>
  <c r="K33" i="41" a="1"/>
  <c r="K33" i="41" s="1"/>
  <c r="K42" i="41" a="1"/>
  <c r="K42" i="41" s="1"/>
  <c r="K18" i="41" a="1"/>
  <c r="K18" i="41" s="1"/>
  <c r="K62" i="41" a="1"/>
  <c r="K62" i="41" s="1"/>
  <c r="L62" i="41" a="1"/>
  <c r="L62" i="41" s="1"/>
  <c r="K71" i="41" a="1"/>
  <c r="K71" i="41" s="1"/>
  <c r="L37" i="41" a="1"/>
  <c r="L37" i="41" s="1"/>
  <c r="K37" i="41" a="1"/>
  <c r="K37" i="41" s="1"/>
  <c r="K87" i="41" a="1"/>
  <c r="K87" i="41" s="1"/>
  <c r="L87" i="41" a="1"/>
  <c r="L87" i="41" s="1"/>
  <c r="K19" i="41" a="1"/>
  <c r="K19" i="41" s="1"/>
  <c r="K14" i="41" a="1"/>
  <c r="K14" i="41" s="1"/>
  <c r="K64" i="41" a="1"/>
  <c r="K64" i="41" s="1"/>
  <c r="K35" i="41" a="1"/>
  <c r="K35" i="41" s="1"/>
  <c r="K27" i="41" a="1"/>
  <c r="K27" i="41" s="1"/>
  <c r="L85" i="41" a="1"/>
  <c r="L85" i="41" s="1"/>
  <c r="K85" i="41" a="1"/>
  <c r="K85" i="41" s="1"/>
  <c r="K28" i="41" a="1"/>
  <c r="K28" i="41" s="1"/>
  <c r="K51" i="41" a="1"/>
  <c r="K51" i="41" s="1"/>
  <c r="K53" i="41" a="1"/>
  <c r="K53" i="41" s="1"/>
  <c r="U60" i="41" a="1"/>
  <c r="U60" i="41" s="1"/>
  <c r="V60" i="41" s="1" a="1"/>
  <c r="V60" i="41" s="1"/>
  <c r="K23" i="41" a="1"/>
  <c r="K23" i="41" s="1"/>
  <c r="K15" i="41" a="1"/>
  <c r="K15" i="41" s="1"/>
  <c r="L90" i="41" a="1"/>
  <c r="L90" i="41" s="1"/>
  <c r="K90" i="41" a="1"/>
  <c r="K90" i="41" s="1"/>
  <c r="K72" i="41" a="1"/>
  <c r="K72" i="41" s="1"/>
  <c r="L72" i="41" a="1"/>
  <c r="L72" i="41" s="1"/>
  <c r="K52" i="41" a="1"/>
  <c r="K52" i="41" s="1"/>
  <c r="K77" i="41" a="1"/>
  <c r="K77" i="41" s="1"/>
  <c r="L77" i="41" a="1"/>
  <c r="L77" i="41" s="1"/>
  <c r="L11" i="41" a="1"/>
  <c r="L11" i="41" s="1"/>
  <c r="K11" i="41" a="1"/>
  <c r="K11" i="41" s="1"/>
  <c r="K43" i="41" a="1"/>
  <c r="K43" i="41" s="1"/>
  <c r="L43" i="41" a="1"/>
  <c r="L43" i="41" s="1"/>
  <c r="L10" i="41" a="1"/>
  <c r="L10" i="41" s="1"/>
  <c r="K10" i="41" a="1"/>
  <c r="K10" i="41" s="1"/>
  <c r="K45" i="41" a="1"/>
  <c r="K45" i="41" s="1"/>
  <c r="K69" i="41" a="1"/>
  <c r="K69" i="41" s="1"/>
  <c r="K55" i="41" a="1"/>
  <c r="K55" i="41" s="1"/>
  <c r="L92" i="41" a="1"/>
  <c r="L92" i="41" s="1"/>
  <c r="K92" i="41" a="1"/>
  <c r="K92" i="41" s="1"/>
  <c r="L76" i="41" a="1"/>
  <c r="L76" i="41" s="1"/>
  <c r="K76" i="41" a="1"/>
  <c r="K76" i="41" s="1"/>
  <c r="G8" i="41" a="1"/>
  <c r="G8" i="41" s="1"/>
  <c r="H8" i="41" s="1"/>
  <c r="G35" i="41" a="1"/>
  <c r="G35" i="41" s="1"/>
  <c r="H35" i="41" s="1"/>
  <c r="L88" i="41" a="1"/>
  <c r="L88" i="41" s="1"/>
  <c r="K88" i="41" a="1"/>
  <c r="K88" i="41" s="1"/>
  <c r="L78" i="41" a="1"/>
  <c r="L78" i="41" s="1"/>
  <c r="K78" i="41" a="1"/>
  <c r="K78" i="41" s="1"/>
  <c r="H6" i="41"/>
  <c r="K63" i="41" a="1"/>
  <c r="K63" i="41" s="1"/>
  <c r="K41" i="41" a="1"/>
  <c r="K41" i="41" s="1"/>
  <c r="L41" i="41" a="1"/>
  <c r="L41" i="41" s="1"/>
  <c r="K47" i="41" a="1"/>
  <c r="K47" i="41" s="1"/>
  <c r="K59" i="41" a="1"/>
  <c r="K59" i="41" s="1"/>
  <c r="K6" i="41" a="1"/>
  <c r="K6" i="41" s="1"/>
  <c r="O6" i="41" a="1"/>
  <c r="L93" i="41" a="1"/>
  <c r="L93" i="41" s="1"/>
  <c r="K93" i="41" a="1"/>
  <c r="K93" i="41" s="1"/>
  <c r="K83" i="41" a="1"/>
  <c r="K83" i="41" s="1"/>
  <c r="L83" i="41" a="1"/>
  <c r="L83" i="41" s="1"/>
  <c r="K58" i="41" a="1"/>
  <c r="K58" i="41" s="1"/>
  <c r="K49" i="41" a="1"/>
  <c r="K49" i="41" s="1"/>
  <c r="K80" i="41" a="1"/>
  <c r="K80" i="41" s="1"/>
  <c r="L80" i="41" a="1"/>
  <c r="L80" i="41" s="1"/>
  <c r="K57" i="41" a="1"/>
  <c r="K57" i="41" s="1"/>
  <c r="K24" i="41" a="1"/>
  <c r="K24" i="41" s="1"/>
  <c r="K36" i="41" a="1"/>
  <c r="K36" i="41" s="1"/>
  <c r="K73" i="41" a="1"/>
  <c r="K73" i="41" s="1"/>
  <c r="G57" i="41" a="1"/>
  <c r="G57" i="41" s="1"/>
  <c r="H57" i="41" s="1"/>
  <c r="T62" i="35"/>
  <c r="T64" i="35"/>
  <c r="T66" i="35"/>
  <c r="T68" i="35"/>
  <c r="T60" i="35"/>
  <c r="T61" i="35"/>
  <c r="T63" i="35"/>
  <c r="T65" i="35"/>
  <c r="D99" i="15"/>
  <c r="E51" i="41" s="1"/>
  <c r="L51" i="41" s="1" a="1"/>
  <c r="L51" i="41" s="1"/>
  <c r="D19" i="15"/>
  <c r="E50" i="41" s="1"/>
  <c r="L50" i="41" s="1" a="1"/>
  <c r="L50" i="41" s="1"/>
  <c r="D67" i="15"/>
  <c r="E58" i="41" s="1"/>
  <c r="L58" i="41" s="1" a="1"/>
  <c r="L58" i="41" s="1"/>
  <c r="D64" i="15"/>
  <c r="E52" i="41" s="1"/>
  <c r="L52" i="41" s="1" a="1"/>
  <c r="L52" i="41" s="1"/>
  <c r="D74" i="15"/>
  <c r="E69" i="41" s="1"/>
  <c r="L69" i="41" s="1" a="1"/>
  <c r="L69" i="41" s="1"/>
  <c r="D65" i="15"/>
  <c r="E64" i="41" s="1"/>
  <c r="L64" i="41" s="1" a="1"/>
  <c r="L64" i="41" s="1"/>
  <c r="D60" i="15"/>
  <c r="E42" i="41" s="1"/>
  <c r="L42" i="41" s="1" a="1"/>
  <c r="L42" i="41" s="1"/>
  <c r="D62" i="15"/>
  <c r="E43" i="41" s="1"/>
  <c r="D98" i="15"/>
  <c r="E16" i="41" s="1"/>
  <c r="L16" i="41" s="1" a="1"/>
  <c r="L16" i="41" s="1"/>
  <c r="D57" i="15"/>
  <c r="E38" i="41" s="1"/>
  <c r="L38" i="41" s="1" a="1"/>
  <c r="L38" i="41" s="1"/>
  <c r="B90" i="35"/>
  <c r="C90" i="35" s="1"/>
  <c r="F90" i="35"/>
  <c r="D54" i="15"/>
  <c r="E25" i="41" s="1"/>
  <c r="L25" i="41" s="1" a="1"/>
  <c r="L25" i="41" s="1"/>
  <c r="B78" i="35"/>
  <c r="C78" i="35" s="1"/>
  <c r="B79" i="35"/>
  <c r="C79" i="35" s="1"/>
  <c r="B80" i="35"/>
  <c r="C80" i="35" s="1"/>
  <c r="B81" i="35"/>
  <c r="C81" i="35" s="1"/>
  <c r="B82" i="35"/>
  <c r="C82" i="35" s="1"/>
  <c r="B83" i="35"/>
  <c r="C83" i="35" s="1"/>
  <c r="B84" i="35"/>
  <c r="C84" i="35" s="1"/>
  <c r="B85" i="35"/>
  <c r="C85" i="35" s="1"/>
  <c r="B86" i="35"/>
  <c r="C86" i="35" s="1"/>
  <c r="B87" i="35"/>
  <c r="C87" i="35" s="1"/>
  <c r="B88" i="35"/>
  <c r="C88" i="35" s="1"/>
  <c r="B89" i="35"/>
  <c r="C89" i="35" s="1"/>
  <c r="F78" i="35"/>
  <c r="F79" i="35"/>
  <c r="F80" i="35"/>
  <c r="F81" i="35"/>
  <c r="F82" i="35"/>
  <c r="F83" i="35"/>
  <c r="F84" i="35"/>
  <c r="F85" i="35"/>
  <c r="F86" i="35"/>
  <c r="F87" i="35"/>
  <c r="F88" i="35"/>
  <c r="F89" i="35"/>
  <c r="T33" i="35" a="1"/>
  <c r="T33" i="35" s="1"/>
  <c r="T45" i="35" s="1" a="1"/>
  <c r="T45" i="35" s="1"/>
  <c r="V19" i="35"/>
  <c r="V20" i="35" s="1" a="1"/>
  <c r="V20" i="35" s="1"/>
  <c r="P13" i="41" l="1"/>
  <c r="P11" i="41"/>
  <c r="Q11" i="41" s="1"/>
  <c r="P12" i="41"/>
  <c r="Q12" i="41" s="1"/>
  <c r="P10" i="41"/>
  <c r="Q10" i="41" s="1"/>
  <c r="P14" i="41"/>
  <c r="Q14" i="41" s="1"/>
  <c r="P15" i="41"/>
  <c r="Q15" i="41" s="1"/>
  <c r="P8" i="41"/>
  <c r="Q8" i="41" s="1"/>
  <c r="P7" i="41"/>
  <c r="Q7" i="41" s="1"/>
  <c r="O6" i="41"/>
  <c r="P9" i="41"/>
  <c r="Q9" i="41" s="1"/>
  <c r="U60" i="35" a="1"/>
  <c r="U60" i="35" s="1"/>
  <c r="V60" i="35" s="1" a="1"/>
  <c r="V60" i="35" s="1"/>
  <c r="G88" i="35" a="1"/>
  <c r="G88" i="35" s="1"/>
  <c r="H88" i="35" s="1"/>
  <c r="G90" i="35" a="1"/>
  <c r="G90" i="35" s="1"/>
  <c r="H90" i="35" s="1"/>
  <c r="G78" i="35" a="1"/>
  <c r="G78" i="35" s="1"/>
  <c r="H78" i="35" s="1"/>
  <c r="G81" i="35" a="1"/>
  <c r="G81" i="35" s="1"/>
  <c r="H81" i="35" s="1"/>
  <c r="G79" i="35" a="1"/>
  <c r="G79" i="35" s="1"/>
  <c r="H79" i="35" s="1"/>
  <c r="G86" i="35" a="1"/>
  <c r="G86" i="35" s="1"/>
  <c r="H86" i="35" s="1"/>
  <c r="G82" i="35" a="1"/>
  <c r="G82" i="35" s="1"/>
  <c r="H82" i="35" s="1"/>
  <c r="G85" i="35" a="1"/>
  <c r="G85" i="35" s="1"/>
  <c r="H85" i="35" s="1"/>
  <c r="G83" i="35" a="1"/>
  <c r="G83" i="35" s="1"/>
  <c r="H83" i="35" s="1"/>
  <c r="G89" i="35" a="1"/>
  <c r="G89" i="35" s="1"/>
  <c r="H89" i="35" s="1"/>
  <c r="G80" i="35" a="1"/>
  <c r="G80" i="35" s="1"/>
  <c r="H80" i="35" s="1"/>
  <c r="G84" i="35" a="1"/>
  <c r="G84" i="35" s="1"/>
  <c r="H84" i="35" s="1"/>
  <c r="G87" i="35" a="1"/>
  <c r="G87" i="35" s="1"/>
  <c r="H87" i="35" s="1"/>
  <c r="P6" i="41" l="1"/>
  <c r="P33" i="35" a="1"/>
  <c r="P33" i="35" s="1"/>
  <c r="R33" i="35" s="1" a="1"/>
  <c r="R33" i="35" s="1"/>
  <c r="Q6" i="41" l="1"/>
  <c r="Z7" i="41" s="1" a="1"/>
  <c r="Z7" i="41" s="1"/>
  <c r="D79" i="15"/>
  <c r="F49" i="39"/>
  <c r="F50" i="39"/>
  <c r="F51" i="39"/>
  <c r="F52" i="39"/>
  <c r="F53" i="39"/>
  <c r="F54" i="39"/>
  <c r="F55" i="39"/>
  <c r="F56" i="39"/>
  <c r="F57" i="39"/>
  <c r="F58" i="39"/>
  <c r="F59" i="39"/>
  <c r="F60" i="39"/>
  <c r="F61" i="39"/>
  <c r="F62" i="39"/>
  <c r="F31" i="39"/>
  <c r="F30" i="39"/>
  <c r="F29" i="39"/>
  <c r="D78" i="15"/>
  <c r="F48" i="39"/>
  <c r="F47" i="39"/>
  <c r="F46" i="39"/>
  <c r="F45" i="39"/>
  <c r="F44" i="39"/>
  <c r="F43" i="39"/>
  <c r="F42" i="39"/>
  <c r="F41" i="39"/>
  <c r="F40" i="39"/>
  <c r="F39" i="39"/>
  <c r="F38" i="39"/>
  <c r="F37" i="39"/>
  <c r="F36" i="39"/>
  <c r="F35" i="39"/>
  <c r="F34" i="39"/>
  <c r="F33" i="39"/>
  <c r="F32" i="39"/>
  <c r="F28" i="39"/>
  <c r="F27" i="39"/>
  <c r="F26" i="39"/>
  <c r="F25" i="39"/>
  <c r="F24" i="39"/>
  <c r="F23" i="39"/>
  <c r="F22" i="39"/>
  <c r="F21" i="39"/>
  <c r="F20" i="39"/>
  <c r="F19" i="39"/>
  <c r="F18" i="39"/>
  <c r="F17" i="39"/>
  <c r="F16" i="39"/>
  <c r="F15" i="39"/>
  <c r="F14" i="39"/>
  <c r="F13" i="39"/>
  <c r="F12" i="39"/>
  <c r="F6" i="39"/>
  <c r="F8" i="39"/>
  <c r="F7" i="39"/>
  <c r="F11" i="39"/>
  <c r="F10" i="39"/>
  <c r="F9" i="39"/>
  <c r="C50" i="39"/>
  <c r="E50" i="39" s="1"/>
  <c r="C49" i="39"/>
  <c r="E49" i="39" s="1"/>
  <c r="C48" i="39"/>
  <c r="E48" i="39" s="1"/>
  <c r="C47" i="39"/>
  <c r="E47" i="39" s="1"/>
  <c r="C46" i="39"/>
  <c r="E46" i="39" s="1"/>
  <c r="C45" i="39"/>
  <c r="E45" i="39" s="1"/>
  <c r="C44" i="39"/>
  <c r="E44" i="39" s="1"/>
  <c r="C43" i="39"/>
  <c r="E43" i="39" s="1"/>
  <c r="C42" i="39"/>
  <c r="E42" i="39" s="1"/>
  <c r="C41" i="39"/>
  <c r="E41" i="39" s="1"/>
  <c r="C40" i="39"/>
  <c r="E40" i="39" s="1"/>
  <c r="C39" i="39"/>
  <c r="E39" i="39" s="1"/>
  <c r="C38" i="39"/>
  <c r="E38" i="39" s="1"/>
  <c r="C37" i="39"/>
  <c r="E37" i="39" s="1"/>
  <c r="C36" i="39"/>
  <c r="E36" i="39" s="1"/>
  <c r="C35" i="39"/>
  <c r="E35" i="39" s="1"/>
  <c r="C34" i="39"/>
  <c r="E34" i="39" s="1"/>
  <c r="C33" i="39"/>
  <c r="E33" i="39" s="1"/>
  <c r="C32" i="39"/>
  <c r="E32" i="39" s="1"/>
  <c r="C24" i="39"/>
  <c r="E24" i="39" s="1"/>
  <c r="C23" i="39"/>
  <c r="E23" i="39" s="1"/>
  <c r="C22" i="39"/>
  <c r="E22" i="39" s="1"/>
  <c r="C21" i="39"/>
  <c r="E21" i="39" s="1"/>
  <c r="C20" i="39"/>
  <c r="E20" i="39" s="1"/>
  <c r="C6" i="39"/>
  <c r="E6" i="39" s="1"/>
  <c r="C62" i="39"/>
  <c r="E62" i="39" s="1"/>
  <c r="C61" i="39"/>
  <c r="E61" i="39" s="1"/>
  <c r="C60" i="39"/>
  <c r="E60" i="39" s="1"/>
  <c r="C12" i="39"/>
  <c r="E12" i="39" s="1"/>
  <c r="C59" i="39"/>
  <c r="E59" i="39" s="1"/>
  <c r="C58" i="39"/>
  <c r="E58" i="39" s="1"/>
  <c r="C19" i="39"/>
  <c r="E19" i="39" s="1"/>
  <c r="C18" i="39"/>
  <c r="E18" i="39" s="1"/>
  <c r="C57" i="39"/>
  <c r="E57" i="39" s="1"/>
  <c r="C56" i="39"/>
  <c r="E56" i="39" s="1"/>
  <c r="C55" i="39"/>
  <c r="E55" i="39" s="1"/>
  <c r="C17" i="39"/>
  <c r="E17" i="39" s="1"/>
  <c r="C54" i="39"/>
  <c r="E54" i="39" s="1"/>
  <c r="C31" i="39"/>
  <c r="E31" i="39" s="1"/>
  <c r="C30" i="39"/>
  <c r="E30" i="39" s="1"/>
  <c r="C11" i="39"/>
  <c r="E11" i="39" s="1"/>
  <c r="C16" i="39"/>
  <c r="E16" i="39" s="1"/>
  <c r="C53" i="39"/>
  <c r="E53" i="39" s="1"/>
  <c r="C28" i="39"/>
  <c r="E28" i="39" s="1"/>
  <c r="C52" i="39"/>
  <c r="E52" i="39" s="1"/>
  <c r="C27" i="39"/>
  <c r="E27" i="39" s="1"/>
  <c r="C26" i="39"/>
  <c r="E26" i="39" s="1"/>
  <c r="C25" i="39"/>
  <c r="E25" i="39" s="1"/>
  <c r="C15" i="39"/>
  <c r="E15" i="39" s="1"/>
  <c r="C10" i="39"/>
  <c r="E10" i="39" s="1"/>
  <c r="C14" i="39"/>
  <c r="E14" i="39" s="1"/>
  <c r="C13" i="39"/>
  <c r="E13" i="39" s="1"/>
  <c r="C29" i="39"/>
  <c r="E29" i="39" s="1"/>
  <c r="C9" i="39"/>
  <c r="E9" i="39" s="1"/>
  <c r="Y7" i="39"/>
  <c r="C8" i="39"/>
  <c r="E8" i="39" s="1"/>
  <c r="C7" i="39"/>
  <c r="E7" i="39" s="1"/>
  <c r="D4" i="39"/>
  <c r="E21" i="41" l="1"/>
  <c r="L21" i="41" s="1" a="1"/>
  <c r="L21" i="41" s="1"/>
  <c r="G19" i="39" a="1"/>
  <c r="G19" i="39" s="1"/>
  <c r="H19" i="39" s="1"/>
  <c r="G28" i="39" a="1"/>
  <c r="G28" i="39" s="1"/>
  <c r="H28" i="39" s="1"/>
  <c r="G47" i="39" a="1"/>
  <c r="G47" i="39" s="1"/>
  <c r="H47" i="39" s="1"/>
  <c r="G37" i="39" a="1"/>
  <c r="G37" i="39" s="1"/>
  <c r="H37" i="39" s="1"/>
  <c r="G51" i="39" a="1"/>
  <c r="G51" i="39" s="1"/>
  <c r="H51" i="39" s="1"/>
  <c r="G61" i="39" a="1"/>
  <c r="G61" i="39" s="1"/>
  <c r="H61" i="39" s="1"/>
  <c r="G35" i="39" a="1"/>
  <c r="G35" i="39" s="1"/>
  <c r="H35" i="39" s="1"/>
  <c r="G38" i="39" a="1"/>
  <c r="G38" i="39" s="1"/>
  <c r="H38" i="39" s="1"/>
  <c r="G27" i="39" a="1"/>
  <c r="G27" i="39" s="1"/>
  <c r="H27" i="39" s="1"/>
  <c r="G23" i="39" a="1"/>
  <c r="G23" i="39" s="1"/>
  <c r="H23" i="39" s="1"/>
  <c r="D10" i="39"/>
  <c r="G55" i="39" a="1"/>
  <c r="G55" i="39" s="1"/>
  <c r="H55" i="39" s="1"/>
  <c r="G54" i="39" a="1"/>
  <c r="G54" i="39" s="1"/>
  <c r="H54" i="39" s="1"/>
  <c r="G59" i="39" a="1"/>
  <c r="G59" i="39" s="1"/>
  <c r="H59" i="39" s="1"/>
  <c r="G60" i="39" a="1"/>
  <c r="G60" i="39" s="1"/>
  <c r="H60" i="39" s="1"/>
  <c r="G22" i="39" a="1"/>
  <c r="G22" i="39" s="1"/>
  <c r="H22" i="39" s="1"/>
  <c r="G26" i="39" a="1"/>
  <c r="G26" i="39" s="1"/>
  <c r="H26" i="39" s="1"/>
  <c r="G49" i="39" a="1"/>
  <c r="G49" i="39" s="1"/>
  <c r="H49" i="39" s="1"/>
  <c r="G25" i="39" a="1"/>
  <c r="G25" i="39" s="1"/>
  <c r="H25" i="39" s="1"/>
  <c r="D7" i="39"/>
  <c r="G7" i="39" a="1"/>
  <c r="G7" i="39" s="1"/>
  <c r="J2" i="39"/>
  <c r="G8" i="39" a="1"/>
  <c r="G8" i="39" s="1"/>
  <c r="H8" i="39" s="1"/>
  <c r="D8" i="39"/>
  <c r="D6" i="39"/>
  <c r="G6" i="39" a="1"/>
  <c r="G6" i="39" s="1"/>
  <c r="H6" i="39" s="1"/>
  <c r="G20" i="39" a="1"/>
  <c r="G20" i="39" s="1"/>
  <c r="H20" i="39" s="1"/>
  <c r="G53" i="39" a="1"/>
  <c r="G53" i="39" s="1"/>
  <c r="H53" i="39" s="1"/>
  <c r="G9" i="39" a="1"/>
  <c r="G9" i="39" s="1"/>
  <c r="H9" i="39" s="1"/>
  <c r="D9" i="39"/>
  <c r="G56" i="39" a="1"/>
  <c r="G56" i="39" s="1"/>
  <c r="H56" i="39" s="1"/>
  <c r="G21" i="39" a="1"/>
  <c r="G21" i="39" s="1"/>
  <c r="H21" i="39" s="1"/>
  <c r="G33" i="39" a="1"/>
  <c r="G33" i="39" s="1"/>
  <c r="H33" i="39" s="1"/>
  <c r="G39" i="39" a="1"/>
  <c r="G39" i="39" s="1"/>
  <c r="H39" i="39" s="1"/>
  <c r="G40" i="39" a="1"/>
  <c r="G40" i="39" s="1"/>
  <c r="H40" i="39" s="1"/>
  <c r="G36" i="39" a="1"/>
  <c r="G36" i="39" s="1"/>
  <c r="H36" i="39" s="1"/>
  <c r="G57" i="39" a="1"/>
  <c r="G57" i="39" s="1"/>
  <c r="H57" i="39" s="1"/>
  <c r="G58" i="39" a="1"/>
  <c r="G58" i="39" s="1"/>
  <c r="H58" i="39" s="1"/>
  <c r="G34" i="39" a="1"/>
  <c r="G34" i="39" s="1"/>
  <c r="H34" i="39" s="1"/>
  <c r="G62" i="39" a="1"/>
  <c r="G62" i="39" s="1"/>
  <c r="H62" i="39" s="1"/>
  <c r="G45" i="39" a="1"/>
  <c r="G45" i="39" s="1"/>
  <c r="H45" i="39" s="1"/>
  <c r="G24" i="39" a="1"/>
  <c r="G24" i="39" s="1"/>
  <c r="H24" i="39" s="1"/>
  <c r="G41" i="39" a="1"/>
  <c r="G41" i="39" s="1"/>
  <c r="H41" i="39" s="1"/>
  <c r="G48" i="39" a="1"/>
  <c r="G48" i="39" s="1"/>
  <c r="H48" i="39" s="1"/>
  <c r="G44" i="39" a="1"/>
  <c r="G44" i="39" s="1"/>
  <c r="H44" i="39" s="1"/>
  <c r="G50" i="39" a="1"/>
  <c r="G50" i="39" s="1"/>
  <c r="H50" i="39" s="1"/>
  <c r="G43" i="39" a="1"/>
  <c r="G43" i="39" s="1"/>
  <c r="H43" i="39" s="1"/>
  <c r="G42" i="39" a="1"/>
  <c r="G42" i="39" s="1"/>
  <c r="H42" i="39" s="1"/>
  <c r="G32" i="39" a="1"/>
  <c r="G32" i="39" s="1"/>
  <c r="H32" i="39" s="1"/>
  <c r="G46" i="39" a="1"/>
  <c r="G46" i="39" s="1"/>
  <c r="H46" i="39" s="1"/>
  <c r="G12" i="39" l="1" a="1"/>
  <c r="G12" i="39" s="1"/>
  <c r="H12" i="39" s="1"/>
  <c r="G13" i="39" a="1"/>
  <c r="G13" i="39" s="1"/>
  <c r="H13" i="39" s="1"/>
  <c r="G10" i="39" a="1"/>
  <c r="G10" i="39" s="1"/>
  <c r="H10" i="39" s="1"/>
  <c r="G11" i="39" a="1"/>
  <c r="G11" i="39" s="1"/>
  <c r="H11" i="39" s="1"/>
  <c r="G14" i="39" a="1"/>
  <c r="G14" i="39" s="1"/>
  <c r="H14" i="39" s="1"/>
  <c r="G15" i="39" a="1"/>
  <c r="G15" i="39" s="1"/>
  <c r="H15" i="39" s="1"/>
  <c r="G16" i="39" a="1"/>
  <c r="G16" i="39" s="1"/>
  <c r="H16" i="39" s="1"/>
  <c r="G30" i="39" a="1"/>
  <c r="G30" i="39" s="1"/>
  <c r="H30" i="39" s="1"/>
  <c r="G52" i="39" a="1"/>
  <c r="G52" i="39" s="1"/>
  <c r="H52" i="39" s="1"/>
  <c r="G17" i="39" a="1"/>
  <c r="G17" i="39" s="1"/>
  <c r="H17" i="39" s="1"/>
  <c r="G18" i="39" a="1"/>
  <c r="G18" i="39" s="1"/>
  <c r="H18" i="39" s="1"/>
  <c r="K10" i="39" a="1"/>
  <c r="K10" i="39" s="1"/>
  <c r="G29" i="39" a="1"/>
  <c r="G29" i="39" s="1"/>
  <c r="H29" i="39" s="1"/>
  <c r="K8" i="39" a="1"/>
  <c r="K8" i="39" s="1"/>
  <c r="G31" i="39" a="1"/>
  <c r="G31" i="39" s="1"/>
  <c r="H31" i="39" s="1"/>
  <c r="K9" i="39" a="1"/>
  <c r="K9" i="39" s="1"/>
  <c r="K6" i="39" a="1"/>
  <c r="K6" i="39" s="1"/>
  <c r="H7" i="39"/>
  <c r="K7" i="39" a="1"/>
  <c r="K7" i="39" s="1"/>
  <c r="F82" i="38"/>
  <c r="B82" i="38"/>
  <c r="C82" i="38" s="1"/>
  <c r="F81" i="38"/>
  <c r="B81" i="38"/>
  <c r="C81" i="38" s="1"/>
  <c r="F80" i="38"/>
  <c r="B80" i="38"/>
  <c r="C80" i="38" s="1"/>
  <c r="F79" i="38"/>
  <c r="B79" i="38"/>
  <c r="C79" i="38" s="1"/>
  <c r="F78" i="38"/>
  <c r="B78" i="38"/>
  <c r="C78" i="38" s="1"/>
  <c r="F77" i="38"/>
  <c r="B77" i="38"/>
  <c r="C77" i="38" s="1"/>
  <c r="F76" i="38"/>
  <c r="B76" i="38"/>
  <c r="C76" i="38" s="1"/>
  <c r="F75" i="38"/>
  <c r="B75" i="38"/>
  <c r="C75" i="38" s="1"/>
  <c r="G75" i="38" s="1" a="1"/>
  <c r="G75" i="38" s="1"/>
  <c r="H75" i="38" s="1"/>
  <c r="F74" i="38"/>
  <c r="B74" i="38"/>
  <c r="C74" i="38" s="1"/>
  <c r="F73" i="38"/>
  <c r="B73" i="38"/>
  <c r="C73" i="38" s="1"/>
  <c r="F72" i="38"/>
  <c r="B72" i="38"/>
  <c r="C72" i="38" s="1"/>
  <c r="F71" i="38"/>
  <c r="B71" i="38"/>
  <c r="C71" i="38" s="1"/>
  <c r="F70" i="38"/>
  <c r="B70" i="38"/>
  <c r="C70" i="38" s="1"/>
  <c r="F69" i="38"/>
  <c r="B69" i="38"/>
  <c r="C69" i="38" s="1"/>
  <c r="F68" i="38"/>
  <c r="B68" i="38"/>
  <c r="C68" i="38" s="1"/>
  <c r="F67" i="38"/>
  <c r="B67" i="38"/>
  <c r="C67" i="38" s="1"/>
  <c r="F66" i="38"/>
  <c r="B66" i="38"/>
  <c r="C66" i="38" s="1"/>
  <c r="F65" i="38"/>
  <c r="B65" i="38"/>
  <c r="C65" i="38" s="1"/>
  <c r="F64" i="38"/>
  <c r="B64" i="38"/>
  <c r="C64" i="38" s="1"/>
  <c r="F63" i="38"/>
  <c r="B63" i="38"/>
  <c r="C63" i="38" s="1"/>
  <c r="F62" i="38"/>
  <c r="B62" i="38"/>
  <c r="C62" i="38" s="1"/>
  <c r="F61" i="38"/>
  <c r="B61" i="38"/>
  <c r="C61" i="38" s="1"/>
  <c r="F60" i="38"/>
  <c r="C60" i="38"/>
  <c r="B60" i="38"/>
  <c r="F59" i="38"/>
  <c r="B59" i="38"/>
  <c r="C59" i="38" s="1"/>
  <c r="F58" i="38"/>
  <c r="B58" i="38"/>
  <c r="C58" i="38" s="1"/>
  <c r="F57" i="38"/>
  <c r="B57" i="38"/>
  <c r="C57" i="38" s="1"/>
  <c r="F56" i="38"/>
  <c r="B56" i="38"/>
  <c r="C56" i="38" s="1"/>
  <c r="F55" i="38"/>
  <c r="B55" i="38"/>
  <c r="C55" i="38" s="1"/>
  <c r="F54" i="38"/>
  <c r="B54" i="38"/>
  <c r="C54" i="38" s="1"/>
  <c r="F53" i="38"/>
  <c r="B53" i="38"/>
  <c r="C53" i="38" s="1"/>
  <c r="F52" i="38"/>
  <c r="B52" i="38"/>
  <c r="C52" i="38" s="1"/>
  <c r="F51" i="38"/>
  <c r="B51" i="38"/>
  <c r="C51" i="38" s="1"/>
  <c r="F50" i="38"/>
  <c r="B50" i="38"/>
  <c r="C50" i="38" s="1"/>
  <c r="F49" i="38"/>
  <c r="B49" i="38"/>
  <c r="C49" i="38" s="1"/>
  <c r="F48" i="38"/>
  <c r="B48" i="38"/>
  <c r="C48" i="38" s="1"/>
  <c r="F47" i="38"/>
  <c r="B47" i="38"/>
  <c r="C47" i="38" s="1"/>
  <c r="F46" i="38"/>
  <c r="B46" i="38"/>
  <c r="C46" i="38" s="1"/>
  <c r="F45" i="38"/>
  <c r="B45" i="38"/>
  <c r="C45" i="38" s="1"/>
  <c r="F44" i="38"/>
  <c r="B44" i="38"/>
  <c r="C44" i="38" s="1"/>
  <c r="F43" i="38"/>
  <c r="B43" i="38"/>
  <c r="C43" i="38" s="1"/>
  <c r="F42" i="38"/>
  <c r="B42" i="38"/>
  <c r="C42" i="38" s="1"/>
  <c r="F41" i="38"/>
  <c r="B41" i="38"/>
  <c r="C41" i="38" s="1"/>
  <c r="F40" i="38"/>
  <c r="B40" i="38"/>
  <c r="C40" i="38" s="1"/>
  <c r="F39" i="38"/>
  <c r="B39" i="38"/>
  <c r="C39" i="38" s="1"/>
  <c r="F38" i="38"/>
  <c r="B38" i="38"/>
  <c r="C38" i="38" s="1"/>
  <c r="F37" i="38"/>
  <c r="B37" i="38"/>
  <c r="C37" i="38" s="1"/>
  <c r="F36" i="38"/>
  <c r="B36" i="38"/>
  <c r="C36" i="38" s="1"/>
  <c r="F35" i="38"/>
  <c r="C35" i="38"/>
  <c r="B35" i="38"/>
  <c r="F34" i="38"/>
  <c r="B34" i="38"/>
  <c r="C34" i="38" s="1"/>
  <c r="F33" i="38"/>
  <c r="B33" i="38"/>
  <c r="C33" i="38" s="1"/>
  <c r="F32" i="38"/>
  <c r="C32" i="38"/>
  <c r="B32" i="38"/>
  <c r="G31" i="38" a="1"/>
  <c r="G31" i="38" s="1"/>
  <c r="H31" i="38" s="1"/>
  <c r="F31" i="38"/>
  <c r="B31" i="38"/>
  <c r="C31" i="38" s="1"/>
  <c r="F30" i="38"/>
  <c r="B30" i="38"/>
  <c r="C30" i="38" s="1"/>
  <c r="F29" i="38"/>
  <c r="B29" i="38"/>
  <c r="C29" i="38" s="1"/>
  <c r="G29" i="38" s="1" a="1"/>
  <c r="G29" i="38" s="1"/>
  <c r="H29" i="38" s="1"/>
  <c r="F28" i="38"/>
  <c r="B28" i="38"/>
  <c r="C28" i="38" s="1"/>
  <c r="F27" i="38"/>
  <c r="B27" i="38"/>
  <c r="C27" i="38" s="1"/>
  <c r="F26" i="38"/>
  <c r="B26" i="38"/>
  <c r="C26" i="38" s="1"/>
  <c r="F25" i="38"/>
  <c r="B25" i="38"/>
  <c r="C25" i="38" s="1"/>
  <c r="F24" i="38"/>
  <c r="B24" i="38"/>
  <c r="C24" i="38" s="1"/>
  <c r="F23" i="38"/>
  <c r="B23" i="38"/>
  <c r="C23" i="38" s="1"/>
  <c r="F22" i="38"/>
  <c r="B22" i="38"/>
  <c r="C22" i="38" s="1"/>
  <c r="F21" i="38"/>
  <c r="B21" i="38"/>
  <c r="C21" i="38" s="1"/>
  <c r="F20" i="38"/>
  <c r="B20" i="38"/>
  <c r="C20" i="38" s="1"/>
  <c r="F19" i="38"/>
  <c r="B19" i="38"/>
  <c r="C19" i="38" s="1"/>
  <c r="F18" i="38"/>
  <c r="B18" i="38"/>
  <c r="C18" i="38" s="1"/>
  <c r="G18" i="38" s="1" a="1"/>
  <c r="G18" i="38" s="1"/>
  <c r="H18" i="38" s="1"/>
  <c r="F17" i="38"/>
  <c r="B17" i="38"/>
  <c r="C17" i="38" s="1"/>
  <c r="F16" i="38"/>
  <c r="B16" i="38"/>
  <c r="C16" i="38" s="1"/>
  <c r="G16" i="38" s="1" a="1"/>
  <c r="G16" i="38" s="1"/>
  <c r="H16" i="38" s="1"/>
  <c r="F15" i="38"/>
  <c r="B15" i="38"/>
  <c r="C15" i="38" s="1"/>
  <c r="F14" i="38"/>
  <c r="B14" i="38"/>
  <c r="C14" i="38" s="1"/>
  <c r="F13" i="38"/>
  <c r="B13" i="38"/>
  <c r="C13" i="38" s="1"/>
  <c r="G13" i="38" s="1" a="1"/>
  <c r="G13" i="38" s="1"/>
  <c r="H13" i="38" s="1"/>
  <c r="F12" i="38"/>
  <c r="B12" i="38"/>
  <c r="C12" i="38" s="1"/>
  <c r="F11" i="38"/>
  <c r="B11" i="38"/>
  <c r="C11" i="38" s="1"/>
  <c r="F10" i="38"/>
  <c r="B10" i="38"/>
  <c r="C10" i="38" s="1"/>
  <c r="F9" i="38"/>
  <c r="B9" i="38"/>
  <c r="C9" i="38" s="1"/>
  <c r="F8" i="38"/>
  <c r="B8" i="38"/>
  <c r="C8" i="38" s="1"/>
  <c r="Y7" i="38"/>
  <c r="F7" i="38"/>
  <c r="B7" i="38"/>
  <c r="C7" i="38" s="1"/>
  <c r="F6" i="38"/>
  <c r="B6" i="38"/>
  <c r="C6" i="38" s="1"/>
  <c r="D4" i="38"/>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G61" i="38" l="1" a="1"/>
  <c r="G61" i="38" s="1"/>
  <c r="H61" i="38" s="1"/>
  <c r="G76" i="38" a="1"/>
  <c r="G76" i="38" s="1"/>
  <c r="H76" i="38" s="1"/>
  <c r="G41" i="38" a="1"/>
  <c r="G41" i="38" s="1"/>
  <c r="H41" i="38" s="1"/>
  <c r="G53" i="38" a="1"/>
  <c r="G53" i="38" s="1"/>
  <c r="H53" i="38" s="1"/>
  <c r="G19" i="38" a="1"/>
  <c r="G19" i="38" s="1"/>
  <c r="H19" i="38" s="1"/>
  <c r="G17" i="38" a="1"/>
  <c r="G17" i="38" s="1"/>
  <c r="H17" i="38" s="1"/>
  <c r="G20" i="38" a="1"/>
  <c r="G20" i="38" s="1"/>
  <c r="H20" i="38" s="1"/>
  <c r="G47" i="38" a="1"/>
  <c r="G47" i="38" s="1"/>
  <c r="H47" i="38" s="1"/>
  <c r="G25" i="38" a="1"/>
  <c r="G25" i="38" s="1"/>
  <c r="H25" i="38" s="1"/>
  <c r="G26" i="38" a="1"/>
  <c r="G26" i="38" s="1"/>
  <c r="H26" i="38" s="1"/>
  <c r="G32" i="38" a="1"/>
  <c r="G32" i="38" s="1"/>
  <c r="H32" i="38" s="1"/>
  <c r="G35" i="38" a="1"/>
  <c r="G35" i="38" s="1"/>
  <c r="H35" i="38" s="1"/>
  <c r="G34" i="38" a="1"/>
  <c r="G34" i="38" s="1"/>
  <c r="H34" i="38" s="1"/>
  <c r="G11" i="38" a="1"/>
  <c r="G11" i="38" s="1"/>
  <c r="H11" i="38" s="1"/>
  <c r="G81" i="38" a="1"/>
  <c r="G81" i="38" s="1"/>
  <c r="H81" i="38" s="1"/>
  <c r="D41" i="38"/>
  <c r="K41" i="38" s="1" a="1"/>
  <c r="K41" i="38" s="1"/>
  <c r="G70" i="38" a="1"/>
  <c r="G70" i="38" s="1"/>
  <c r="H70" i="38" s="1"/>
  <c r="D18" i="38"/>
  <c r="K18" i="38" s="1" a="1"/>
  <c r="K18" i="38" s="1"/>
  <c r="G82" i="38" a="1"/>
  <c r="G82" i="38" s="1"/>
  <c r="H82" i="38" s="1"/>
  <c r="G72" i="38" a="1"/>
  <c r="G72" i="38" s="1"/>
  <c r="H72" i="38" s="1"/>
  <c r="G42" i="38" a="1"/>
  <c r="G42" i="38" s="1"/>
  <c r="H42" i="38" s="1"/>
  <c r="G51" i="38" a="1"/>
  <c r="G51" i="38" s="1"/>
  <c r="H51" i="38" s="1"/>
  <c r="G12" i="38" a="1"/>
  <c r="G12" i="38" s="1"/>
  <c r="H12" i="38" s="1"/>
  <c r="G27" i="38" a="1"/>
  <c r="G27" i="38" s="1"/>
  <c r="H27" i="38" s="1"/>
  <c r="G36" i="38" a="1"/>
  <c r="G36" i="38" s="1"/>
  <c r="H36" i="38" s="1"/>
  <c r="G23" i="38" a="1"/>
  <c r="G23" i="38" s="1"/>
  <c r="H23" i="38" s="1"/>
  <c r="G10" i="38" a="1"/>
  <c r="G10" i="38" s="1"/>
  <c r="H10" i="38" s="1"/>
  <c r="G8" i="38" a="1"/>
  <c r="G8" i="38" s="1"/>
  <c r="H8" i="38" s="1"/>
  <c r="G49" i="38" a="1"/>
  <c r="G49" i="38" s="1"/>
  <c r="H49" i="38" s="1"/>
  <c r="G33" i="38" a="1"/>
  <c r="G33" i="38" s="1"/>
  <c r="H33" i="38" s="1"/>
  <c r="J2" i="38"/>
  <c r="G40" i="38" s="1" a="1"/>
  <c r="G40" i="38" s="1"/>
  <c r="H40" i="38" s="1"/>
  <c r="G6" i="38" a="1"/>
  <c r="G6" i="38" s="1"/>
  <c r="D6" i="38"/>
  <c r="D15" i="38"/>
  <c r="G43" i="38" a="1"/>
  <c r="G43" i="38" s="1"/>
  <c r="H43" i="38" s="1"/>
  <c r="D7" i="38"/>
  <c r="G7" i="38" a="1"/>
  <c r="G7" i="38" s="1"/>
  <c r="H7" i="38" s="1"/>
  <c r="G30" i="38" a="1"/>
  <c r="G30" i="38" s="1"/>
  <c r="H30" i="38" s="1"/>
  <c r="D30" i="38"/>
  <c r="G52" i="38" a="1"/>
  <c r="G52" i="38" s="1"/>
  <c r="H52" i="38" s="1"/>
  <c r="G48" i="38" a="1"/>
  <c r="G48" i="38" s="1"/>
  <c r="H48" i="38" s="1"/>
  <c r="G54" i="38" a="1"/>
  <c r="G54" i="38" s="1"/>
  <c r="H54" i="38" s="1"/>
  <c r="D54" i="38"/>
  <c r="G63" i="38" a="1"/>
  <c r="G63" i="38" s="1"/>
  <c r="H63" i="38" s="1"/>
  <c r="G80" i="38" a="1"/>
  <c r="G80" i="38" s="1"/>
  <c r="H80" i="38" s="1"/>
  <c r="D35" i="38"/>
  <c r="G65" i="38" a="1"/>
  <c r="G65" i="38" s="1"/>
  <c r="H65" i="38" s="1"/>
  <c r="G56" i="38" a="1"/>
  <c r="G56" i="38" s="1"/>
  <c r="H56" i="38" s="1"/>
  <c r="G68" i="38" a="1"/>
  <c r="G68" i="38" s="1"/>
  <c r="H68" i="38" s="1"/>
  <c r="G50" i="38" a="1"/>
  <c r="G50" i="38" s="1"/>
  <c r="H50" i="38" s="1"/>
  <c r="D47" i="38"/>
  <c r="G38" i="38" a="1"/>
  <c r="G38" i="38" s="1"/>
  <c r="H38" i="38" s="1"/>
  <c r="G66" i="38" a="1"/>
  <c r="G66" i="38" s="1"/>
  <c r="H66" i="38" s="1"/>
  <c r="G21" i="38" a="1"/>
  <c r="G21" i="38" s="1"/>
  <c r="H21" i="38" s="1"/>
  <c r="D20" i="38"/>
  <c r="G22" i="38" a="1"/>
  <c r="G22" i="38" s="1"/>
  <c r="H22" i="38" s="1"/>
  <c r="G24" i="38" a="1"/>
  <c r="G24" i="38" s="1"/>
  <c r="H24" i="38" s="1"/>
  <c r="G44" i="38" a="1"/>
  <c r="G44" i="38" s="1"/>
  <c r="H44" i="38" s="1"/>
  <c r="G55" i="38" a="1"/>
  <c r="G55" i="38" s="1"/>
  <c r="H55" i="38" s="1"/>
  <c r="G60" i="38" a="1"/>
  <c r="G60" i="38" s="1"/>
  <c r="H60" i="38" s="1"/>
  <c r="G69" i="38" a="1"/>
  <c r="G69" i="38" s="1"/>
  <c r="H69" i="38" s="1"/>
  <c r="G73" i="38" a="1"/>
  <c r="G73" i="38" s="1"/>
  <c r="H73" i="38" s="1"/>
  <c r="G45" i="38" a="1"/>
  <c r="G45" i="38" s="1"/>
  <c r="H45" i="38" s="1"/>
  <c r="G46" i="38" a="1"/>
  <c r="G46" i="38" s="1"/>
  <c r="H46" i="38" s="1"/>
  <c r="G58" i="38" a="1"/>
  <c r="G58" i="38" s="1"/>
  <c r="H58" i="38" s="1"/>
  <c r="G62" i="38" a="1"/>
  <c r="G62" i="38" s="1"/>
  <c r="H62" i="38" s="1"/>
  <c r="G28" i="38" a="1"/>
  <c r="G28" i="38" s="1"/>
  <c r="H28" i="38" s="1"/>
  <c r="G67" i="38" a="1"/>
  <c r="G67" i="38" s="1"/>
  <c r="H67" i="38" s="1"/>
  <c r="G79" i="38" a="1"/>
  <c r="G79" i="38" s="1"/>
  <c r="H79" i="38" s="1"/>
  <c r="G78" i="38" a="1"/>
  <c r="G78" i="38" s="1"/>
  <c r="H78" i="38" s="1"/>
  <c r="G71" i="38" a="1"/>
  <c r="G71" i="38" s="1"/>
  <c r="H71" i="38" s="1"/>
  <c r="G74" i="38" a="1"/>
  <c r="G74" i="38" s="1"/>
  <c r="H74" i="38" s="1"/>
  <c r="G64" i="38" a="1"/>
  <c r="G64" i="38" s="1"/>
  <c r="H64" i="38" s="1"/>
  <c r="D74" i="38"/>
  <c r="G77" i="38" a="1"/>
  <c r="G77" i="38" s="1"/>
  <c r="H77" i="38" s="1"/>
  <c r="D53" i="38"/>
  <c r="G57" i="38" a="1"/>
  <c r="G57" i="38" s="1"/>
  <c r="H57" i="38" s="1"/>
  <c r="G97" i="37" a="1"/>
  <c r="G97" i="37" s="1"/>
  <c r="H97" i="37" s="1"/>
  <c r="F97" i="37"/>
  <c r="C97" i="37"/>
  <c r="B97" i="37"/>
  <c r="F96" i="37"/>
  <c r="C96" i="37"/>
  <c r="G96" i="37" s="1" a="1"/>
  <c r="G96" i="37" s="1"/>
  <c r="H96" i="37" s="1"/>
  <c r="B96" i="37"/>
  <c r="F95" i="37"/>
  <c r="G95" i="37" s="1" a="1"/>
  <c r="G95" i="37" s="1"/>
  <c r="H95" i="37" s="1"/>
  <c r="C95" i="37"/>
  <c r="B95" i="37"/>
  <c r="F94" i="37"/>
  <c r="C94" i="37"/>
  <c r="B94" i="37"/>
  <c r="F93" i="37"/>
  <c r="G93" i="37" s="1" a="1"/>
  <c r="G93" i="37" s="1"/>
  <c r="H93" i="37" s="1"/>
  <c r="C93" i="37"/>
  <c r="B93" i="37"/>
  <c r="F92" i="37"/>
  <c r="B92" i="37"/>
  <c r="C92" i="37" s="1"/>
  <c r="G91" i="37" a="1"/>
  <c r="G91" i="37" s="1"/>
  <c r="H91" i="37" s="1"/>
  <c r="F91" i="37"/>
  <c r="B91" i="37"/>
  <c r="C91" i="37" s="1"/>
  <c r="F90" i="37"/>
  <c r="B90" i="37"/>
  <c r="C90" i="37" s="1"/>
  <c r="F89" i="37"/>
  <c r="C89" i="37"/>
  <c r="G89" i="37" s="1" a="1"/>
  <c r="G89" i="37" s="1"/>
  <c r="H89" i="37" s="1"/>
  <c r="B89" i="37"/>
  <c r="G88" i="37" a="1"/>
  <c r="G88" i="37" s="1"/>
  <c r="H88" i="37" s="1"/>
  <c r="F88" i="37"/>
  <c r="C88" i="37"/>
  <c r="B88" i="37"/>
  <c r="F87" i="37"/>
  <c r="B87" i="37"/>
  <c r="C87" i="37" s="1"/>
  <c r="F86" i="37"/>
  <c r="B86" i="37"/>
  <c r="C86" i="37" s="1"/>
  <c r="G85" i="37" a="1"/>
  <c r="G85" i="37" s="1"/>
  <c r="H85" i="37" s="1"/>
  <c r="F85" i="37"/>
  <c r="C85" i="37"/>
  <c r="B85" i="37"/>
  <c r="F84" i="37"/>
  <c r="C84" i="37"/>
  <c r="B84" i="37"/>
  <c r="F83" i="37"/>
  <c r="C83" i="37"/>
  <c r="B83" i="37"/>
  <c r="F82" i="37"/>
  <c r="B82" i="37"/>
  <c r="C82" i="37" s="1"/>
  <c r="F81" i="37"/>
  <c r="C81" i="37"/>
  <c r="B81" i="37"/>
  <c r="F80" i="37"/>
  <c r="B80" i="37"/>
  <c r="C80" i="37" s="1"/>
  <c r="G79" i="37" a="1"/>
  <c r="G79" i="37" s="1"/>
  <c r="H79" i="37" s="1"/>
  <c r="F79" i="37"/>
  <c r="B79" i="37"/>
  <c r="C79" i="37" s="1"/>
  <c r="F78" i="37"/>
  <c r="B78" i="37"/>
  <c r="C78" i="37" s="1"/>
  <c r="F77" i="37"/>
  <c r="B77" i="37"/>
  <c r="C77" i="37" s="1"/>
  <c r="F76" i="37"/>
  <c r="B76" i="37"/>
  <c r="C76" i="37" s="1"/>
  <c r="G76" i="37" s="1" a="1"/>
  <c r="G76" i="37" s="1"/>
  <c r="H76" i="37" s="1"/>
  <c r="F75" i="37"/>
  <c r="B75" i="37"/>
  <c r="C75" i="37" s="1"/>
  <c r="F74" i="37"/>
  <c r="B74" i="37"/>
  <c r="C74" i="37" s="1"/>
  <c r="G73" i="37" a="1"/>
  <c r="G73" i="37" s="1"/>
  <c r="H73" i="37" s="1"/>
  <c r="F73" i="37"/>
  <c r="C73" i="37"/>
  <c r="B73" i="37"/>
  <c r="F72" i="37"/>
  <c r="C72" i="37"/>
  <c r="B72" i="37"/>
  <c r="F71" i="37"/>
  <c r="C71" i="37"/>
  <c r="B71" i="37"/>
  <c r="F70" i="37"/>
  <c r="B70" i="37"/>
  <c r="C70" i="37" s="1"/>
  <c r="F69" i="37"/>
  <c r="C69" i="37"/>
  <c r="B69" i="37"/>
  <c r="F68" i="37"/>
  <c r="C68" i="37"/>
  <c r="B68" i="37"/>
  <c r="F67" i="37"/>
  <c r="G67" i="37" s="1" a="1"/>
  <c r="G67" i="37" s="1"/>
  <c r="H67" i="37" s="1"/>
  <c r="B67" i="37"/>
  <c r="C67" i="37" s="1"/>
  <c r="F66" i="37"/>
  <c r="B66" i="37"/>
  <c r="C66" i="37" s="1"/>
  <c r="F65" i="37"/>
  <c r="C65" i="37"/>
  <c r="B65" i="37"/>
  <c r="G64" i="37" a="1"/>
  <c r="G64" i="37" s="1"/>
  <c r="H64" i="37" s="1"/>
  <c r="F64" i="37"/>
  <c r="B64" i="37"/>
  <c r="C64" i="37" s="1"/>
  <c r="F63" i="37"/>
  <c r="C63" i="37"/>
  <c r="B63" i="37"/>
  <c r="F62" i="37"/>
  <c r="C62" i="37"/>
  <c r="B62" i="37"/>
  <c r="F61" i="37"/>
  <c r="B61" i="37"/>
  <c r="C61" i="37" s="1"/>
  <c r="F60" i="37"/>
  <c r="C60" i="37"/>
  <c r="B60" i="37"/>
  <c r="F59" i="37"/>
  <c r="C59" i="37"/>
  <c r="B59" i="37"/>
  <c r="F58" i="37"/>
  <c r="B58" i="37"/>
  <c r="C58" i="37" s="1"/>
  <c r="G57" i="37" a="1"/>
  <c r="G57" i="37" s="1"/>
  <c r="H57" i="37" s="1"/>
  <c r="F57" i="37"/>
  <c r="C57" i="37"/>
  <c r="B57" i="37"/>
  <c r="F56" i="37"/>
  <c r="C56" i="37"/>
  <c r="B56" i="37"/>
  <c r="F55" i="37"/>
  <c r="G55" i="37" s="1" a="1"/>
  <c r="G55" i="37" s="1"/>
  <c r="H55" i="37" s="1"/>
  <c r="D55" i="37"/>
  <c r="K55" i="37" s="1" a="1"/>
  <c r="K55" i="37" s="1"/>
  <c r="B55" i="37"/>
  <c r="C55" i="37" s="1"/>
  <c r="F54" i="37"/>
  <c r="B54" i="37"/>
  <c r="C54" i="37" s="1"/>
  <c r="F53" i="37"/>
  <c r="C53" i="37"/>
  <c r="B53" i="37"/>
  <c r="G52" i="37" a="1"/>
  <c r="G52" i="37" s="1"/>
  <c r="H52" i="37" s="1"/>
  <c r="F52" i="37"/>
  <c r="D52" i="37"/>
  <c r="B52" i="37"/>
  <c r="C52" i="37" s="1"/>
  <c r="F51" i="37"/>
  <c r="C51" i="37"/>
  <c r="B51" i="37"/>
  <c r="F50" i="37"/>
  <c r="C50" i="37"/>
  <c r="B50" i="37"/>
  <c r="F49" i="37"/>
  <c r="B49" i="37"/>
  <c r="C49" i="37" s="1"/>
  <c r="G48" i="37" a="1"/>
  <c r="G48" i="37" s="1"/>
  <c r="H48" i="37" s="1"/>
  <c r="F48" i="37"/>
  <c r="C48" i="37"/>
  <c r="B48" i="37"/>
  <c r="F47" i="37"/>
  <c r="C47" i="37"/>
  <c r="B47" i="37"/>
  <c r="F46" i="37"/>
  <c r="C46" i="37"/>
  <c r="G46" i="37" s="1" a="1"/>
  <c r="G46" i="37" s="1"/>
  <c r="H46" i="37" s="1"/>
  <c r="B46" i="37"/>
  <c r="F45" i="37"/>
  <c r="C45" i="37"/>
  <c r="B45" i="37"/>
  <c r="F44" i="37"/>
  <c r="C44" i="37"/>
  <c r="B44" i="37"/>
  <c r="F43" i="37"/>
  <c r="B43" i="37"/>
  <c r="C43" i="37" s="1"/>
  <c r="G42" i="37" a="1"/>
  <c r="G42" i="37" s="1"/>
  <c r="H42" i="37" s="1"/>
  <c r="F42" i="37"/>
  <c r="B42" i="37"/>
  <c r="C42" i="37" s="1"/>
  <c r="F41" i="37"/>
  <c r="C41" i="37"/>
  <c r="B41" i="37"/>
  <c r="F40" i="37"/>
  <c r="B40" i="37"/>
  <c r="C40" i="37" s="1"/>
  <c r="F39" i="37"/>
  <c r="B39" i="37"/>
  <c r="C39" i="37" s="1"/>
  <c r="F38" i="37"/>
  <c r="C38" i="37"/>
  <c r="B38" i="37"/>
  <c r="F37" i="37"/>
  <c r="B37" i="37"/>
  <c r="C37" i="37" s="1"/>
  <c r="F36" i="37"/>
  <c r="C36" i="37"/>
  <c r="B36" i="37"/>
  <c r="F35" i="37"/>
  <c r="G35" i="37" s="1" a="1"/>
  <c r="G35" i="37" s="1"/>
  <c r="H35" i="37" s="1"/>
  <c r="C35" i="37"/>
  <c r="B35" i="37"/>
  <c r="F34" i="37"/>
  <c r="B34" i="37"/>
  <c r="C34" i="37" s="1"/>
  <c r="F33" i="37"/>
  <c r="C33" i="37"/>
  <c r="B33" i="37"/>
  <c r="G32" i="37" a="1"/>
  <c r="G32" i="37" s="1"/>
  <c r="H32" i="37" s="1"/>
  <c r="F32" i="37"/>
  <c r="B32" i="37"/>
  <c r="C32" i="37" s="1"/>
  <c r="F31" i="37"/>
  <c r="B31" i="37"/>
  <c r="C31" i="37" s="1"/>
  <c r="F30" i="37"/>
  <c r="G30" i="37" s="1" a="1"/>
  <c r="G30" i="37" s="1"/>
  <c r="H30" i="37" s="1"/>
  <c r="C30" i="37"/>
  <c r="B30" i="37"/>
  <c r="F29" i="37"/>
  <c r="B29" i="37"/>
  <c r="C29" i="37" s="1"/>
  <c r="F28" i="37"/>
  <c r="C28" i="37"/>
  <c r="B28" i="37"/>
  <c r="F27" i="37"/>
  <c r="G27" i="37" s="1" a="1"/>
  <c r="G27" i="37" s="1"/>
  <c r="H27" i="37" s="1"/>
  <c r="C27" i="37"/>
  <c r="B27" i="37"/>
  <c r="G26" i="37" a="1"/>
  <c r="G26" i="37" s="1"/>
  <c r="H26" i="37" s="1"/>
  <c r="F26" i="37"/>
  <c r="C26" i="37"/>
  <c r="B26" i="37"/>
  <c r="F25" i="37"/>
  <c r="B25" i="37"/>
  <c r="C25" i="37" s="1"/>
  <c r="F24" i="37"/>
  <c r="C24" i="37"/>
  <c r="B24" i="37"/>
  <c r="F23" i="37"/>
  <c r="B23" i="37"/>
  <c r="C23" i="37" s="1"/>
  <c r="F22" i="37"/>
  <c r="C22" i="37"/>
  <c r="G22" i="37" s="1" a="1"/>
  <c r="G22" i="37" s="1"/>
  <c r="H22" i="37" s="1"/>
  <c r="B22" i="37"/>
  <c r="F21" i="37"/>
  <c r="B21" i="37"/>
  <c r="C21" i="37" s="1"/>
  <c r="F20" i="37"/>
  <c r="B20" i="37"/>
  <c r="C20" i="37" s="1"/>
  <c r="F19" i="37"/>
  <c r="B19" i="37"/>
  <c r="C19" i="37" s="1"/>
  <c r="F18" i="37"/>
  <c r="B18" i="37"/>
  <c r="C18" i="37" s="1"/>
  <c r="F17" i="37"/>
  <c r="B17" i="37"/>
  <c r="C17" i="37" s="1"/>
  <c r="F16" i="37"/>
  <c r="C16" i="37"/>
  <c r="G16" i="37" s="1" a="1"/>
  <c r="G16" i="37" s="1"/>
  <c r="H16" i="37" s="1"/>
  <c r="B16" i="37"/>
  <c r="F15" i="37"/>
  <c r="B15" i="37"/>
  <c r="C15" i="37" s="1"/>
  <c r="F14" i="37"/>
  <c r="B14" i="37"/>
  <c r="C14" i="37" s="1"/>
  <c r="F13" i="37"/>
  <c r="B13" i="37"/>
  <c r="C13" i="37" s="1"/>
  <c r="F12" i="37"/>
  <c r="B12" i="37"/>
  <c r="C12" i="37" s="1"/>
  <c r="F11" i="37"/>
  <c r="B11" i="37"/>
  <c r="C11" i="37" s="1"/>
  <c r="G10" i="37" a="1"/>
  <c r="G10" i="37" s="1"/>
  <c r="H10" i="37" s="1"/>
  <c r="F10" i="37"/>
  <c r="C10" i="37"/>
  <c r="B10" i="37"/>
  <c r="F9" i="37"/>
  <c r="C9" i="37"/>
  <c r="B9" i="37"/>
  <c r="F8" i="37"/>
  <c r="G8" i="37" s="1" a="1"/>
  <c r="G8" i="37" s="1"/>
  <c r="H8" i="37" s="1"/>
  <c r="B8" i="37"/>
  <c r="C8" i="37" s="1"/>
  <c r="D8" i="37" s="1"/>
  <c r="Y7" i="37"/>
  <c r="G7" i="37" a="1"/>
  <c r="G7" i="37" s="1"/>
  <c r="H7" i="37" s="1"/>
  <c r="F7" i="37"/>
  <c r="C7" i="37"/>
  <c r="B7" i="37"/>
  <c r="F6" i="37"/>
  <c r="C6" i="37"/>
  <c r="G6" i="37" s="1" a="1"/>
  <c r="G6" i="37" s="1"/>
  <c r="B6" i="37"/>
  <c r="D4" i="37"/>
  <c r="F72" i="36"/>
  <c r="B72" i="36"/>
  <c r="C72" i="36" s="1"/>
  <c r="F93" i="36"/>
  <c r="B93" i="36"/>
  <c r="C93" i="36" s="1"/>
  <c r="F97" i="36"/>
  <c r="B97" i="36"/>
  <c r="C97" i="36" s="1"/>
  <c r="F92" i="36"/>
  <c r="B92" i="36"/>
  <c r="C92" i="36" s="1"/>
  <c r="F65" i="36"/>
  <c r="B65" i="36"/>
  <c r="C65" i="36" s="1"/>
  <c r="F91" i="36"/>
  <c r="B91" i="36"/>
  <c r="C91" i="36" s="1"/>
  <c r="F51" i="36"/>
  <c r="B51" i="36"/>
  <c r="C51" i="36" s="1"/>
  <c r="F50" i="36"/>
  <c r="B50" i="36"/>
  <c r="C50" i="36" s="1"/>
  <c r="F49" i="36"/>
  <c r="B49" i="36"/>
  <c r="C49" i="36" s="1"/>
  <c r="F48" i="36"/>
  <c r="B48" i="36"/>
  <c r="C48" i="36" s="1"/>
  <c r="F47" i="36"/>
  <c r="B47" i="36"/>
  <c r="C47" i="36" s="1"/>
  <c r="F46" i="36"/>
  <c r="B46" i="36"/>
  <c r="C46" i="36" s="1"/>
  <c r="F45" i="36"/>
  <c r="B45" i="36"/>
  <c r="C45" i="36" s="1"/>
  <c r="F44" i="36"/>
  <c r="B44" i="36"/>
  <c r="C44" i="36" s="1"/>
  <c r="F43" i="36"/>
  <c r="B43" i="36"/>
  <c r="C43" i="36" s="1"/>
  <c r="F42" i="36"/>
  <c r="B42" i="36"/>
  <c r="C42" i="36" s="1"/>
  <c r="F41" i="36"/>
  <c r="B41" i="36"/>
  <c r="C41" i="36" s="1"/>
  <c r="F40" i="36"/>
  <c r="B40" i="36"/>
  <c r="C40" i="36" s="1"/>
  <c r="F39" i="36"/>
  <c r="B39" i="36"/>
  <c r="C39" i="36" s="1"/>
  <c r="F38" i="36"/>
  <c r="B38" i="36"/>
  <c r="C38" i="36" s="1"/>
  <c r="F37" i="36"/>
  <c r="B37" i="36"/>
  <c r="C37" i="36" s="1"/>
  <c r="F36" i="36"/>
  <c r="B36" i="36"/>
  <c r="C36" i="36" s="1"/>
  <c r="F35" i="36"/>
  <c r="B35" i="36"/>
  <c r="C35" i="36" s="1"/>
  <c r="F34" i="36"/>
  <c r="B34" i="36"/>
  <c r="C34" i="36" s="1"/>
  <c r="F33" i="36"/>
  <c r="B33" i="36"/>
  <c r="C33" i="36" s="1"/>
  <c r="F32" i="36"/>
  <c r="B32" i="36"/>
  <c r="C32" i="36" s="1"/>
  <c r="F90" i="36"/>
  <c r="B90" i="36"/>
  <c r="C90" i="36" s="1"/>
  <c r="F24" i="36"/>
  <c r="B24" i="36"/>
  <c r="C24" i="36" s="1"/>
  <c r="F23" i="36"/>
  <c r="B23" i="36"/>
  <c r="C23" i="36" s="1"/>
  <c r="F64" i="36"/>
  <c r="B64" i="36"/>
  <c r="C64" i="36" s="1"/>
  <c r="F22" i="36"/>
  <c r="B22" i="36"/>
  <c r="C22" i="36" s="1"/>
  <c r="F98" i="36"/>
  <c r="B98" i="36"/>
  <c r="C98" i="36" s="1"/>
  <c r="F89" i="36"/>
  <c r="B89" i="36"/>
  <c r="C89" i="36" s="1"/>
  <c r="F21" i="36"/>
  <c r="B21" i="36"/>
  <c r="C21" i="36" s="1"/>
  <c r="F20" i="36"/>
  <c r="B20" i="36"/>
  <c r="C20" i="36" s="1"/>
  <c r="F63" i="36"/>
  <c r="B63" i="36"/>
  <c r="C63" i="36" s="1"/>
  <c r="F88" i="36"/>
  <c r="B88" i="36"/>
  <c r="C88" i="36" s="1"/>
  <c r="F6" i="36"/>
  <c r="B6" i="36"/>
  <c r="F73" i="36"/>
  <c r="B73" i="36"/>
  <c r="C73" i="36" s="1"/>
  <c r="F87" i="36"/>
  <c r="B87" i="36"/>
  <c r="C87" i="36" s="1"/>
  <c r="F62" i="36"/>
  <c r="B62" i="36"/>
  <c r="C62" i="36" s="1"/>
  <c r="F61" i="36"/>
  <c r="B61" i="36"/>
  <c r="C61" i="36" s="1"/>
  <c r="F60" i="36"/>
  <c r="B60" i="36"/>
  <c r="C60" i="36" s="1"/>
  <c r="F12" i="36"/>
  <c r="B12" i="36"/>
  <c r="C12" i="36" s="1"/>
  <c r="F59" i="36"/>
  <c r="B59" i="36"/>
  <c r="C59" i="36" s="1"/>
  <c r="F58" i="36"/>
  <c r="B58" i="36"/>
  <c r="C58" i="36" s="1"/>
  <c r="F19" i="36"/>
  <c r="B19" i="36"/>
  <c r="C19" i="36" s="1"/>
  <c r="F18" i="36"/>
  <c r="B18" i="36"/>
  <c r="C18" i="36" s="1"/>
  <c r="F71" i="36"/>
  <c r="B71" i="36"/>
  <c r="C71" i="36" s="1"/>
  <c r="F70" i="36"/>
  <c r="B70" i="36"/>
  <c r="C70" i="36" s="1"/>
  <c r="F86" i="36"/>
  <c r="B86" i="36"/>
  <c r="C86" i="36" s="1"/>
  <c r="F85" i="36"/>
  <c r="B85" i="36"/>
  <c r="C85" i="36" s="1"/>
  <c r="F57" i="36"/>
  <c r="B57" i="36"/>
  <c r="C57" i="36" s="1"/>
  <c r="F56" i="36"/>
  <c r="B56" i="36"/>
  <c r="C56" i="36" s="1"/>
  <c r="F84" i="36"/>
  <c r="B84" i="36"/>
  <c r="C84" i="36" s="1"/>
  <c r="F69" i="36"/>
  <c r="B69" i="36"/>
  <c r="C69" i="36" s="1"/>
  <c r="F55" i="36"/>
  <c r="B55" i="36"/>
  <c r="C55" i="36" s="1"/>
  <c r="F83" i="36"/>
  <c r="B83" i="36"/>
  <c r="C83" i="36" s="1"/>
  <c r="F82" i="36"/>
  <c r="B82" i="36"/>
  <c r="C82" i="36" s="1"/>
  <c r="F17" i="36"/>
  <c r="B17" i="36"/>
  <c r="C17" i="36" s="1"/>
  <c r="F54" i="36"/>
  <c r="B54" i="36"/>
  <c r="C54" i="36" s="1"/>
  <c r="F31" i="36"/>
  <c r="B31" i="36"/>
  <c r="C31" i="36" s="1"/>
  <c r="F30" i="36"/>
  <c r="B30" i="36"/>
  <c r="C30" i="36" s="1"/>
  <c r="F96" i="36"/>
  <c r="B96" i="36"/>
  <c r="C96" i="36" s="1"/>
  <c r="F11" i="36"/>
  <c r="B11" i="36"/>
  <c r="C11" i="36" s="1"/>
  <c r="F81" i="36"/>
  <c r="B81" i="36"/>
  <c r="C81" i="36" s="1"/>
  <c r="F80" i="36"/>
  <c r="B80" i="36"/>
  <c r="C80" i="36" s="1"/>
  <c r="F79" i="36"/>
  <c r="B79" i="36"/>
  <c r="C79" i="36" s="1"/>
  <c r="F68" i="36"/>
  <c r="B68" i="36"/>
  <c r="C68" i="36" s="1"/>
  <c r="F16" i="36"/>
  <c r="B16" i="36"/>
  <c r="C16" i="36" s="1"/>
  <c r="F53" i="36"/>
  <c r="B53" i="36"/>
  <c r="C53" i="36" s="1"/>
  <c r="F28" i="36"/>
  <c r="B28" i="36"/>
  <c r="C28" i="36" s="1"/>
  <c r="F52" i="36"/>
  <c r="B52" i="36"/>
  <c r="C52" i="36" s="1"/>
  <c r="F27" i="36"/>
  <c r="B27" i="36"/>
  <c r="C27" i="36" s="1"/>
  <c r="F26" i="36"/>
  <c r="B26" i="36"/>
  <c r="C26" i="36" s="1"/>
  <c r="F25" i="36"/>
  <c r="B25" i="36"/>
  <c r="C25" i="36" s="1"/>
  <c r="F78" i="36"/>
  <c r="B78" i="36"/>
  <c r="C78" i="36" s="1"/>
  <c r="F67" i="36"/>
  <c r="B67" i="36"/>
  <c r="C67" i="36" s="1"/>
  <c r="F95" i="36"/>
  <c r="B95" i="36"/>
  <c r="C95" i="36" s="1"/>
  <c r="F15" i="36"/>
  <c r="B15" i="36"/>
  <c r="C15" i="36" s="1"/>
  <c r="F10" i="36"/>
  <c r="B10" i="36"/>
  <c r="C10" i="36" s="1"/>
  <c r="F66" i="36"/>
  <c r="B66" i="36"/>
  <c r="C66" i="36" s="1"/>
  <c r="F14" i="36"/>
  <c r="B14" i="36"/>
  <c r="C14" i="36" s="1"/>
  <c r="F94" i="36"/>
  <c r="B94" i="36"/>
  <c r="C94" i="36" s="1"/>
  <c r="F77" i="36"/>
  <c r="B77" i="36"/>
  <c r="C77" i="36" s="1"/>
  <c r="F76" i="36"/>
  <c r="B76" i="36"/>
  <c r="C76" i="36" s="1"/>
  <c r="F75" i="36"/>
  <c r="B75" i="36"/>
  <c r="C75" i="36" s="1"/>
  <c r="F13" i="36"/>
  <c r="B13" i="36"/>
  <c r="C13" i="36" s="1"/>
  <c r="F74" i="36"/>
  <c r="B74" i="36"/>
  <c r="C74" i="36" s="1"/>
  <c r="F29" i="36"/>
  <c r="B29" i="36"/>
  <c r="C29" i="36" s="1"/>
  <c r="F9" i="36"/>
  <c r="B9" i="36"/>
  <c r="C9" i="36" s="1"/>
  <c r="Y7" i="36"/>
  <c r="F8" i="36"/>
  <c r="B8" i="36"/>
  <c r="C8" i="36" s="1"/>
  <c r="F7" i="36"/>
  <c r="B7" i="36"/>
  <c r="C7" i="36" s="1"/>
  <c r="D4" i="36"/>
  <c r="G67" i="36" l="1" a="1"/>
  <c r="G67" i="36" s="1"/>
  <c r="H67" i="36" s="1"/>
  <c r="G33" i="36" a="1"/>
  <c r="G33" i="36" s="1"/>
  <c r="H33" i="36" s="1"/>
  <c r="G72" i="36" a="1"/>
  <c r="G72" i="36" s="1"/>
  <c r="H72" i="36" s="1"/>
  <c r="G74" i="36" a="1"/>
  <c r="G74" i="36" s="1"/>
  <c r="H74" i="36" s="1"/>
  <c r="G81" i="36" a="1"/>
  <c r="G81" i="36" s="1"/>
  <c r="H81" i="36" s="1"/>
  <c r="G58" i="36" a="1"/>
  <c r="G58" i="36" s="1"/>
  <c r="H58" i="36" s="1"/>
  <c r="G48" i="36" a="1"/>
  <c r="G48" i="36" s="1"/>
  <c r="H48" i="36" s="1"/>
  <c r="C6" i="36"/>
  <c r="J2" i="36" s="1"/>
  <c r="G73" i="36" s="1" a="1"/>
  <c r="G73" i="36" s="1"/>
  <c r="H73" i="36" s="1"/>
  <c r="Q5" i="11"/>
  <c r="Q17" i="11"/>
  <c r="Q29" i="11"/>
  <c r="Q41" i="11"/>
  <c r="Q53" i="11"/>
  <c r="Q65" i="11"/>
  <c r="Q77" i="11"/>
  <c r="Q89" i="11"/>
  <c r="Q18" i="11"/>
  <c r="Q30" i="11"/>
  <c r="Q42" i="11"/>
  <c r="Q54" i="11"/>
  <c r="Q66" i="11"/>
  <c r="Q78" i="11"/>
  <c r="Q90" i="11"/>
  <c r="Q55" i="11"/>
  <c r="Q79" i="11"/>
  <c r="Q70" i="11"/>
  <c r="Q47" i="11"/>
  <c r="Q71" i="11"/>
  <c r="Q27" i="11"/>
  <c r="Q87" i="11"/>
  <c r="Q28" i="11"/>
  <c r="Q88" i="11"/>
  <c r="Q6" i="11"/>
  <c r="Q7" i="11"/>
  <c r="Q19" i="11"/>
  <c r="Q31" i="11"/>
  <c r="Q43" i="11"/>
  <c r="Q67" i="11"/>
  <c r="Q91" i="11"/>
  <c r="Q94" i="11"/>
  <c r="Q35" i="11"/>
  <c r="Q83" i="11"/>
  <c r="Q86" i="11"/>
  <c r="Q51" i="11"/>
  <c r="Q16" i="11"/>
  <c r="Q64" i="11"/>
  <c r="Q8" i="11"/>
  <c r="Q20" i="11"/>
  <c r="Q32" i="11"/>
  <c r="Q44" i="11"/>
  <c r="Q56" i="11"/>
  <c r="Q68" i="11"/>
  <c r="Q80" i="11"/>
  <c r="Q92" i="11"/>
  <c r="Q21" i="11"/>
  <c r="Q33" i="11"/>
  <c r="Q45" i="11"/>
  <c r="Q57" i="11"/>
  <c r="Q69" i="11"/>
  <c r="Q81" i="11"/>
  <c r="Q93" i="11"/>
  <c r="Q22" i="11"/>
  <c r="Q34" i="11"/>
  <c r="Q46" i="11"/>
  <c r="Q58" i="11"/>
  <c r="Q82" i="11"/>
  <c r="Q23" i="11"/>
  <c r="Q59" i="11"/>
  <c r="Q95" i="11"/>
  <c r="Q15" i="11"/>
  <c r="Q63" i="11"/>
  <c r="Q40" i="11"/>
  <c r="Q9" i="11"/>
  <c r="Q10" i="11"/>
  <c r="Q11" i="11"/>
  <c r="Q12" i="11"/>
  <c r="Q24" i="11"/>
  <c r="Q36" i="11"/>
  <c r="Q48" i="11"/>
  <c r="Q60" i="11"/>
  <c r="Q72" i="11"/>
  <c r="Q84" i="11"/>
  <c r="Q25" i="11"/>
  <c r="Q37" i="11"/>
  <c r="Q49" i="11"/>
  <c r="Q61" i="11"/>
  <c r="Q73" i="11"/>
  <c r="Q85" i="11"/>
  <c r="Q14" i="11"/>
  <c r="Q26" i="11"/>
  <c r="Q38" i="11"/>
  <c r="Q50" i="11"/>
  <c r="Q62" i="11"/>
  <c r="Q74" i="11"/>
  <c r="Q39" i="11"/>
  <c r="Q75" i="11"/>
  <c r="Q52" i="11"/>
  <c r="Q76" i="11"/>
  <c r="Q13" i="11"/>
  <c r="Q3" i="11"/>
  <c r="Q4" i="11"/>
  <c r="G60" i="36" a="1"/>
  <c r="G60" i="36" s="1"/>
  <c r="H60" i="36" s="1"/>
  <c r="G38" i="36" a="1"/>
  <c r="G38" i="36" s="1"/>
  <c r="H38" i="36" s="1"/>
  <c r="G14" i="38" a="1"/>
  <c r="G14" i="38" s="1"/>
  <c r="H14" i="38" s="1"/>
  <c r="G59" i="38" a="1"/>
  <c r="G59" i="38" s="1"/>
  <c r="H59" i="38" s="1"/>
  <c r="G9" i="38" a="1"/>
  <c r="G9" i="38" s="1"/>
  <c r="H9" i="38" s="1"/>
  <c r="G39" i="38" a="1"/>
  <c r="G39" i="38" s="1"/>
  <c r="H39" i="38" s="1"/>
  <c r="K6" i="38" a="1"/>
  <c r="K6" i="38" s="1"/>
  <c r="K15" i="38" a="1"/>
  <c r="K15" i="38" s="1"/>
  <c r="K74" i="38" a="1"/>
  <c r="K74" i="38" s="1"/>
  <c r="K7" i="38" a="1"/>
  <c r="K7" i="38" s="1"/>
  <c r="K30" i="38" a="1"/>
  <c r="K30" i="38" s="1"/>
  <c r="K53" i="38" a="1"/>
  <c r="K53" i="38" s="1"/>
  <c r="K20" i="38" a="1"/>
  <c r="K20" i="38" s="1"/>
  <c r="H6" i="38"/>
  <c r="G37" i="38" a="1"/>
  <c r="G37" i="38" s="1"/>
  <c r="H37" i="38" s="1"/>
  <c r="K47" i="38" a="1"/>
  <c r="K47" i="38" s="1"/>
  <c r="K54" i="38" a="1"/>
  <c r="K54" i="38" s="1"/>
  <c r="G15" i="38" a="1"/>
  <c r="G15" i="38" s="1"/>
  <c r="H15" i="38" s="1"/>
  <c r="K35" i="38" a="1"/>
  <c r="K35" i="38" s="1"/>
  <c r="G56" i="36" a="1"/>
  <c r="G56" i="36" s="1"/>
  <c r="H56" i="36" s="1"/>
  <c r="G55" i="36" a="1"/>
  <c r="G55" i="36" s="1"/>
  <c r="H55" i="36" s="1"/>
  <c r="G70" i="36" a="1"/>
  <c r="G70" i="36" s="1"/>
  <c r="H70" i="36" s="1"/>
  <c r="D14" i="36"/>
  <c r="K14" i="36" s="1" a="1"/>
  <c r="K14" i="36" s="1"/>
  <c r="G54" i="36" a="1"/>
  <c r="G54" i="36" s="1"/>
  <c r="H54" i="36" s="1"/>
  <c r="G45" i="36" a="1"/>
  <c r="G45" i="36" s="1"/>
  <c r="H45" i="36" s="1"/>
  <c r="G14" i="36" a="1"/>
  <c r="G14" i="36" s="1"/>
  <c r="H14" i="36" s="1"/>
  <c r="G88" i="36" a="1"/>
  <c r="G88" i="36" s="1"/>
  <c r="H88" i="36" s="1"/>
  <c r="G77" i="36" a="1"/>
  <c r="G77" i="36" s="1"/>
  <c r="H77" i="36" s="1"/>
  <c r="G97" i="36" a="1"/>
  <c r="G97" i="36" s="1"/>
  <c r="H97" i="36" s="1"/>
  <c r="G51" i="36" a="1"/>
  <c r="G51" i="36" s="1"/>
  <c r="H51" i="36" s="1"/>
  <c r="G28" i="36" a="1"/>
  <c r="G28" i="36" s="1"/>
  <c r="H28" i="36" s="1"/>
  <c r="G41" i="36" a="1"/>
  <c r="G41" i="36" s="1"/>
  <c r="H41" i="36" s="1"/>
  <c r="G46" i="36" a="1"/>
  <c r="G46" i="36" s="1"/>
  <c r="H46" i="36" s="1"/>
  <c r="D8" i="36"/>
  <c r="G43" i="36" a="1"/>
  <c r="G43" i="36" s="1"/>
  <c r="H43" i="36" s="1"/>
  <c r="G8" i="36" a="1"/>
  <c r="G8" i="36" s="1"/>
  <c r="H8" i="36" s="1"/>
  <c r="G44" i="36" a="1"/>
  <c r="G44" i="36" s="1"/>
  <c r="H44" i="36" s="1"/>
  <c r="G80" i="36" a="1"/>
  <c r="G80" i="36" s="1"/>
  <c r="H80" i="36" s="1"/>
  <c r="G62" i="36" a="1"/>
  <c r="G62" i="36" s="1"/>
  <c r="H62" i="36" s="1"/>
  <c r="G71" i="36" a="1"/>
  <c r="G71" i="36" s="1"/>
  <c r="H71" i="36" s="1"/>
  <c r="G36" i="36" a="1"/>
  <c r="G36" i="36" s="1"/>
  <c r="H36" i="36" s="1"/>
  <c r="G25" i="37" a="1"/>
  <c r="G25" i="37" s="1"/>
  <c r="H25" i="37" s="1"/>
  <c r="G43" i="37" a="1"/>
  <c r="G43" i="37" s="1"/>
  <c r="H43" i="37" s="1"/>
  <c r="K8" i="37" a="1"/>
  <c r="K8" i="37" s="1"/>
  <c r="D11" i="37"/>
  <c r="G11" i="37" a="1"/>
  <c r="G11" i="37" s="1"/>
  <c r="H11" i="37" s="1"/>
  <c r="G39" i="37" a="1"/>
  <c r="G39" i="37" s="1"/>
  <c r="H39" i="37" s="1"/>
  <c r="D39" i="37"/>
  <c r="D18" i="37"/>
  <c r="G18" i="37" a="1"/>
  <c r="G18" i="37" s="1"/>
  <c r="H18" i="37" s="1"/>
  <c r="G9" i="37" a="1"/>
  <c r="G9" i="37" s="1"/>
  <c r="H9" i="37" s="1"/>
  <c r="G14" i="37" a="1"/>
  <c r="G14" i="37" s="1"/>
  <c r="H14" i="37" s="1"/>
  <c r="G23" i="37" a="1"/>
  <c r="G23" i="37" s="1"/>
  <c r="H23" i="37" s="1"/>
  <c r="G34" i="37" a="1"/>
  <c r="G34" i="37" s="1"/>
  <c r="H34" i="37" s="1"/>
  <c r="D34" i="37"/>
  <c r="G12" i="37" a="1"/>
  <c r="G12" i="37" s="1"/>
  <c r="H12" i="37" s="1"/>
  <c r="H6" i="37"/>
  <c r="G20" i="37" a="1"/>
  <c r="G20" i="37" s="1"/>
  <c r="H20" i="37" s="1"/>
  <c r="G13" i="37" a="1"/>
  <c r="G13" i="37" s="1"/>
  <c r="H13" i="37" s="1"/>
  <c r="G31" i="37" a="1"/>
  <c r="G31" i="37" s="1"/>
  <c r="H31" i="37" s="1"/>
  <c r="G87" i="37" a="1"/>
  <c r="G87" i="37" s="1"/>
  <c r="H87" i="37" s="1"/>
  <c r="G17" i="37" a="1"/>
  <c r="G17" i="37" s="1"/>
  <c r="H17" i="37" s="1"/>
  <c r="G49" i="37" a="1"/>
  <c r="G49" i="37" s="1"/>
  <c r="H49" i="37" s="1"/>
  <c r="K52" i="37" a="1"/>
  <c r="K52" i="37" s="1"/>
  <c r="G61" i="37" a="1"/>
  <c r="G61" i="37" s="1"/>
  <c r="H61" i="37" s="1"/>
  <c r="G72" i="37" a="1"/>
  <c r="G72" i="37" s="1"/>
  <c r="H72" i="37" s="1"/>
  <c r="G58" i="37" a="1"/>
  <c r="G58" i="37" s="1"/>
  <c r="H58" i="37" s="1"/>
  <c r="G75" i="37" a="1"/>
  <c r="G75" i="37" s="1"/>
  <c r="H75" i="37" s="1"/>
  <c r="G77" i="37" a="1"/>
  <c r="G77" i="37" s="1"/>
  <c r="H77" i="37" s="1"/>
  <c r="G90" i="37" a="1"/>
  <c r="G90" i="37" s="1"/>
  <c r="H90" i="37" s="1"/>
  <c r="J2" i="37"/>
  <c r="G63" i="37" a="1"/>
  <c r="G63" i="37" s="1"/>
  <c r="H63" i="37" s="1"/>
  <c r="G70" i="37" a="1"/>
  <c r="G70" i="37" s="1"/>
  <c r="H70" i="37" s="1"/>
  <c r="D19" i="37"/>
  <c r="G21" i="37" a="1"/>
  <c r="G21" i="37" s="1"/>
  <c r="H21" i="37" s="1"/>
  <c r="G19" i="37" a="1"/>
  <c r="G19" i="37" s="1"/>
  <c r="H19" i="37" s="1"/>
  <c r="G45" i="37" a="1"/>
  <c r="G45" i="37" s="1"/>
  <c r="H45" i="37" s="1"/>
  <c r="D51" i="37"/>
  <c r="G51" i="37" a="1"/>
  <c r="G51" i="37" s="1"/>
  <c r="H51" i="37" s="1"/>
  <c r="G54" i="37" a="1"/>
  <c r="G54" i="37" s="1"/>
  <c r="H54" i="37" s="1"/>
  <c r="G65" i="37" a="1"/>
  <c r="G65" i="37" s="1"/>
  <c r="H65" i="37" s="1"/>
  <c r="G78" i="37" a="1"/>
  <c r="G78" i="37" s="1"/>
  <c r="H78" i="37" s="1"/>
  <c r="G15" i="37" a="1"/>
  <c r="G15" i="37" s="1"/>
  <c r="H15" i="37" s="1"/>
  <c r="G41" i="37" a="1"/>
  <c r="G41" i="37" s="1"/>
  <c r="H41" i="37" s="1"/>
  <c r="G81" i="37" a="1"/>
  <c r="G81" i="37" s="1"/>
  <c r="H81" i="37" s="1"/>
  <c r="G44" i="37" a="1"/>
  <c r="G44" i="37" s="1"/>
  <c r="H44" i="37" s="1"/>
  <c r="G62" i="37" a="1"/>
  <c r="G62" i="37" s="1"/>
  <c r="H62" i="37" s="1"/>
  <c r="G84" i="37" a="1"/>
  <c r="G84" i="37" s="1"/>
  <c r="H84" i="37" s="1"/>
  <c r="D16" i="37"/>
  <c r="G33" i="37" a="1"/>
  <c r="G33" i="37" s="1"/>
  <c r="H33" i="37" s="1"/>
  <c r="G50" i="37" a="1"/>
  <c r="G50" i="37" s="1"/>
  <c r="H50" i="37" s="1"/>
  <c r="G56" i="37" a="1"/>
  <c r="G56" i="37" s="1"/>
  <c r="H56" i="37" s="1"/>
  <c r="G60" i="37" a="1"/>
  <c r="G60" i="37" s="1"/>
  <c r="H60" i="37" s="1"/>
  <c r="G82" i="37" a="1"/>
  <c r="G82" i="37" s="1"/>
  <c r="H82" i="37" s="1"/>
  <c r="G29" i="37" a="1"/>
  <c r="G29" i="37" s="1"/>
  <c r="H29" i="37" s="1"/>
  <c r="G38" i="37" a="1"/>
  <c r="G38" i="37" s="1"/>
  <c r="H38" i="37" s="1"/>
  <c r="G47" i="37" a="1"/>
  <c r="G47" i="37" s="1"/>
  <c r="H47" i="37" s="1"/>
  <c r="G53" i="37" a="1"/>
  <c r="G53" i="37" s="1"/>
  <c r="H53" i="37" s="1"/>
  <c r="D7" i="37"/>
  <c r="G24" i="37" a="1"/>
  <c r="G24" i="37" s="1"/>
  <c r="H24" i="37" s="1"/>
  <c r="D29" i="37"/>
  <c r="G40" i="37" a="1"/>
  <c r="G40" i="37" s="1"/>
  <c r="H40" i="37" s="1"/>
  <c r="G59" i="37" a="1"/>
  <c r="G59" i="37" s="1"/>
  <c r="H59" i="37" s="1"/>
  <c r="D6" i="37"/>
  <c r="G28" i="37" a="1"/>
  <c r="G28" i="37" s="1"/>
  <c r="H28" i="37" s="1"/>
  <c r="G66" i="37" a="1"/>
  <c r="G66" i="37" s="1"/>
  <c r="H66" i="37" s="1"/>
  <c r="G74" i="37" a="1"/>
  <c r="G74" i="37" s="1"/>
  <c r="H74" i="37" s="1"/>
  <c r="G71" i="37" a="1"/>
  <c r="G71" i="37" s="1"/>
  <c r="H71" i="37" s="1"/>
  <c r="G92" i="37" a="1"/>
  <c r="G92" i="37" s="1"/>
  <c r="H92" i="37" s="1"/>
  <c r="G80" i="37" a="1"/>
  <c r="G80" i="37" s="1"/>
  <c r="H80" i="37" s="1"/>
  <c r="G94" i="37" a="1"/>
  <c r="G94" i="37" s="1"/>
  <c r="H94" i="37" s="1"/>
  <c r="G68" i="37" a="1"/>
  <c r="G68" i="37" s="1"/>
  <c r="H68" i="37" s="1"/>
  <c r="G69" i="37" a="1"/>
  <c r="G69" i="37" s="1"/>
  <c r="H69" i="37" s="1"/>
  <c r="G86" i="37" a="1"/>
  <c r="G86" i="37" s="1"/>
  <c r="H86" i="37" s="1"/>
  <c r="G83" i="37" a="1"/>
  <c r="G83" i="37" s="1"/>
  <c r="H83" i="37" s="1"/>
  <c r="D10" i="36"/>
  <c r="G10" i="36" a="1"/>
  <c r="G10" i="36" s="1"/>
  <c r="H10" i="36" s="1"/>
  <c r="G69" i="36" a="1"/>
  <c r="G69" i="36" s="1"/>
  <c r="H69" i="36" s="1"/>
  <c r="G87" i="36" a="1"/>
  <c r="G87" i="36" s="1"/>
  <c r="H87" i="36" s="1"/>
  <c r="G75" i="36" a="1"/>
  <c r="G75" i="36" s="1"/>
  <c r="H75" i="36" s="1"/>
  <c r="G76" i="36" a="1"/>
  <c r="G76" i="36" s="1"/>
  <c r="H76" i="36" s="1"/>
  <c r="G95" i="36" a="1"/>
  <c r="G95" i="36" s="1"/>
  <c r="H95" i="36" s="1"/>
  <c r="D16" i="36"/>
  <c r="G7" i="36" a="1"/>
  <c r="G7" i="36" s="1"/>
  <c r="D7" i="36"/>
  <c r="G9" i="36" a="1"/>
  <c r="G9" i="36" s="1"/>
  <c r="H9" i="36" s="1"/>
  <c r="D9" i="36"/>
  <c r="G13" i="36" a="1"/>
  <c r="G13" i="36" s="1"/>
  <c r="H13" i="36" s="1"/>
  <c r="D13" i="36"/>
  <c r="G66" i="36" a="1"/>
  <c r="G66" i="36" s="1"/>
  <c r="H66" i="36" s="1"/>
  <c r="D15" i="36"/>
  <c r="G18" i="36" a="1"/>
  <c r="G18" i="36" s="1"/>
  <c r="H18" i="36" s="1"/>
  <c r="D18" i="36"/>
  <c r="G61" i="36" a="1"/>
  <c r="G61" i="36" s="1"/>
  <c r="H61" i="36" s="1"/>
  <c r="G23" i="36" a="1"/>
  <c r="G23" i="36" s="1"/>
  <c r="H23" i="36" s="1"/>
  <c r="G35" i="36" a="1"/>
  <c r="G35" i="36" s="1"/>
  <c r="H35" i="36" s="1"/>
  <c r="G57" i="36" a="1"/>
  <c r="G57" i="36" s="1"/>
  <c r="H57" i="36" s="1"/>
  <c r="G86" i="36" a="1"/>
  <c r="G86" i="36" s="1"/>
  <c r="H86" i="36" s="1"/>
  <c r="G21" i="36" a="1"/>
  <c r="G21" i="36" s="1"/>
  <c r="H21" i="36" s="1"/>
  <c r="G22" i="36" a="1"/>
  <c r="G22" i="36" s="1"/>
  <c r="H22" i="36" s="1"/>
  <c r="G24" i="36" a="1"/>
  <c r="G24" i="36" s="1"/>
  <c r="H24" i="36" s="1"/>
  <c r="G96" i="36" a="1"/>
  <c r="G96" i="36" s="1"/>
  <c r="H96" i="36" s="1"/>
  <c r="G6" i="36" a="1"/>
  <c r="G6" i="36" s="1"/>
  <c r="H6" i="36" s="1"/>
  <c r="G63" i="36" a="1"/>
  <c r="G63" i="36" s="1"/>
  <c r="H63" i="36" s="1"/>
  <c r="G49" i="36" a="1"/>
  <c r="G49" i="36" s="1"/>
  <c r="H49" i="36" s="1"/>
  <c r="G82" i="36" a="1"/>
  <c r="G82" i="36" s="1"/>
  <c r="H82" i="36" s="1"/>
  <c r="G39" i="36" a="1"/>
  <c r="G39" i="36" s="1"/>
  <c r="H39" i="36" s="1"/>
  <c r="G42" i="36" a="1"/>
  <c r="G42" i="36" s="1"/>
  <c r="H42" i="36" s="1"/>
  <c r="G26" i="36" a="1"/>
  <c r="G26" i="36" s="1"/>
  <c r="H26" i="36" s="1"/>
  <c r="G11" i="36" a="1"/>
  <c r="G11" i="36" s="1"/>
  <c r="H11" i="36" s="1"/>
  <c r="D11" i="36"/>
  <c r="G89" i="36" a="1"/>
  <c r="G89" i="36" s="1"/>
  <c r="H89" i="36" s="1"/>
  <c r="G79" i="36" a="1"/>
  <c r="G79" i="36" s="1"/>
  <c r="H79" i="36" s="1"/>
  <c r="G27" i="36" a="1"/>
  <c r="G27" i="36" s="1"/>
  <c r="H27" i="36" s="1"/>
  <c r="G59" i="36" a="1"/>
  <c r="G59" i="36" s="1"/>
  <c r="H59" i="36" s="1"/>
  <c r="G25" i="36" a="1"/>
  <c r="G25" i="36" s="1"/>
  <c r="H25" i="36" s="1"/>
  <c r="D17" i="36"/>
  <c r="G17" i="36" a="1"/>
  <c r="G17" i="36" s="1"/>
  <c r="H17" i="36" s="1"/>
  <c r="G34" i="36" a="1"/>
  <c r="G34" i="36" s="1"/>
  <c r="H34" i="36" s="1"/>
  <c r="G92" i="36" a="1"/>
  <c r="G92" i="36" s="1"/>
  <c r="H92" i="36" s="1"/>
  <c r="G15" i="36" a="1"/>
  <c r="G15" i="36" s="1"/>
  <c r="H15" i="36" s="1"/>
  <c r="D19" i="36"/>
  <c r="G19" i="36" a="1"/>
  <c r="G19" i="36" s="1"/>
  <c r="H19" i="36" s="1"/>
  <c r="G78" i="36" a="1"/>
  <c r="G78" i="36" s="1"/>
  <c r="H78" i="36" s="1"/>
  <c r="G85" i="36" a="1"/>
  <c r="G85" i="36" s="1"/>
  <c r="H85" i="36" s="1"/>
  <c r="G37" i="36" a="1"/>
  <c r="G37" i="36" s="1"/>
  <c r="H37" i="36" s="1"/>
  <c r="G53" i="36" a="1"/>
  <c r="G53" i="36" s="1"/>
  <c r="H53" i="36" s="1"/>
  <c r="G84" i="36" a="1"/>
  <c r="G84" i="36" s="1"/>
  <c r="H84" i="36" s="1"/>
  <c r="G20" i="36" a="1"/>
  <c r="G20" i="36" s="1"/>
  <c r="H20" i="36" s="1"/>
  <c r="G52" i="36" a="1"/>
  <c r="G52" i="36" s="1"/>
  <c r="H52" i="36" s="1"/>
  <c r="G83" i="36" a="1"/>
  <c r="G83" i="36" s="1"/>
  <c r="H83" i="36" s="1"/>
  <c r="G47" i="36" a="1"/>
  <c r="G47" i="36" s="1"/>
  <c r="H47" i="36" s="1"/>
  <c r="G50" i="36" a="1"/>
  <c r="G50" i="36" s="1"/>
  <c r="H50" i="36" s="1"/>
  <c r="G12" i="36" a="1"/>
  <c r="G12" i="36" s="1"/>
  <c r="H12" i="36" s="1"/>
  <c r="G93" i="36" a="1"/>
  <c r="G93" i="36" s="1"/>
  <c r="H93" i="36" s="1"/>
  <c r="G64" i="36" a="1"/>
  <c r="G64" i="36" s="1"/>
  <c r="H64" i="36" s="1"/>
  <c r="G65" i="36" a="1"/>
  <c r="G65" i="36" s="1"/>
  <c r="H65" i="36" s="1"/>
  <c r="G91" i="36" a="1"/>
  <c r="G91" i="36" s="1"/>
  <c r="H91" i="36" s="1"/>
  <c r="G98" i="36" a="1"/>
  <c r="G98" i="36" s="1"/>
  <c r="H98" i="36" s="1"/>
  <c r="G90" i="36" a="1"/>
  <c r="G90" i="36" s="1"/>
  <c r="H90" i="36" s="1"/>
  <c r="G40" i="36" a="1"/>
  <c r="G40" i="36" s="1"/>
  <c r="H40" i="36" s="1"/>
  <c r="D12" i="36"/>
  <c r="S2" i="11" l="1" a="1"/>
  <c r="S2" i="11" s="1"/>
  <c r="G29" i="36" a="1"/>
  <c r="G29" i="36" s="1"/>
  <c r="H29" i="36" s="1"/>
  <c r="G30" i="36" a="1"/>
  <c r="G30" i="36" s="1"/>
  <c r="H30" i="36" s="1"/>
  <c r="G94" i="36" a="1"/>
  <c r="G94" i="36" s="1"/>
  <c r="H94" i="36" s="1"/>
  <c r="G31" i="36" a="1"/>
  <c r="G31" i="36" s="1"/>
  <c r="H31" i="36" s="1"/>
  <c r="G32" i="36" a="1"/>
  <c r="G32" i="36" s="1"/>
  <c r="H32" i="36" s="1"/>
  <c r="G68" i="36" a="1"/>
  <c r="G68" i="36" s="1"/>
  <c r="H68" i="36" s="1"/>
  <c r="G16" i="36" a="1"/>
  <c r="G16" i="36" s="1"/>
  <c r="H16" i="36" s="1"/>
  <c r="K8" i="36" a="1"/>
  <c r="K8" i="36" s="1"/>
  <c r="K39" i="37" a="1"/>
  <c r="K39" i="37" s="1"/>
  <c r="K34" i="37" a="1"/>
  <c r="K34" i="37" s="1"/>
  <c r="K29" i="37" a="1"/>
  <c r="K29" i="37" s="1"/>
  <c r="K51" i="37" a="1"/>
  <c r="K51" i="37" s="1"/>
  <c r="K19" i="37" a="1"/>
  <c r="K19" i="37" s="1"/>
  <c r="K18" i="37" a="1"/>
  <c r="K18" i="37" s="1"/>
  <c r="K11" i="37" a="1"/>
  <c r="K11" i="37" s="1"/>
  <c r="K7" i="37" a="1"/>
  <c r="K7" i="37" s="1"/>
  <c r="K6" i="37" a="1"/>
  <c r="K6" i="37" s="1"/>
  <c r="G37" i="37" a="1"/>
  <c r="G37" i="37" s="1"/>
  <c r="H37" i="37" s="1"/>
  <c r="G36" i="37" a="1"/>
  <c r="G36" i="37" s="1"/>
  <c r="H36" i="37" s="1"/>
  <c r="K16" i="37" a="1"/>
  <c r="K16" i="37" s="1"/>
  <c r="K17" i="36" a="1"/>
  <c r="K17" i="36" s="1"/>
  <c r="H7" i="36"/>
  <c r="K18" i="36" a="1"/>
  <c r="K18" i="36" s="1"/>
  <c r="K16" i="36" a="1"/>
  <c r="K16" i="36" s="1"/>
  <c r="K12" i="36" a="1"/>
  <c r="K12" i="36" s="1"/>
  <c r="K9" i="36" a="1"/>
  <c r="K9" i="36" s="1"/>
  <c r="K15" i="36" a="1"/>
  <c r="K15" i="36" s="1"/>
  <c r="K13" i="36" a="1"/>
  <c r="K13" i="36" s="1"/>
  <c r="K19" i="36" a="1"/>
  <c r="K19" i="36" s="1"/>
  <c r="K10" i="36" a="1"/>
  <c r="K10" i="36" s="1"/>
  <c r="K7" i="36" a="1"/>
  <c r="K7" i="36" s="1"/>
  <c r="K11" i="36" a="1"/>
  <c r="K11" i="36" s="1"/>
  <c r="F70" i="35" l="1"/>
  <c r="B70" i="35"/>
  <c r="C70" i="35" s="1"/>
  <c r="F68" i="35"/>
  <c r="B68" i="35"/>
  <c r="C68" i="35" s="1"/>
  <c r="F73" i="35"/>
  <c r="B73" i="35"/>
  <c r="C73" i="35" s="1"/>
  <c r="F93" i="35"/>
  <c r="B93" i="35"/>
  <c r="C93" i="35" s="1"/>
  <c r="F71" i="35"/>
  <c r="B71" i="35"/>
  <c r="C71" i="35" s="1"/>
  <c r="F92" i="35"/>
  <c r="B92" i="35"/>
  <c r="C92" i="35" s="1"/>
  <c r="F69" i="35"/>
  <c r="B69" i="35"/>
  <c r="C69" i="35" s="1"/>
  <c r="F91" i="35"/>
  <c r="B91" i="35"/>
  <c r="C91" i="35" s="1"/>
  <c r="F67" i="35"/>
  <c r="B67" i="35"/>
  <c r="C67" i="35" s="1"/>
  <c r="F66" i="35"/>
  <c r="B66" i="35"/>
  <c r="C66" i="35" s="1"/>
  <c r="F65" i="35"/>
  <c r="B65" i="35"/>
  <c r="C65" i="35" s="1"/>
  <c r="F64" i="35"/>
  <c r="B64" i="35"/>
  <c r="C64" i="35" s="1"/>
  <c r="F63" i="35"/>
  <c r="B63" i="35"/>
  <c r="F62" i="35"/>
  <c r="B62" i="35"/>
  <c r="C62" i="35" s="1"/>
  <c r="G62" i="35" s="1" a="1"/>
  <c r="G62" i="35" s="1"/>
  <c r="H62" i="35" s="1"/>
  <c r="F61" i="35"/>
  <c r="B61" i="35"/>
  <c r="C61" i="35" s="1"/>
  <c r="F60" i="35"/>
  <c r="B60" i="35"/>
  <c r="C60" i="35" s="1"/>
  <c r="F59" i="35"/>
  <c r="B59" i="35"/>
  <c r="C59" i="35" s="1"/>
  <c r="F58" i="35"/>
  <c r="B58" i="35"/>
  <c r="C58" i="35" s="1"/>
  <c r="F57" i="35"/>
  <c r="B57" i="35"/>
  <c r="C57" i="35" s="1"/>
  <c r="F49" i="35"/>
  <c r="B49" i="35"/>
  <c r="C49" i="35" s="1"/>
  <c r="F48" i="35"/>
  <c r="B48" i="35"/>
  <c r="C48" i="35" s="1"/>
  <c r="F32" i="35"/>
  <c r="B32" i="35"/>
  <c r="C32" i="35" s="1"/>
  <c r="F8" i="35"/>
  <c r="B8" i="35"/>
  <c r="C8" i="35" s="1"/>
  <c r="F77" i="35"/>
  <c r="B77" i="35"/>
  <c r="C77" i="35" s="1"/>
  <c r="F76" i="35"/>
  <c r="B76" i="35"/>
  <c r="C76" i="35" s="1"/>
  <c r="F75" i="35"/>
  <c r="B75" i="35"/>
  <c r="C75" i="35" s="1"/>
  <c r="F74" i="35"/>
  <c r="B74" i="35"/>
  <c r="C74" i="35" s="1"/>
  <c r="F72" i="35"/>
  <c r="B72" i="35"/>
  <c r="C72" i="35" s="1"/>
  <c r="F56" i="35"/>
  <c r="B56" i="35"/>
  <c r="C56" i="35" s="1"/>
  <c r="F55" i="35"/>
  <c r="B55" i="35"/>
  <c r="C55" i="35" s="1"/>
  <c r="F54" i="35"/>
  <c r="B54" i="35"/>
  <c r="C54" i="35" s="1"/>
  <c r="F53" i="35"/>
  <c r="B53" i="35"/>
  <c r="C53" i="35" s="1"/>
  <c r="F52" i="35"/>
  <c r="B52" i="35"/>
  <c r="C52" i="35" s="1"/>
  <c r="F51" i="35"/>
  <c r="B51" i="35"/>
  <c r="C51" i="35" s="1"/>
  <c r="D51" i="35" s="1"/>
  <c r="F50" i="35"/>
  <c r="B50" i="35"/>
  <c r="C50" i="35" s="1"/>
  <c r="F47" i="35"/>
  <c r="B47" i="35"/>
  <c r="C47" i="35" s="1"/>
  <c r="F46" i="35"/>
  <c r="B46" i="35"/>
  <c r="C46" i="35" s="1"/>
  <c r="F45" i="35"/>
  <c r="B45" i="35"/>
  <c r="C45" i="35" s="1"/>
  <c r="F44" i="35"/>
  <c r="B44" i="35"/>
  <c r="C44" i="35" s="1"/>
  <c r="F43" i="35"/>
  <c r="B43" i="35"/>
  <c r="C43" i="35" s="1"/>
  <c r="F42" i="35"/>
  <c r="B42" i="35"/>
  <c r="C42" i="35" s="1"/>
  <c r="F41" i="35"/>
  <c r="B41" i="35"/>
  <c r="C41" i="35" s="1"/>
  <c r="F40" i="35"/>
  <c r="B40" i="35"/>
  <c r="C40" i="35" s="1"/>
  <c r="F39" i="35"/>
  <c r="B39" i="35"/>
  <c r="C39" i="35" s="1"/>
  <c r="F38" i="35"/>
  <c r="B38" i="35"/>
  <c r="C38" i="35" s="1"/>
  <c r="F37" i="35"/>
  <c r="B37" i="35"/>
  <c r="C37" i="35" s="1"/>
  <c r="F36" i="35"/>
  <c r="B36" i="35"/>
  <c r="C36" i="35" s="1"/>
  <c r="F35" i="35"/>
  <c r="B35" i="35"/>
  <c r="C35" i="35" s="1"/>
  <c r="F34" i="35"/>
  <c r="B34" i="35"/>
  <c r="C34" i="35" s="1"/>
  <c r="F33" i="35"/>
  <c r="B33" i="35"/>
  <c r="C33" i="35" s="1"/>
  <c r="F31" i="35"/>
  <c r="B31" i="35"/>
  <c r="C31" i="35" s="1"/>
  <c r="F29" i="35"/>
  <c r="B29" i="35"/>
  <c r="C29" i="35" s="1"/>
  <c r="F30" i="35"/>
  <c r="B30" i="35"/>
  <c r="C30" i="35" s="1"/>
  <c r="F28" i="35"/>
  <c r="B28" i="35"/>
  <c r="C28" i="35" s="1"/>
  <c r="F27" i="35"/>
  <c r="B27" i="35"/>
  <c r="C27" i="35" s="1"/>
  <c r="F26" i="35"/>
  <c r="B26" i="35"/>
  <c r="C26" i="35" s="1"/>
  <c r="F25" i="35"/>
  <c r="B25" i="35"/>
  <c r="C25" i="35" s="1"/>
  <c r="F24" i="35"/>
  <c r="B24" i="35"/>
  <c r="C24" i="35" s="1"/>
  <c r="F23" i="35"/>
  <c r="B23" i="35"/>
  <c r="C23" i="35" s="1"/>
  <c r="F22" i="35"/>
  <c r="B22" i="35"/>
  <c r="C22" i="35" s="1"/>
  <c r="F21" i="35"/>
  <c r="B21" i="35"/>
  <c r="C21" i="35" s="1"/>
  <c r="F20" i="35"/>
  <c r="B20" i="35"/>
  <c r="C20" i="35" s="1"/>
  <c r="F19" i="35"/>
  <c r="B19" i="35"/>
  <c r="F18" i="35"/>
  <c r="B18" i="35"/>
  <c r="C18" i="35" s="1"/>
  <c r="F17" i="35"/>
  <c r="B17" i="35"/>
  <c r="C17" i="35" s="1"/>
  <c r="F16" i="35"/>
  <c r="B16" i="35"/>
  <c r="C16" i="35" s="1"/>
  <c r="D16" i="35" s="1"/>
  <c r="F15" i="35"/>
  <c r="B15" i="35"/>
  <c r="C15" i="35" s="1"/>
  <c r="F14" i="35"/>
  <c r="B14" i="35"/>
  <c r="C14" i="35" s="1"/>
  <c r="F13" i="35"/>
  <c r="B13" i="35"/>
  <c r="C13" i="35" s="1"/>
  <c r="F12" i="35"/>
  <c r="B12" i="35"/>
  <c r="C12" i="35" s="1"/>
  <c r="F11" i="35"/>
  <c r="B11" i="35"/>
  <c r="C11" i="35" s="1"/>
  <c r="F10" i="35"/>
  <c r="B10" i="35"/>
  <c r="C10" i="35" s="1"/>
  <c r="F9" i="35"/>
  <c r="B9" i="35"/>
  <c r="C9" i="35" s="1"/>
  <c r="Y7" i="35"/>
  <c r="F7" i="35"/>
  <c r="B7" i="35"/>
  <c r="C7" i="35" s="1"/>
  <c r="F6" i="35"/>
  <c r="B6" i="35"/>
  <c r="C6" i="35" s="1"/>
  <c r="D4" i="35"/>
  <c r="F97" i="34"/>
  <c r="B97" i="34"/>
  <c r="C97" i="34" s="1"/>
  <c r="F96" i="34"/>
  <c r="B96" i="34"/>
  <c r="C96" i="34" s="1"/>
  <c r="F95" i="34"/>
  <c r="B95" i="34"/>
  <c r="C95" i="34" s="1"/>
  <c r="F94" i="34"/>
  <c r="B94" i="34"/>
  <c r="C94" i="34" s="1"/>
  <c r="F93" i="34"/>
  <c r="B93" i="34"/>
  <c r="C93" i="34" s="1"/>
  <c r="F92" i="34"/>
  <c r="B92" i="34"/>
  <c r="C92" i="34" s="1"/>
  <c r="F91" i="34"/>
  <c r="B91" i="34"/>
  <c r="C91" i="34" s="1"/>
  <c r="F90" i="34"/>
  <c r="B90" i="34"/>
  <c r="C90" i="34" s="1"/>
  <c r="F89" i="34"/>
  <c r="B89" i="34"/>
  <c r="C89" i="34" s="1"/>
  <c r="F88" i="34"/>
  <c r="B88" i="34"/>
  <c r="C88" i="34" s="1"/>
  <c r="F87" i="34"/>
  <c r="B87" i="34"/>
  <c r="C87" i="34" s="1"/>
  <c r="F86" i="34"/>
  <c r="B86" i="34"/>
  <c r="C86" i="34" s="1"/>
  <c r="F85" i="34"/>
  <c r="B85" i="34"/>
  <c r="C85" i="34" s="1"/>
  <c r="F84" i="34"/>
  <c r="B84" i="34"/>
  <c r="C84" i="34" s="1"/>
  <c r="F83" i="34"/>
  <c r="B83" i="34"/>
  <c r="C83" i="34" s="1"/>
  <c r="F82" i="34"/>
  <c r="B82" i="34"/>
  <c r="C82" i="34" s="1"/>
  <c r="F81" i="34"/>
  <c r="B81" i="34"/>
  <c r="C81" i="34" s="1"/>
  <c r="F80" i="34"/>
  <c r="B80" i="34"/>
  <c r="C80" i="34" s="1"/>
  <c r="F79" i="34"/>
  <c r="B79" i="34"/>
  <c r="C79" i="34" s="1"/>
  <c r="F78" i="34"/>
  <c r="B78" i="34"/>
  <c r="C78" i="34" s="1"/>
  <c r="F77" i="34"/>
  <c r="B77" i="34"/>
  <c r="C77" i="34" s="1"/>
  <c r="F76" i="34"/>
  <c r="B76" i="34"/>
  <c r="C76" i="34" s="1"/>
  <c r="F75" i="34"/>
  <c r="B75" i="34"/>
  <c r="C75" i="34" s="1"/>
  <c r="G75" i="34" s="1" a="1"/>
  <c r="G75" i="34" s="1"/>
  <c r="H75" i="34" s="1"/>
  <c r="F74" i="34"/>
  <c r="B74" i="34"/>
  <c r="C74" i="34" s="1"/>
  <c r="F73" i="34"/>
  <c r="B73" i="34"/>
  <c r="C73" i="34" s="1"/>
  <c r="F72" i="34"/>
  <c r="B72" i="34"/>
  <c r="C72" i="34" s="1"/>
  <c r="F71" i="34"/>
  <c r="B71" i="34"/>
  <c r="C71" i="34" s="1"/>
  <c r="F70" i="34"/>
  <c r="B70" i="34"/>
  <c r="C70" i="34" s="1"/>
  <c r="F69" i="34"/>
  <c r="B69" i="34"/>
  <c r="C69" i="34" s="1"/>
  <c r="F68" i="34"/>
  <c r="B68" i="34"/>
  <c r="C68" i="34" s="1"/>
  <c r="F67" i="34"/>
  <c r="B67" i="34"/>
  <c r="C67" i="34" s="1"/>
  <c r="F66" i="34"/>
  <c r="B66" i="34"/>
  <c r="C66" i="34" s="1"/>
  <c r="F65" i="34"/>
  <c r="B65" i="34"/>
  <c r="C65" i="34" s="1"/>
  <c r="F64" i="34"/>
  <c r="B64" i="34"/>
  <c r="C64" i="34" s="1"/>
  <c r="F63" i="34"/>
  <c r="B63" i="34"/>
  <c r="C63" i="34" s="1"/>
  <c r="F62" i="34"/>
  <c r="B62" i="34"/>
  <c r="C62" i="34" s="1"/>
  <c r="F61" i="34"/>
  <c r="B61" i="34"/>
  <c r="C61" i="34" s="1"/>
  <c r="F60" i="34"/>
  <c r="B60" i="34"/>
  <c r="C60" i="34" s="1"/>
  <c r="F59" i="34"/>
  <c r="B59" i="34"/>
  <c r="C59" i="34" s="1"/>
  <c r="F58" i="34"/>
  <c r="B58" i="34"/>
  <c r="C58" i="34" s="1"/>
  <c r="F57" i="34"/>
  <c r="B57" i="34"/>
  <c r="C57" i="34" s="1"/>
  <c r="F56" i="34"/>
  <c r="B56" i="34"/>
  <c r="C56" i="34" s="1"/>
  <c r="F55" i="34"/>
  <c r="B55" i="34"/>
  <c r="C55" i="34" s="1"/>
  <c r="F54" i="34"/>
  <c r="B54" i="34"/>
  <c r="C54" i="34" s="1"/>
  <c r="F53" i="34"/>
  <c r="B53" i="34"/>
  <c r="C53" i="34" s="1"/>
  <c r="F52" i="34"/>
  <c r="B52" i="34"/>
  <c r="C52" i="34" s="1"/>
  <c r="D52" i="34" s="1"/>
  <c r="K52" i="34" s="1" a="1"/>
  <c r="K52" i="34" s="1"/>
  <c r="F51" i="34"/>
  <c r="B51" i="34"/>
  <c r="C51" i="34" s="1"/>
  <c r="F50" i="34"/>
  <c r="B50" i="34"/>
  <c r="C50" i="34" s="1"/>
  <c r="F49" i="34"/>
  <c r="B49" i="34"/>
  <c r="C49" i="34" s="1"/>
  <c r="F48" i="34"/>
  <c r="B48" i="34"/>
  <c r="C48" i="34" s="1"/>
  <c r="F47" i="34"/>
  <c r="B47" i="34"/>
  <c r="C47" i="34" s="1"/>
  <c r="F46" i="34"/>
  <c r="B46" i="34"/>
  <c r="C46" i="34" s="1"/>
  <c r="F45" i="34"/>
  <c r="B45" i="34"/>
  <c r="C45" i="34" s="1"/>
  <c r="F44" i="34"/>
  <c r="B44" i="34"/>
  <c r="C44" i="34" s="1"/>
  <c r="F43" i="34"/>
  <c r="B43" i="34"/>
  <c r="C43" i="34" s="1"/>
  <c r="F42" i="34"/>
  <c r="B42" i="34"/>
  <c r="C42" i="34" s="1"/>
  <c r="F41" i="34"/>
  <c r="B41" i="34"/>
  <c r="C41" i="34" s="1"/>
  <c r="G41" i="34" s="1" a="1"/>
  <c r="G41" i="34" s="1"/>
  <c r="H41" i="34" s="1"/>
  <c r="F40" i="34"/>
  <c r="B40" i="34"/>
  <c r="C40" i="34" s="1"/>
  <c r="F39" i="34"/>
  <c r="B39" i="34"/>
  <c r="C39" i="34" s="1"/>
  <c r="F38" i="34"/>
  <c r="B38" i="34"/>
  <c r="C38" i="34" s="1"/>
  <c r="F37" i="34"/>
  <c r="B37" i="34"/>
  <c r="C37" i="34" s="1"/>
  <c r="F36" i="34"/>
  <c r="B36" i="34"/>
  <c r="C36" i="34" s="1"/>
  <c r="F35" i="34"/>
  <c r="B35" i="34"/>
  <c r="C35" i="34" s="1"/>
  <c r="F34" i="34"/>
  <c r="B34" i="34"/>
  <c r="C34" i="34" s="1"/>
  <c r="G34" i="34" s="1" a="1"/>
  <c r="G34" i="34" s="1"/>
  <c r="H34" i="34" s="1"/>
  <c r="F33" i="34"/>
  <c r="B33" i="34"/>
  <c r="C33" i="34" s="1"/>
  <c r="F32" i="34"/>
  <c r="B32" i="34"/>
  <c r="C32" i="34" s="1"/>
  <c r="F31" i="34"/>
  <c r="B31" i="34"/>
  <c r="C31" i="34" s="1"/>
  <c r="F30" i="34"/>
  <c r="B30" i="34"/>
  <c r="C30" i="34" s="1"/>
  <c r="F29" i="34"/>
  <c r="B29" i="34"/>
  <c r="C29" i="34" s="1"/>
  <c r="F28" i="34"/>
  <c r="B28" i="34"/>
  <c r="C28" i="34" s="1"/>
  <c r="F27" i="34"/>
  <c r="B27" i="34"/>
  <c r="C27" i="34" s="1"/>
  <c r="F26" i="34"/>
  <c r="B26" i="34"/>
  <c r="C26" i="34" s="1"/>
  <c r="F25" i="34"/>
  <c r="B25" i="34"/>
  <c r="C25" i="34" s="1"/>
  <c r="F24" i="34"/>
  <c r="B24" i="34"/>
  <c r="C24" i="34" s="1"/>
  <c r="F23" i="34"/>
  <c r="C23" i="34"/>
  <c r="B23" i="34"/>
  <c r="F22" i="34"/>
  <c r="B22" i="34"/>
  <c r="C22" i="34" s="1"/>
  <c r="F21" i="34"/>
  <c r="B21" i="34"/>
  <c r="C21" i="34" s="1"/>
  <c r="F20" i="34"/>
  <c r="B20" i="34"/>
  <c r="C20" i="34" s="1"/>
  <c r="F19" i="34"/>
  <c r="B19" i="34"/>
  <c r="C19" i="34" s="1"/>
  <c r="F18" i="34"/>
  <c r="B18" i="34"/>
  <c r="C18" i="34" s="1"/>
  <c r="D18" i="34" s="1"/>
  <c r="F17" i="34"/>
  <c r="B17" i="34"/>
  <c r="C17" i="34" s="1"/>
  <c r="F16" i="34"/>
  <c r="B16" i="34"/>
  <c r="C16" i="34" s="1"/>
  <c r="F15" i="34"/>
  <c r="B15" i="34"/>
  <c r="C15" i="34" s="1"/>
  <c r="F14" i="34"/>
  <c r="B14" i="34"/>
  <c r="C14" i="34" s="1"/>
  <c r="F13" i="34"/>
  <c r="B13" i="34"/>
  <c r="C13" i="34" s="1"/>
  <c r="F12" i="34"/>
  <c r="B12" i="34"/>
  <c r="C12" i="34" s="1"/>
  <c r="F11" i="34"/>
  <c r="B11" i="34"/>
  <c r="C11" i="34" s="1"/>
  <c r="D11" i="34" s="1"/>
  <c r="F10" i="34"/>
  <c r="B10" i="34"/>
  <c r="C10" i="34" s="1"/>
  <c r="F9" i="34"/>
  <c r="B9" i="34"/>
  <c r="C9" i="34" s="1"/>
  <c r="F8" i="34"/>
  <c r="B8" i="34"/>
  <c r="C8" i="34" s="1"/>
  <c r="Y7" i="34"/>
  <c r="F7" i="34"/>
  <c r="B7" i="34"/>
  <c r="C7" i="34" s="1"/>
  <c r="F6" i="34"/>
  <c r="B6" i="34"/>
  <c r="C6" i="34" s="1"/>
  <c r="J2" i="34" s="1"/>
  <c r="D4" i="34"/>
  <c r="D96" i="15"/>
  <c r="D97" i="15"/>
  <c r="D11" i="15"/>
  <c r="D95" i="15"/>
  <c r="D94" i="15"/>
  <c r="D93" i="15"/>
  <c r="D92" i="15"/>
  <c r="D91" i="15"/>
  <c r="D90" i="15"/>
  <c r="D10" i="15"/>
  <c r="D89" i="15"/>
  <c r="D9" i="15"/>
  <c r="D87" i="15"/>
  <c r="D76" i="15"/>
  <c r="D77" i="15"/>
  <c r="E28" i="41" s="1"/>
  <c r="L28" i="41" s="1" a="1"/>
  <c r="L28" i="41" s="1"/>
  <c r="D75" i="15"/>
  <c r="D88" i="15"/>
  <c r="D25" i="15"/>
  <c r="F7" i="14"/>
  <c r="F8" i="14"/>
  <c r="F9" i="14"/>
  <c r="F29" i="14"/>
  <c r="F74" i="14"/>
  <c r="F13" i="14"/>
  <c r="F75" i="14"/>
  <c r="F76" i="14"/>
  <c r="F77" i="14"/>
  <c r="F94" i="14"/>
  <c r="F14" i="14"/>
  <c r="F66" i="14"/>
  <c r="F10" i="14"/>
  <c r="F15" i="14"/>
  <c r="F95" i="14"/>
  <c r="F67" i="14"/>
  <c r="F78" i="14"/>
  <c r="F25" i="14"/>
  <c r="F26" i="14"/>
  <c r="F27" i="14"/>
  <c r="F52" i="14"/>
  <c r="F28" i="14"/>
  <c r="F53" i="14"/>
  <c r="F16" i="14"/>
  <c r="F68" i="14"/>
  <c r="F79" i="14"/>
  <c r="F80" i="14"/>
  <c r="F81" i="14"/>
  <c r="F11" i="14"/>
  <c r="F96" i="14"/>
  <c r="F30" i="14"/>
  <c r="F31" i="14"/>
  <c r="F54" i="14"/>
  <c r="F17" i="14"/>
  <c r="F82" i="14"/>
  <c r="F83" i="14"/>
  <c r="F55" i="14"/>
  <c r="F69" i="14"/>
  <c r="F84" i="14"/>
  <c r="F56" i="14"/>
  <c r="F57" i="14"/>
  <c r="F85" i="14"/>
  <c r="F86" i="14"/>
  <c r="F70" i="14"/>
  <c r="F71" i="14"/>
  <c r="F18" i="14"/>
  <c r="F19" i="14"/>
  <c r="F58" i="14"/>
  <c r="F59" i="14"/>
  <c r="F12" i="14"/>
  <c r="F60" i="14"/>
  <c r="F61" i="14"/>
  <c r="F62" i="14"/>
  <c r="F87" i="14"/>
  <c r="F73" i="14"/>
  <c r="F6" i="14"/>
  <c r="F88" i="14"/>
  <c r="F63" i="14"/>
  <c r="F20" i="14"/>
  <c r="F21" i="14"/>
  <c r="F89" i="14"/>
  <c r="F98" i="14"/>
  <c r="F22" i="14"/>
  <c r="F64" i="14"/>
  <c r="F23" i="14"/>
  <c r="F24" i="14"/>
  <c r="F90" i="14"/>
  <c r="F32" i="14"/>
  <c r="F33" i="14"/>
  <c r="F34" i="14"/>
  <c r="F35" i="14"/>
  <c r="F36" i="14"/>
  <c r="F37" i="14"/>
  <c r="F38" i="14"/>
  <c r="F39" i="14"/>
  <c r="F40" i="14"/>
  <c r="F41" i="14"/>
  <c r="F42" i="14"/>
  <c r="F43" i="14"/>
  <c r="F44" i="14"/>
  <c r="F45" i="14"/>
  <c r="F46" i="14"/>
  <c r="F47" i="14"/>
  <c r="F48" i="14"/>
  <c r="F49" i="14"/>
  <c r="F50" i="14"/>
  <c r="F51" i="14"/>
  <c r="F91" i="14"/>
  <c r="F65" i="14"/>
  <c r="F92" i="14"/>
  <c r="F97" i="14"/>
  <c r="F93" i="14"/>
  <c r="F72" i="14"/>
  <c r="G140" i="16"/>
  <c r="H140" i="16" s="1"/>
  <c r="B140" i="16"/>
  <c r="G139" i="16"/>
  <c r="H139" i="16" s="1"/>
  <c r="B139" i="16"/>
  <c r="G138" i="16"/>
  <c r="H138" i="16" s="1"/>
  <c r="B138" i="16"/>
  <c r="G137" i="16"/>
  <c r="H137" i="16" s="1"/>
  <c r="B137" i="16"/>
  <c r="G136" i="16"/>
  <c r="H136" i="16" s="1"/>
  <c r="B136" i="16"/>
  <c r="G135" i="16"/>
  <c r="H135" i="16" s="1"/>
  <c r="B135" i="16"/>
  <c r="G134" i="16"/>
  <c r="H134" i="16" s="1"/>
  <c r="B134" i="16"/>
  <c r="G133" i="16"/>
  <c r="H133" i="16" s="1"/>
  <c r="B133" i="16"/>
  <c r="G132" i="16"/>
  <c r="H132" i="16" s="1"/>
  <c r="B132" i="16"/>
  <c r="G131" i="16"/>
  <c r="H131" i="16" s="1"/>
  <c r="B131" i="16"/>
  <c r="G130" i="16"/>
  <c r="H130" i="16" s="1"/>
  <c r="B130" i="16"/>
  <c r="G129" i="16"/>
  <c r="H129" i="16" s="1"/>
  <c r="B129" i="16"/>
  <c r="G128" i="16"/>
  <c r="H128" i="16" s="1"/>
  <c r="B128" i="16"/>
  <c r="G127" i="16"/>
  <c r="H127" i="16" s="1"/>
  <c r="B127" i="16"/>
  <c r="G126" i="16"/>
  <c r="H126" i="16" s="1"/>
  <c r="B126" i="16"/>
  <c r="G125" i="16"/>
  <c r="H125" i="16" s="1"/>
  <c r="B125" i="16"/>
  <c r="G124" i="16"/>
  <c r="H124" i="16" s="1"/>
  <c r="B124" i="16"/>
  <c r="G123" i="16"/>
  <c r="H123" i="16" s="1"/>
  <c r="B123" i="16"/>
  <c r="G122" i="16"/>
  <c r="H122" i="16" s="1"/>
  <c r="B122" i="16"/>
  <c r="G121" i="16"/>
  <c r="H121" i="16" s="1"/>
  <c r="B121" i="16"/>
  <c r="B116" i="16"/>
  <c r="B112" i="16"/>
  <c r="G108" i="16"/>
  <c r="H108" i="16" s="1"/>
  <c r="B108" i="16"/>
  <c r="G107" i="16"/>
  <c r="H107" i="16" s="1"/>
  <c r="B107" i="16"/>
  <c r="G106" i="16"/>
  <c r="H106" i="16" s="1"/>
  <c r="B106" i="16"/>
  <c r="G105" i="16"/>
  <c r="H105" i="16" s="1"/>
  <c r="B105" i="16"/>
  <c r="G104" i="16"/>
  <c r="H104" i="16" s="1"/>
  <c r="B104" i="16"/>
  <c r="G103" i="16"/>
  <c r="H103" i="16" s="1"/>
  <c r="B103" i="16"/>
  <c r="G102" i="16"/>
  <c r="H102" i="16" s="1"/>
  <c r="B102" i="16"/>
  <c r="G101" i="16"/>
  <c r="H101" i="16" s="1"/>
  <c r="B101" i="16"/>
  <c r="G100" i="16"/>
  <c r="H100" i="16" s="1"/>
  <c r="B100" i="16"/>
  <c r="G99" i="16"/>
  <c r="H99" i="16" s="1"/>
  <c r="B99" i="16"/>
  <c r="G98" i="16"/>
  <c r="H98" i="16" s="1"/>
  <c r="B98" i="16"/>
  <c r="G97" i="16"/>
  <c r="H97" i="16" s="1"/>
  <c r="B97" i="16"/>
  <c r="G92" i="16"/>
  <c r="H92" i="16" s="1"/>
  <c r="B92" i="16"/>
  <c r="G91" i="16"/>
  <c r="H91" i="16" s="1"/>
  <c r="B91" i="16"/>
  <c r="G90" i="16"/>
  <c r="H90" i="16" s="1"/>
  <c r="B90" i="16"/>
  <c r="G89" i="16"/>
  <c r="H89" i="16" s="1"/>
  <c r="B89" i="16"/>
  <c r="G88" i="16"/>
  <c r="H88" i="16" s="1"/>
  <c r="B88" i="16"/>
  <c r="G87" i="16"/>
  <c r="H87" i="16" s="1"/>
  <c r="B87" i="16"/>
  <c r="G86" i="16"/>
  <c r="H86" i="16" s="1"/>
  <c r="B86" i="16"/>
  <c r="I81" i="16"/>
  <c r="B81" i="16" s="1"/>
  <c r="I80" i="16"/>
  <c r="B80" i="16" s="1"/>
  <c r="I79" i="16"/>
  <c r="I78" i="16"/>
  <c r="B78" i="16" s="1"/>
  <c r="G73" i="16"/>
  <c r="H73" i="16" s="1"/>
  <c r="B73" i="16"/>
  <c r="G72" i="16"/>
  <c r="H72" i="16" s="1"/>
  <c r="B72" i="16"/>
  <c r="AD71" i="16"/>
  <c r="G71" i="16"/>
  <c r="H71" i="16" s="1"/>
  <c r="B71" i="16"/>
  <c r="AD70" i="16"/>
  <c r="G70" i="16"/>
  <c r="H70" i="16" s="1"/>
  <c r="B70" i="16"/>
  <c r="AD69" i="16"/>
  <c r="G69" i="16"/>
  <c r="H69" i="16" s="1"/>
  <c r="B69" i="16"/>
  <c r="AD68" i="16"/>
  <c r="G68" i="16"/>
  <c r="H68" i="16" s="1"/>
  <c r="B68" i="16"/>
  <c r="AD67" i="16"/>
  <c r="G67" i="16"/>
  <c r="H67" i="16" s="1"/>
  <c r="B67" i="16"/>
  <c r="AD66" i="16"/>
  <c r="G66" i="16"/>
  <c r="H66" i="16" s="1"/>
  <c r="B66" i="16"/>
  <c r="AD65" i="16"/>
  <c r="G65" i="16"/>
  <c r="H65" i="16" s="1"/>
  <c r="B65" i="16"/>
  <c r="AD64" i="16"/>
  <c r="G64" i="16"/>
  <c r="H64" i="16" s="1"/>
  <c r="B64" i="16"/>
  <c r="AD63" i="16"/>
  <c r="G63" i="16"/>
  <c r="H63" i="16" s="1"/>
  <c r="B63" i="16"/>
  <c r="AD62" i="16"/>
  <c r="G62" i="16"/>
  <c r="H62" i="16" s="1"/>
  <c r="B62" i="16"/>
  <c r="AD61" i="16"/>
  <c r="G61" i="16"/>
  <c r="H61" i="16" s="1"/>
  <c r="B61" i="16"/>
  <c r="AD60" i="16"/>
  <c r="G60" i="16"/>
  <c r="H60" i="16" s="1"/>
  <c r="B60" i="16"/>
  <c r="AD59" i="16"/>
  <c r="AD58" i="16"/>
  <c r="AD57" i="16"/>
  <c r="AD56" i="16"/>
  <c r="AD55" i="16"/>
  <c r="AD54" i="16"/>
  <c r="AD53" i="16"/>
  <c r="AD52" i="16"/>
  <c r="I52" i="16"/>
  <c r="B52" i="16" s="1"/>
  <c r="AD51" i="16"/>
  <c r="I51" i="16"/>
  <c r="AD50" i="16"/>
  <c r="I50" i="16"/>
  <c r="AD49" i="16"/>
  <c r="I49" i="16"/>
  <c r="B49" i="16" s="1"/>
  <c r="AD48" i="16"/>
  <c r="AD47" i="16"/>
  <c r="AD46" i="16"/>
  <c r="AD45" i="16"/>
  <c r="AD44" i="16"/>
  <c r="G44" i="16"/>
  <c r="H44" i="16" s="1"/>
  <c r="B44" i="16"/>
  <c r="AD43" i="16"/>
  <c r="G43" i="16"/>
  <c r="H43" i="16" s="1"/>
  <c r="B43" i="16"/>
  <c r="AD42" i="16"/>
  <c r="G42" i="16"/>
  <c r="H42" i="16" s="1"/>
  <c r="B42" i="16"/>
  <c r="AD41" i="16"/>
  <c r="G41" i="16"/>
  <c r="H41" i="16" s="1"/>
  <c r="B41" i="16"/>
  <c r="AD40" i="16"/>
  <c r="G40" i="16"/>
  <c r="H40" i="16" s="1"/>
  <c r="B40" i="16"/>
  <c r="AD39" i="16"/>
  <c r="G39" i="16"/>
  <c r="H39" i="16" s="1"/>
  <c r="B39" i="16"/>
  <c r="AD38" i="16"/>
  <c r="AD37" i="16"/>
  <c r="AD36" i="16"/>
  <c r="AD35" i="16"/>
  <c r="AD34" i="16"/>
  <c r="AD33" i="16"/>
  <c r="AD32" i="16"/>
  <c r="AD31" i="16"/>
  <c r="AD30" i="16"/>
  <c r="AD29" i="16"/>
  <c r="AD28" i="16"/>
  <c r="B28" i="16"/>
  <c r="A28" i="16" s="1"/>
  <c r="AD27" i="16"/>
  <c r="B27" i="16"/>
  <c r="A27" i="16" s="1"/>
  <c r="AD26" i="16"/>
  <c r="B26" i="16"/>
  <c r="AD25" i="16"/>
  <c r="AD24" i="16"/>
  <c r="AD23" i="16"/>
  <c r="AD22" i="16"/>
  <c r="J22" i="16"/>
  <c r="AD21" i="16"/>
  <c r="J21" i="16"/>
  <c r="AD20" i="16"/>
  <c r="J20" i="16"/>
  <c r="AD19" i="16"/>
  <c r="J19" i="16"/>
  <c r="C19" i="16" s="1"/>
  <c r="E19" i="16" s="1"/>
  <c r="AD18" i="16"/>
  <c r="AD17" i="16"/>
  <c r="C17" i="16"/>
  <c r="E17" i="16" s="1"/>
  <c r="AD16" i="16"/>
  <c r="C16" i="16"/>
  <c r="E16" i="16" s="1"/>
  <c r="AD15" i="16"/>
  <c r="C15" i="16"/>
  <c r="E15" i="16" s="1"/>
  <c r="AD14" i="16"/>
  <c r="C14" i="16"/>
  <c r="E14" i="16" s="1"/>
  <c r="AD13" i="16"/>
  <c r="AD12" i="16"/>
  <c r="C12" i="16"/>
  <c r="E12" i="16" s="1"/>
  <c r="AD11" i="16"/>
  <c r="AD10" i="16"/>
  <c r="C10" i="16"/>
  <c r="E10" i="16" s="1"/>
  <c r="AD9" i="16"/>
  <c r="C9" i="16"/>
  <c r="E9" i="16" s="1"/>
  <c r="AD8" i="16"/>
  <c r="A7" i="16"/>
  <c r="AD6" i="16"/>
  <c r="AD5" i="16"/>
  <c r="AD4" i="16"/>
  <c r="AD3" i="16"/>
  <c r="AD2" i="16"/>
  <c r="H2" i="16" a="1"/>
  <c r="H2" i="16" s="1"/>
  <c r="AD1" i="16"/>
  <c r="H1" i="16" a="1"/>
  <c r="H1" i="16" s="1"/>
  <c r="B7" i="14"/>
  <c r="C7" i="14" s="1"/>
  <c r="B8" i="14"/>
  <c r="C8" i="14" s="1"/>
  <c r="B9" i="14"/>
  <c r="C9" i="14" s="1"/>
  <c r="B29" i="14"/>
  <c r="B74" i="14"/>
  <c r="C74" i="14" s="1"/>
  <c r="B13" i="14"/>
  <c r="C13" i="14" s="1"/>
  <c r="B75" i="14"/>
  <c r="C75" i="14" s="1"/>
  <c r="B76" i="14"/>
  <c r="B77" i="14"/>
  <c r="C77" i="14" s="1"/>
  <c r="B94" i="14"/>
  <c r="C94" i="14" s="1"/>
  <c r="B14" i="14"/>
  <c r="C14" i="14" s="1"/>
  <c r="B66" i="14"/>
  <c r="C66" i="14" s="1"/>
  <c r="B10" i="14"/>
  <c r="C10" i="14" s="1"/>
  <c r="B15" i="14"/>
  <c r="C15" i="14" s="1"/>
  <c r="B95" i="14"/>
  <c r="C95" i="14" s="1"/>
  <c r="B67" i="14"/>
  <c r="C67" i="14" s="1"/>
  <c r="B78" i="14"/>
  <c r="C78" i="14" s="1"/>
  <c r="B25" i="14"/>
  <c r="C25" i="14" s="1"/>
  <c r="B26" i="14"/>
  <c r="C26" i="14" s="1"/>
  <c r="B27" i="14"/>
  <c r="B52" i="14"/>
  <c r="C52" i="14" s="1"/>
  <c r="B28" i="14"/>
  <c r="C28" i="14" s="1"/>
  <c r="B53" i="14"/>
  <c r="C53" i="14" s="1"/>
  <c r="B16" i="14"/>
  <c r="C16" i="14" s="1"/>
  <c r="B68" i="14"/>
  <c r="C68" i="14" s="1"/>
  <c r="B79" i="14"/>
  <c r="C79" i="14" s="1"/>
  <c r="B80" i="14"/>
  <c r="C80" i="14" s="1"/>
  <c r="B81" i="14"/>
  <c r="C81" i="14" s="1"/>
  <c r="B11" i="14"/>
  <c r="C11" i="14" s="1"/>
  <c r="B96" i="14"/>
  <c r="C96" i="14" s="1"/>
  <c r="B30" i="14"/>
  <c r="C30" i="14" s="1"/>
  <c r="B31" i="14"/>
  <c r="B54" i="14"/>
  <c r="C54" i="14" s="1"/>
  <c r="B17" i="14"/>
  <c r="C17" i="14" s="1"/>
  <c r="B82" i="14"/>
  <c r="C82" i="14" s="1"/>
  <c r="B83" i="14"/>
  <c r="C83" i="14" s="1"/>
  <c r="B55" i="14"/>
  <c r="C55" i="14" s="1"/>
  <c r="B69" i="14"/>
  <c r="C69" i="14" s="1"/>
  <c r="B84" i="14"/>
  <c r="C84" i="14" s="1"/>
  <c r="B56" i="14"/>
  <c r="C56" i="14" s="1"/>
  <c r="B57" i="14"/>
  <c r="C57" i="14" s="1"/>
  <c r="B85" i="14"/>
  <c r="C85" i="14" s="1"/>
  <c r="B86" i="14"/>
  <c r="C86" i="14" s="1"/>
  <c r="B70" i="14"/>
  <c r="B71" i="14"/>
  <c r="C71" i="14" s="1"/>
  <c r="B18" i="14"/>
  <c r="C18" i="14" s="1"/>
  <c r="B19" i="14"/>
  <c r="C19" i="14" s="1"/>
  <c r="B58" i="14"/>
  <c r="C58" i="14" s="1"/>
  <c r="B59" i="14"/>
  <c r="C59" i="14" s="1"/>
  <c r="B12" i="14"/>
  <c r="C12" i="14" s="1"/>
  <c r="B60" i="14"/>
  <c r="C60" i="14" s="1"/>
  <c r="B61" i="14"/>
  <c r="C61" i="14" s="1"/>
  <c r="B62" i="14"/>
  <c r="C62" i="14" s="1"/>
  <c r="B87" i="14"/>
  <c r="C87" i="14" s="1"/>
  <c r="B73" i="14"/>
  <c r="C73" i="14" s="1"/>
  <c r="B6" i="14"/>
  <c r="B88" i="14"/>
  <c r="C88" i="14" s="1"/>
  <c r="B63" i="14"/>
  <c r="C63" i="14" s="1"/>
  <c r="B20" i="14"/>
  <c r="C20" i="14" s="1"/>
  <c r="B21" i="14"/>
  <c r="C21" i="14" s="1"/>
  <c r="B89" i="14"/>
  <c r="C89" i="14" s="1"/>
  <c r="B98" i="14"/>
  <c r="C98" i="14" s="1"/>
  <c r="B22" i="14"/>
  <c r="C22" i="14" s="1"/>
  <c r="B64" i="14"/>
  <c r="C64" i="14" s="1"/>
  <c r="B23" i="14"/>
  <c r="C23" i="14" s="1"/>
  <c r="B24" i="14"/>
  <c r="C24" i="14" s="1"/>
  <c r="B90" i="14"/>
  <c r="C90" i="14" s="1"/>
  <c r="B32" i="14"/>
  <c r="B33" i="14"/>
  <c r="C33" i="14" s="1"/>
  <c r="B34" i="14"/>
  <c r="C34" i="14" s="1"/>
  <c r="B35" i="14"/>
  <c r="C35" i="14" s="1"/>
  <c r="B36" i="14"/>
  <c r="C36" i="14" s="1"/>
  <c r="B37" i="14"/>
  <c r="C37" i="14" s="1"/>
  <c r="B38" i="14"/>
  <c r="C38" i="14" s="1"/>
  <c r="B39" i="14"/>
  <c r="C39" i="14" s="1"/>
  <c r="B40" i="14"/>
  <c r="C40" i="14" s="1"/>
  <c r="B41" i="14"/>
  <c r="C41" i="14" s="1"/>
  <c r="B42" i="14"/>
  <c r="C42" i="14" s="1"/>
  <c r="B43" i="14"/>
  <c r="C43" i="14" s="1"/>
  <c r="B44" i="14"/>
  <c r="B45" i="14"/>
  <c r="C45" i="14" s="1"/>
  <c r="B46" i="14"/>
  <c r="C46" i="14" s="1"/>
  <c r="B47" i="14"/>
  <c r="C47" i="14" s="1"/>
  <c r="B48" i="14"/>
  <c r="C48" i="14" s="1"/>
  <c r="B49" i="14"/>
  <c r="C49" i="14" s="1"/>
  <c r="B50" i="14"/>
  <c r="C50" i="14" s="1"/>
  <c r="B51" i="14"/>
  <c r="C51" i="14" s="1"/>
  <c r="B91" i="14"/>
  <c r="C91" i="14" s="1"/>
  <c r="B65" i="14"/>
  <c r="C65" i="14" s="1"/>
  <c r="B92" i="14"/>
  <c r="C92" i="14" s="1"/>
  <c r="B97" i="14"/>
  <c r="C97" i="14" s="1"/>
  <c r="B93" i="14"/>
  <c r="B72" i="14"/>
  <c r="C72" i="14" s="1"/>
  <c r="E67" i="41" l="1"/>
  <c r="L67" i="41" s="1" a="1"/>
  <c r="L67" i="41" s="1"/>
  <c r="E33" i="41"/>
  <c r="L33" i="41" s="1" a="1"/>
  <c r="L33" i="41" s="1"/>
  <c r="E27" i="41"/>
  <c r="L27" i="41" s="1" a="1"/>
  <c r="L27" i="41" s="1"/>
  <c r="E45" i="41"/>
  <c r="L45" i="41" s="1" a="1"/>
  <c r="L45" i="41" s="1"/>
  <c r="G14" i="35" a="1"/>
  <c r="G14" i="35" s="1"/>
  <c r="H14" i="35" s="1"/>
  <c r="G21" i="35" a="1"/>
  <c r="G21" i="35" s="1"/>
  <c r="H21" i="35" s="1"/>
  <c r="C19" i="35"/>
  <c r="D24" i="35"/>
  <c r="K24" i="35" s="1" a="1"/>
  <c r="K24" i="35" s="1"/>
  <c r="D25" i="35"/>
  <c r="K25" i="35" s="1" a="1"/>
  <c r="K25" i="35" s="1"/>
  <c r="D70" i="34"/>
  <c r="K70" i="34" s="1" a="1"/>
  <c r="K70" i="34" s="1"/>
  <c r="C63" i="35"/>
  <c r="G44" i="35" a="1"/>
  <c r="G44" i="35" s="1"/>
  <c r="H44" i="35" s="1"/>
  <c r="G58" i="35" a="1"/>
  <c r="G58" i="35" s="1"/>
  <c r="H58" i="35" s="1"/>
  <c r="G25" i="35" a="1"/>
  <c r="G25" i="35" s="1"/>
  <c r="H25" i="35" s="1"/>
  <c r="G45" i="35" a="1"/>
  <c r="G45" i="35" s="1"/>
  <c r="H45" i="35" s="1"/>
  <c r="G34" i="35" a="1"/>
  <c r="G34" i="35" s="1"/>
  <c r="H34" i="35" s="1"/>
  <c r="G11" i="35" a="1"/>
  <c r="G11" i="35" s="1"/>
  <c r="H11" i="35" s="1"/>
  <c r="G17" i="35" a="1"/>
  <c r="G17" i="35" s="1"/>
  <c r="H17" i="35" s="1"/>
  <c r="G23" i="35" a="1"/>
  <c r="G23" i="35" s="1"/>
  <c r="H23" i="35" s="1"/>
  <c r="G56" i="35" a="1"/>
  <c r="G56" i="35" s="1"/>
  <c r="H56" i="35" s="1"/>
  <c r="G51" i="35" a="1"/>
  <c r="G51" i="35" s="1"/>
  <c r="H51" i="35" s="1"/>
  <c r="G75" i="35" a="1"/>
  <c r="G75" i="35" s="1"/>
  <c r="H75" i="35" s="1"/>
  <c r="G40" i="35" a="1"/>
  <c r="G40" i="35" s="1"/>
  <c r="H40" i="35" s="1"/>
  <c r="E74" i="38"/>
  <c r="L74" i="38" s="1" a="1"/>
  <c r="L74" i="38" s="1"/>
  <c r="E35" i="38"/>
  <c r="L35" i="38" s="1" a="1"/>
  <c r="L35" i="38" s="1"/>
  <c r="E47" i="38"/>
  <c r="L47" i="38" s="1" a="1"/>
  <c r="L47" i="38" s="1"/>
  <c r="G42" i="34" a="1"/>
  <c r="G42" i="34" s="1"/>
  <c r="H42" i="34" s="1"/>
  <c r="G91" i="34" a="1"/>
  <c r="G91" i="34" s="1"/>
  <c r="H91" i="34" s="1"/>
  <c r="G55" i="35" a="1"/>
  <c r="G55" i="35" s="1"/>
  <c r="H55" i="35" s="1"/>
  <c r="G66" i="35" a="1"/>
  <c r="G66" i="35" s="1"/>
  <c r="H66" i="35" s="1"/>
  <c r="D6" i="35"/>
  <c r="G93" i="35" a="1"/>
  <c r="G93" i="35" s="1"/>
  <c r="H93" i="35" s="1"/>
  <c r="G19" i="35" a="1"/>
  <c r="G19" i="35" s="1"/>
  <c r="H19" i="35" s="1"/>
  <c r="G73" i="35" a="1"/>
  <c r="G73" i="35" s="1"/>
  <c r="H73" i="35" s="1"/>
  <c r="D73" i="35"/>
  <c r="G69" i="35" a="1"/>
  <c r="G69" i="35" s="1"/>
  <c r="H69" i="35" s="1"/>
  <c r="G70" i="35" a="1"/>
  <c r="G70" i="35" s="1"/>
  <c r="H70" i="35" s="1"/>
  <c r="G7" i="35" a="1"/>
  <c r="G7" i="35" s="1"/>
  <c r="H7" i="35" s="1"/>
  <c r="G77" i="35" a="1"/>
  <c r="G77" i="35" s="1"/>
  <c r="H77" i="35" s="1"/>
  <c r="G16" i="35" a="1"/>
  <c r="G16" i="35" s="1"/>
  <c r="H16" i="35" s="1"/>
  <c r="G67" i="35" a="1"/>
  <c r="G67" i="35" s="1"/>
  <c r="H67" i="35" s="1"/>
  <c r="G6" i="35" a="1"/>
  <c r="G6" i="35" s="1"/>
  <c r="H6" i="35" s="1"/>
  <c r="K16" i="35" a="1"/>
  <c r="K16" i="35" s="1"/>
  <c r="D40" i="35"/>
  <c r="D7" i="35"/>
  <c r="K7" i="35" s="1" a="1"/>
  <c r="K7" i="35" s="1"/>
  <c r="D23" i="34"/>
  <c r="K23" i="34" s="1" a="1"/>
  <c r="K23" i="34" s="1"/>
  <c r="G23" i="34" a="1"/>
  <c r="G23" i="34" s="1"/>
  <c r="H23" i="34" s="1"/>
  <c r="G45" i="34" a="1"/>
  <c r="G45" i="34" s="1"/>
  <c r="H45" i="34" s="1"/>
  <c r="G68" i="34" a="1"/>
  <c r="G68" i="34" s="1"/>
  <c r="H68" i="34" s="1"/>
  <c r="G97" i="34" a="1"/>
  <c r="G97" i="34" s="1"/>
  <c r="H97" i="34" s="1"/>
  <c r="G16" i="34" a="1"/>
  <c r="G16" i="34" s="1"/>
  <c r="H16" i="34" s="1"/>
  <c r="G27" i="34" a="1"/>
  <c r="G27" i="34" s="1"/>
  <c r="H27" i="34" s="1"/>
  <c r="G84" i="34" a="1"/>
  <c r="G84" i="34" s="1"/>
  <c r="H84" i="34" s="1"/>
  <c r="G56" i="34" a="1"/>
  <c r="G56" i="34" s="1"/>
  <c r="H56" i="34" s="1"/>
  <c r="D62" i="34"/>
  <c r="K62" i="34" s="1" a="1"/>
  <c r="K62" i="34" s="1"/>
  <c r="G62" i="34" a="1"/>
  <c r="G62" i="34" s="1"/>
  <c r="H62" i="34" s="1"/>
  <c r="D13" i="34"/>
  <c r="L13" i="34" s="1" a="1"/>
  <c r="L13" i="34" s="1"/>
  <c r="G24" i="34" a="1"/>
  <c r="G24" i="34" s="1"/>
  <c r="H24" i="34" s="1"/>
  <c r="G80" i="34" a="1"/>
  <c r="G80" i="34" s="1"/>
  <c r="H80" i="34" s="1"/>
  <c r="G46" i="34" a="1"/>
  <c r="G46" i="34" s="1"/>
  <c r="H46" i="34" s="1"/>
  <c r="G65" i="34" a="1"/>
  <c r="G65" i="34" s="1"/>
  <c r="H65" i="34" s="1"/>
  <c r="D65" i="34"/>
  <c r="L65" i="34" s="1" a="1"/>
  <c r="L65" i="34" s="1"/>
  <c r="D77" i="34"/>
  <c r="L77" i="34" s="1" a="1"/>
  <c r="L77" i="34" s="1"/>
  <c r="D94" i="34"/>
  <c r="K94" i="34" s="1" a="1"/>
  <c r="K94" i="34" s="1"/>
  <c r="D38" i="34"/>
  <c r="G38" i="34" a="1"/>
  <c r="G38" i="34" s="1"/>
  <c r="H38" i="34" s="1"/>
  <c r="G58" i="34" a="1"/>
  <c r="G58" i="34" s="1"/>
  <c r="H58" i="34" s="1"/>
  <c r="G32" i="34" a="1"/>
  <c r="G32" i="34" s="1"/>
  <c r="H32" i="34" s="1"/>
  <c r="G6" i="34" a="1"/>
  <c r="G6" i="34" s="1"/>
  <c r="H6" i="34" s="1"/>
  <c r="G49" i="34" a="1"/>
  <c r="G49" i="34" s="1"/>
  <c r="H49" i="34" s="1"/>
  <c r="D39" i="34"/>
  <c r="G21" i="34" a="1"/>
  <c r="G21" i="34" s="1"/>
  <c r="H21" i="34" s="1"/>
  <c r="D21" i="34"/>
  <c r="K21" i="34" s="1" a="1"/>
  <c r="K21" i="34" s="1"/>
  <c r="G12" i="34" a="1"/>
  <c r="G12" i="34" s="1"/>
  <c r="H12" i="34" s="1"/>
  <c r="D67" i="34"/>
  <c r="K67" i="34" s="1" a="1"/>
  <c r="K67" i="34" s="1"/>
  <c r="G77" i="34" a="1"/>
  <c r="G77" i="34" s="1"/>
  <c r="H77" i="34" s="1"/>
  <c r="G13" i="34" a="1"/>
  <c r="G13" i="34" s="1"/>
  <c r="H13" i="34" s="1"/>
  <c r="G70" i="34" a="1"/>
  <c r="G70" i="34" s="1"/>
  <c r="H70" i="34" s="1"/>
  <c r="G63" i="34" a="1"/>
  <c r="G63" i="34" s="1"/>
  <c r="H63" i="34" s="1"/>
  <c r="G79" i="34" a="1"/>
  <c r="G79" i="34" s="1"/>
  <c r="H79" i="34" s="1"/>
  <c r="D87" i="34"/>
  <c r="L87" i="34" s="1" a="1"/>
  <c r="L87" i="34" s="1"/>
  <c r="G18" i="34" a="1"/>
  <c r="G18" i="34" s="1"/>
  <c r="H18" i="34" s="1"/>
  <c r="G82" i="34" a="1"/>
  <c r="G82" i="34" s="1"/>
  <c r="H82" i="34" s="1"/>
  <c r="G89" i="34" a="1"/>
  <c r="G89" i="34" s="1"/>
  <c r="H89" i="34" s="1"/>
  <c r="G39" i="34" a="1"/>
  <c r="G39" i="34" s="1"/>
  <c r="H39" i="34" s="1"/>
  <c r="G48" i="34" a="1"/>
  <c r="G48" i="34" s="1"/>
  <c r="H48" i="34" s="1"/>
  <c r="G43" i="34" a="1"/>
  <c r="G43" i="34" s="1"/>
  <c r="H43" i="34" s="1"/>
  <c r="G67" i="34" a="1"/>
  <c r="G67" i="34" s="1"/>
  <c r="H67" i="34" s="1"/>
  <c r="G37" i="35" a="1"/>
  <c r="G37" i="35" s="1"/>
  <c r="H37" i="35" s="1"/>
  <c r="G9" i="35" a="1"/>
  <c r="G9" i="35" s="1"/>
  <c r="H9" i="35" s="1"/>
  <c r="D9" i="35"/>
  <c r="J2" i="35"/>
  <c r="G15" i="35" a="1"/>
  <c r="G15" i="35" s="1"/>
  <c r="H15" i="35" s="1"/>
  <c r="D15" i="35"/>
  <c r="G46" i="35" a="1"/>
  <c r="G46" i="35" s="1"/>
  <c r="H46" i="35" s="1"/>
  <c r="G27" i="35" a="1"/>
  <c r="G27" i="35" s="1"/>
  <c r="H27" i="35" s="1"/>
  <c r="G91" i="35" a="1"/>
  <c r="G91" i="35" s="1"/>
  <c r="H91" i="35" s="1"/>
  <c r="G76" i="35" a="1"/>
  <c r="G76" i="35" s="1"/>
  <c r="H76" i="35" s="1"/>
  <c r="G42" i="35" a="1"/>
  <c r="G42" i="35" s="1"/>
  <c r="H42" i="35" s="1"/>
  <c r="D76" i="35"/>
  <c r="G74" i="35" a="1"/>
  <c r="G74" i="35" s="1"/>
  <c r="H74" i="35" s="1"/>
  <c r="D74" i="35"/>
  <c r="D48" i="35"/>
  <c r="D17" i="35"/>
  <c r="G53" i="35" a="1"/>
  <c r="G53" i="35" s="1"/>
  <c r="H53" i="35" s="1"/>
  <c r="G63" i="35" a="1"/>
  <c r="G63" i="35" s="1"/>
  <c r="H63" i="35" s="1"/>
  <c r="G12" i="35" a="1"/>
  <c r="G12" i="35" s="1"/>
  <c r="H12" i="35" s="1"/>
  <c r="G59" i="35" a="1"/>
  <c r="G59" i="35" s="1"/>
  <c r="H59" i="35" s="1"/>
  <c r="D63" i="35"/>
  <c r="D23" i="35"/>
  <c r="G20" i="35" a="1"/>
  <c r="G20" i="35" s="1"/>
  <c r="H20" i="35" s="1"/>
  <c r="G28" i="35" a="1"/>
  <c r="G28" i="35" s="1"/>
  <c r="H28" i="35" s="1"/>
  <c r="G41" i="35" a="1"/>
  <c r="G41" i="35" s="1"/>
  <c r="H41" i="35" s="1"/>
  <c r="G26" i="35" a="1"/>
  <c r="G26" i="35" s="1"/>
  <c r="H26" i="35" s="1"/>
  <c r="G31" i="35" a="1"/>
  <c r="G31" i="35" s="1"/>
  <c r="H31" i="35" s="1"/>
  <c r="G22" i="35" a="1"/>
  <c r="G22" i="35" s="1"/>
  <c r="H22" i="35" s="1"/>
  <c r="D22" i="35"/>
  <c r="D33" i="35"/>
  <c r="G47" i="35" a="1"/>
  <c r="G47" i="35" s="1"/>
  <c r="H47" i="35" s="1"/>
  <c r="G54" i="35" a="1"/>
  <c r="G54" i="35" s="1"/>
  <c r="H54" i="35" s="1"/>
  <c r="G29" i="35" a="1"/>
  <c r="G29" i="35" s="1"/>
  <c r="H29" i="35" s="1"/>
  <c r="G92" i="35" a="1"/>
  <c r="G92" i="35" s="1"/>
  <c r="H92" i="35" s="1"/>
  <c r="G52" i="35" a="1"/>
  <c r="G52" i="35" s="1"/>
  <c r="H52" i="35" s="1"/>
  <c r="G72" i="35" a="1"/>
  <c r="G72" i="35" s="1"/>
  <c r="H72" i="35" s="1"/>
  <c r="G64" i="35" a="1"/>
  <c r="G64" i="35" s="1"/>
  <c r="H64" i="35" s="1"/>
  <c r="G49" i="35" a="1"/>
  <c r="G49" i="35" s="1"/>
  <c r="H49" i="35" s="1"/>
  <c r="D35" i="35"/>
  <c r="G50" i="35" a="1"/>
  <c r="G50" i="35" s="1"/>
  <c r="H50" i="35" s="1"/>
  <c r="D49" i="35"/>
  <c r="G60" i="35" a="1"/>
  <c r="G60" i="35" s="1"/>
  <c r="H60" i="35" s="1"/>
  <c r="D60" i="35"/>
  <c r="D67" i="35"/>
  <c r="D45" i="35"/>
  <c r="G65" i="35" a="1"/>
  <c r="G65" i="35" s="1"/>
  <c r="H65" i="35" s="1"/>
  <c r="G68" i="35" a="1"/>
  <c r="G68" i="35" s="1"/>
  <c r="H68" i="35" s="1"/>
  <c r="D72" i="35"/>
  <c r="D58" i="35"/>
  <c r="G18" i="35" a="1"/>
  <c r="G18" i="35" s="1"/>
  <c r="H18" i="35" s="1"/>
  <c r="G61" i="35" a="1"/>
  <c r="G61" i="35" s="1"/>
  <c r="H61" i="35" s="1"/>
  <c r="G24" i="35" a="1"/>
  <c r="G24" i="35" s="1"/>
  <c r="H24" i="35" s="1"/>
  <c r="G30" i="35" a="1"/>
  <c r="G30" i="35" s="1"/>
  <c r="H30" i="35" s="1"/>
  <c r="G39" i="35" a="1"/>
  <c r="G39" i="35" s="1"/>
  <c r="H39" i="35" s="1"/>
  <c r="G43" i="35" a="1"/>
  <c r="G43" i="35" s="1"/>
  <c r="H43" i="35" s="1"/>
  <c r="G71" i="35" a="1"/>
  <c r="G71" i="35" s="1"/>
  <c r="H71" i="35" s="1"/>
  <c r="G10" i="34" a="1"/>
  <c r="G10" i="34" s="1"/>
  <c r="H10" i="34" s="1"/>
  <c r="G17" i="34" a="1"/>
  <c r="G17" i="34" s="1"/>
  <c r="H17" i="34" s="1"/>
  <c r="G19" i="34" a="1"/>
  <c r="G19" i="34" s="1"/>
  <c r="H19" i="34" s="1"/>
  <c r="D19" i="34"/>
  <c r="G8" i="34" a="1"/>
  <c r="G8" i="34" s="1"/>
  <c r="H8" i="34" s="1"/>
  <c r="D8" i="34"/>
  <c r="G26" i="34" a="1"/>
  <c r="G26" i="34" s="1"/>
  <c r="H26" i="34" s="1"/>
  <c r="G28" i="34" a="1"/>
  <c r="G28" i="34" s="1"/>
  <c r="H28" i="34" s="1"/>
  <c r="G71" i="34" a="1"/>
  <c r="G71" i="34" s="1"/>
  <c r="H71" i="34" s="1"/>
  <c r="D9" i="34"/>
  <c r="D6" i="34"/>
  <c r="G22" i="34" a="1"/>
  <c r="G22" i="34" s="1"/>
  <c r="H22" i="34" s="1"/>
  <c r="D22" i="34"/>
  <c r="G61" i="34" a="1"/>
  <c r="G61" i="34" s="1"/>
  <c r="H61" i="34" s="1"/>
  <c r="D61" i="34"/>
  <c r="G15" i="34" a="1"/>
  <c r="G15" i="34" s="1"/>
  <c r="H15" i="34" s="1"/>
  <c r="D16" i="34"/>
  <c r="G40" i="34" a="1"/>
  <c r="G40" i="34" s="1"/>
  <c r="H40" i="34" s="1"/>
  <c r="G53" i="34" a="1"/>
  <c r="G53" i="34" s="1"/>
  <c r="H53" i="34" s="1"/>
  <c r="G59" i="34" a="1"/>
  <c r="G59" i="34" s="1"/>
  <c r="H59" i="34" s="1"/>
  <c r="G35" i="34" a="1"/>
  <c r="G35" i="34" s="1"/>
  <c r="H35" i="34" s="1"/>
  <c r="G73" i="34" a="1"/>
  <c r="G73" i="34" s="1"/>
  <c r="H73" i="34" s="1"/>
  <c r="D73" i="34"/>
  <c r="G7" i="34" a="1"/>
  <c r="G7" i="34" s="1"/>
  <c r="H7" i="34" s="1"/>
  <c r="D7" i="34"/>
  <c r="D25" i="34"/>
  <c r="G25" i="34" a="1"/>
  <c r="G25" i="34" s="1"/>
  <c r="H25" i="34" s="1"/>
  <c r="G33" i="34" a="1"/>
  <c r="G33" i="34" s="1"/>
  <c r="H33" i="34" s="1"/>
  <c r="G54" i="34" a="1"/>
  <c r="G54" i="34" s="1"/>
  <c r="H54" i="34" s="1"/>
  <c r="D29" i="34"/>
  <c r="G78" i="34" a="1"/>
  <c r="G78" i="34" s="1"/>
  <c r="H78" i="34" s="1"/>
  <c r="G51" i="34" a="1"/>
  <c r="G51" i="34" s="1"/>
  <c r="H51" i="34" s="1"/>
  <c r="D51" i="34"/>
  <c r="G85" i="34" a="1"/>
  <c r="G85" i="34" s="1"/>
  <c r="H85" i="34" s="1"/>
  <c r="D85" i="34"/>
  <c r="G44" i="34" a="1"/>
  <c r="G44" i="34" s="1"/>
  <c r="H44" i="34" s="1"/>
  <c r="G66" i="34" a="1"/>
  <c r="G66" i="34" s="1"/>
  <c r="H66" i="34" s="1"/>
  <c r="K11" i="34" a="1"/>
  <c r="K11" i="34" s="1"/>
  <c r="G31" i="34" a="1"/>
  <c r="G31" i="34" s="1"/>
  <c r="H31" i="34" s="1"/>
  <c r="G11" i="34" a="1"/>
  <c r="G11" i="34" s="1"/>
  <c r="H11" i="34" s="1"/>
  <c r="G20" i="34" a="1"/>
  <c r="G20" i="34" s="1"/>
  <c r="H20" i="34" s="1"/>
  <c r="G14" i="34" a="1"/>
  <c r="G14" i="34" s="1"/>
  <c r="H14" i="34" s="1"/>
  <c r="K18" i="34" a="1"/>
  <c r="K18" i="34" s="1"/>
  <c r="D34" i="34"/>
  <c r="G76" i="34" a="1"/>
  <c r="G76" i="34" s="1"/>
  <c r="H76" i="34" s="1"/>
  <c r="D76" i="34"/>
  <c r="D45" i="34"/>
  <c r="G69" i="34" a="1"/>
  <c r="G69" i="34" s="1"/>
  <c r="H69" i="34" s="1"/>
  <c r="G95" i="34" a="1"/>
  <c r="G95" i="34" s="1"/>
  <c r="H95" i="34" s="1"/>
  <c r="G86" i="34" a="1"/>
  <c r="G86" i="34" s="1"/>
  <c r="H86" i="34" s="1"/>
  <c r="G92" i="34" a="1"/>
  <c r="G92" i="34" s="1"/>
  <c r="H92" i="34" s="1"/>
  <c r="G96" i="34" a="1"/>
  <c r="G96" i="34" s="1"/>
  <c r="H96" i="34" s="1"/>
  <c r="G50" i="34" a="1"/>
  <c r="G50" i="34" s="1"/>
  <c r="H50" i="34" s="1"/>
  <c r="D68" i="34"/>
  <c r="G81" i="34" a="1"/>
  <c r="G81" i="34" s="1"/>
  <c r="H81" i="34" s="1"/>
  <c r="G47" i="34" a="1"/>
  <c r="G47" i="34" s="1"/>
  <c r="H47" i="34" s="1"/>
  <c r="D42" i="34"/>
  <c r="G55" i="34" a="1"/>
  <c r="G55" i="34" s="1"/>
  <c r="H55" i="34" s="1"/>
  <c r="G57" i="34" a="1"/>
  <c r="G57" i="34" s="1"/>
  <c r="H57" i="34" s="1"/>
  <c r="G83" i="34" a="1"/>
  <c r="G83" i="34" s="1"/>
  <c r="H83" i="34" s="1"/>
  <c r="G88" i="34" a="1"/>
  <c r="G88" i="34" s="1"/>
  <c r="H88" i="34" s="1"/>
  <c r="D88" i="34"/>
  <c r="G93" i="34" a="1"/>
  <c r="G93" i="34" s="1"/>
  <c r="H93" i="34" s="1"/>
  <c r="D55" i="34"/>
  <c r="G64" i="34" a="1"/>
  <c r="G64" i="34" s="1"/>
  <c r="H64" i="34" s="1"/>
  <c r="G72" i="34" a="1"/>
  <c r="G72" i="34" s="1"/>
  <c r="H72" i="34" s="1"/>
  <c r="D83" i="34"/>
  <c r="G90" i="34" a="1"/>
  <c r="G90" i="34" s="1"/>
  <c r="H90" i="34" s="1"/>
  <c r="D90" i="34"/>
  <c r="D30" i="34"/>
  <c r="G52" i="34" a="1"/>
  <c r="G52" i="34" s="1"/>
  <c r="H52" i="34" s="1"/>
  <c r="D74" i="34"/>
  <c r="G74" i="34" a="1"/>
  <c r="G74" i="34" s="1"/>
  <c r="H74" i="34" s="1"/>
  <c r="G87" i="34" a="1"/>
  <c r="G87" i="34" s="1"/>
  <c r="H87" i="34" s="1"/>
  <c r="G24" i="14" a="1"/>
  <c r="G24" i="14" s="1"/>
  <c r="G42" i="14" a="1"/>
  <c r="G42" i="14" s="1"/>
  <c r="H42" i="14" s="1"/>
  <c r="G92" i="14" a="1"/>
  <c r="G92" i="14" s="1"/>
  <c r="H92" i="14" s="1"/>
  <c r="G49" i="14" a="1"/>
  <c r="G49" i="14" s="1"/>
  <c r="H49" i="14" s="1"/>
  <c r="G46" i="14" a="1"/>
  <c r="G46" i="14" s="1"/>
  <c r="H46" i="14" s="1"/>
  <c r="G77" i="14" a="1"/>
  <c r="G77" i="14" s="1"/>
  <c r="G20" i="14" a="1"/>
  <c r="G20" i="14" s="1"/>
  <c r="G47" i="14" a="1"/>
  <c r="G47" i="14" s="1"/>
  <c r="H47" i="14" s="1"/>
  <c r="G14" i="14" a="1"/>
  <c r="G14" i="14" s="1"/>
  <c r="H14" i="14" s="1"/>
  <c r="G34" i="14" a="1"/>
  <c r="G34" i="14" s="1"/>
  <c r="G35" i="14" a="1"/>
  <c r="G35" i="14" s="1"/>
  <c r="G53" i="14" a="1"/>
  <c r="G53" i="14" s="1"/>
  <c r="G18" i="14" a="1"/>
  <c r="G18" i="14" s="1"/>
  <c r="G17" i="14" a="1"/>
  <c r="G17" i="14" s="1"/>
  <c r="G28" i="14" a="1"/>
  <c r="G28" i="14" s="1"/>
  <c r="H28" i="14" s="1"/>
  <c r="G82" i="14" a="1"/>
  <c r="G82" i="14" s="1"/>
  <c r="G63" i="14" a="1"/>
  <c r="G63" i="14" s="1"/>
  <c r="H63" i="14" s="1"/>
  <c r="G45" i="14" a="1"/>
  <c r="G45" i="14" s="1"/>
  <c r="H45" i="14" s="1"/>
  <c r="G33" i="14" a="1"/>
  <c r="G33" i="14" s="1"/>
  <c r="H33" i="14" s="1"/>
  <c r="G88" i="14" a="1"/>
  <c r="G88" i="14" s="1"/>
  <c r="H88" i="14" s="1"/>
  <c r="G71" i="14" a="1"/>
  <c r="G71" i="14" s="1"/>
  <c r="G72" i="14" a="1"/>
  <c r="G72" i="14" s="1"/>
  <c r="G54" i="14" a="1"/>
  <c r="G54" i="14" s="1"/>
  <c r="G19" i="14" a="1"/>
  <c r="G19" i="14" s="1"/>
  <c r="G38" i="14" a="1"/>
  <c r="G38" i="14" s="1"/>
  <c r="H38" i="14" s="1"/>
  <c r="G69" i="14" a="1"/>
  <c r="G69" i="14" s="1"/>
  <c r="G79" i="14" a="1"/>
  <c r="G79" i="14" s="1"/>
  <c r="G8" i="14" a="1"/>
  <c r="G8" i="14" s="1"/>
  <c r="H8" i="14" s="1"/>
  <c r="G50" i="14" a="1"/>
  <c r="G50" i="14" s="1"/>
  <c r="H50" i="14" s="1"/>
  <c r="G59" i="14" a="1"/>
  <c r="G59" i="14" s="1"/>
  <c r="G55" i="14" a="1"/>
  <c r="G55" i="14" s="1"/>
  <c r="G68" i="14" a="1"/>
  <c r="G68" i="14" s="1"/>
  <c r="G10" i="14" a="1"/>
  <c r="G10" i="14" s="1"/>
  <c r="H10" i="14" s="1"/>
  <c r="G98" i="14" a="1"/>
  <c r="G98" i="14" s="1"/>
  <c r="G89" i="14" a="1"/>
  <c r="G89" i="14" s="1"/>
  <c r="H89" i="14" s="1"/>
  <c r="G48" i="14" a="1"/>
  <c r="G48" i="14" s="1"/>
  <c r="G65" i="14" a="1"/>
  <c r="G65" i="14" s="1"/>
  <c r="H65" i="14" s="1"/>
  <c r="G51" i="14" a="1"/>
  <c r="G51" i="14" s="1"/>
  <c r="G7" i="14" a="1"/>
  <c r="G7" i="14" s="1"/>
  <c r="G90" i="14" a="1"/>
  <c r="G90" i="14" s="1"/>
  <c r="G52" i="14" a="1"/>
  <c r="G52" i="14" s="1"/>
  <c r="G85" i="14" a="1"/>
  <c r="G85" i="14" s="1"/>
  <c r="G41" i="14" a="1"/>
  <c r="G41" i="14" s="1"/>
  <c r="H41" i="14" s="1"/>
  <c r="G23" i="14" a="1"/>
  <c r="G23" i="14" s="1"/>
  <c r="G62" i="14" a="1"/>
  <c r="G62" i="14" s="1"/>
  <c r="H62" i="14" s="1"/>
  <c r="G57" i="14" a="1"/>
  <c r="G57" i="14" s="1"/>
  <c r="G87" i="14" a="1"/>
  <c r="G87" i="14" s="1"/>
  <c r="H87" i="14" s="1"/>
  <c r="G96" i="14" a="1"/>
  <c r="G96" i="14" s="1"/>
  <c r="H96" i="14" s="1"/>
  <c r="G25" i="14" a="1"/>
  <c r="G25" i="14" s="1"/>
  <c r="H25" i="14" s="1"/>
  <c r="G13" i="14" a="1"/>
  <c r="G13" i="14" s="1"/>
  <c r="G91" i="14" a="1"/>
  <c r="G91" i="14" s="1"/>
  <c r="G64" i="14" a="1"/>
  <c r="G64" i="14" s="1"/>
  <c r="G56" i="14" a="1"/>
  <c r="G56" i="14" s="1"/>
  <c r="G67" i="14" a="1"/>
  <c r="G67" i="14" s="1"/>
  <c r="G39" i="14" a="1"/>
  <c r="G39" i="14" s="1"/>
  <c r="H39" i="14" s="1"/>
  <c r="G22" i="14" a="1"/>
  <c r="G22" i="14" s="1"/>
  <c r="G84" i="14" a="1"/>
  <c r="G84" i="14" s="1"/>
  <c r="G80" i="14" a="1"/>
  <c r="G80" i="14" s="1"/>
  <c r="G95" i="14" a="1"/>
  <c r="G95" i="14" s="1"/>
  <c r="G43" i="14" a="1"/>
  <c r="G43" i="14" s="1"/>
  <c r="H43" i="14" s="1"/>
  <c r="G86" i="14" a="1"/>
  <c r="G86" i="14" s="1"/>
  <c r="G75" i="14" a="1"/>
  <c r="G75" i="14" s="1"/>
  <c r="G11" i="14" a="1"/>
  <c r="G11" i="14" s="1"/>
  <c r="H11" i="14" s="1"/>
  <c r="G78" i="14" a="1"/>
  <c r="G78" i="14" s="1"/>
  <c r="H78" i="14" s="1"/>
  <c r="G74" i="14" a="1"/>
  <c r="G74" i="14" s="1"/>
  <c r="G21" i="14" a="1"/>
  <c r="G21" i="14" s="1"/>
  <c r="G58" i="14" a="1"/>
  <c r="G58" i="14" s="1"/>
  <c r="G83" i="14" a="1"/>
  <c r="G83" i="14" s="1"/>
  <c r="G16" i="14" a="1"/>
  <c r="G16" i="14" s="1"/>
  <c r="G66" i="14" a="1"/>
  <c r="G66" i="14" s="1"/>
  <c r="H66" i="14" s="1"/>
  <c r="G12" i="14" a="1"/>
  <c r="G12" i="14" s="1"/>
  <c r="G97" i="14" a="1"/>
  <c r="G97" i="14" s="1"/>
  <c r="G26" i="14" a="1"/>
  <c r="G26" i="14" s="1"/>
  <c r="G40" i="14" a="1"/>
  <c r="G40" i="14" s="1"/>
  <c r="G61" i="14" a="1"/>
  <c r="G61" i="14" s="1"/>
  <c r="G81" i="14" a="1"/>
  <c r="G81" i="14" s="1"/>
  <c r="D56" i="14"/>
  <c r="D98" i="14"/>
  <c r="D89" i="14"/>
  <c r="L89" i="14" s="1" a="1"/>
  <c r="L89" i="14" s="1"/>
  <c r="D10" i="14"/>
  <c r="D40" i="14"/>
  <c r="D9" i="14"/>
  <c r="D8" i="14"/>
  <c r="C29" i="14"/>
  <c r="D67" i="14"/>
  <c r="D39" i="14"/>
  <c r="D50" i="14"/>
  <c r="D12" i="14"/>
  <c r="D37" i="14"/>
  <c r="D15" i="14"/>
  <c r="D7" i="14"/>
  <c r="D55" i="14"/>
  <c r="D45" i="14"/>
  <c r="D33" i="14"/>
  <c r="L33" i="14" s="1" a="1"/>
  <c r="L33" i="14" s="1"/>
  <c r="D88" i="14"/>
  <c r="L88" i="14" s="1" a="1"/>
  <c r="L88" i="14" s="1"/>
  <c r="D54" i="14"/>
  <c r="C93" i="14"/>
  <c r="C44" i="14"/>
  <c r="C32" i="14"/>
  <c r="C6" i="14"/>
  <c r="C70" i="14"/>
  <c r="C31" i="14"/>
  <c r="C27" i="14"/>
  <c r="C76" i="14"/>
  <c r="D43" i="14"/>
  <c r="D90" i="14"/>
  <c r="L90" i="14" s="1" a="1"/>
  <c r="L90" i="14" s="1"/>
  <c r="D73" i="14"/>
  <c r="D86" i="14"/>
  <c r="D30" i="14"/>
  <c r="D13" i="14"/>
  <c r="D41" i="14"/>
  <c r="D23" i="14"/>
  <c r="D62" i="14"/>
  <c r="D57" i="14"/>
  <c r="D11" i="14"/>
  <c r="D48" i="14"/>
  <c r="D16" i="14"/>
  <c r="D35" i="14"/>
  <c r="D20" i="14"/>
  <c r="D19" i="14"/>
  <c r="D53" i="14"/>
  <c r="D14" i="14"/>
  <c r="D46" i="14"/>
  <c r="D18" i="14"/>
  <c r="D17" i="14"/>
  <c r="C13" i="16"/>
  <c r="E13" i="16" s="1"/>
  <c r="C21" i="16"/>
  <c r="E21" i="16" s="1"/>
  <c r="B37" i="16"/>
  <c r="G51" i="16"/>
  <c r="H51" i="16" s="1"/>
  <c r="G79" i="16"/>
  <c r="H79" i="16" s="1"/>
  <c r="G80" i="16"/>
  <c r="H80" i="16" s="1"/>
  <c r="C23" i="16"/>
  <c r="E23" i="16" s="1"/>
  <c r="G49" i="16"/>
  <c r="H49" i="16" s="1"/>
  <c r="C20" i="16"/>
  <c r="E20" i="16" s="1"/>
  <c r="C11" i="16"/>
  <c r="E11" i="16" s="1"/>
  <c r="G50" i="16"/>
  <c r="H50" i="16" s="1"/>
  <c r="B58" i="16"/>
  <c r="B95" i="16"/>
  <c r="B119" i="16"/>
  <c r="B84" i="16"/>
  <c r="B51" i="16"/>
  <c r="G78" i="16"/>
  <c r="H78" i="16" s="1"/>
  <c r="G81" i="16"/>
  <c r="H81" i="16" s="1"/>
  <c r="C22" i="16"/>
  <c r="G52" i="16"/>
  <c r="H52" i="16" s="1"/>
  <c r="B50" i="16"/>
  <c r="B79" i="16"/>
  <c r="Y7" i="14"/>
  <c r="D4" i="14"/>
  <c r="D52" i="15"/>
  <c r="D51" i="15"/>
  <c r="D50" i="15"/>
  <c r="D49" i="15"/>
  <c r="D48" i="15"/>
  <c r="D47" i="15"/>
  <c r="D46" i="15"/>
  <c r="D45" i="15"/>
  <c r="D44" i="15"/>
  <c r="D43" i="15"/>
  <c r="D42" i="15"/>
  <c r="D41" i="15"/>
  <c r="D40" i="15"/>
  <c r="D39" i="15"/>
  <c r="D38" i="15"/>
  <c r="D37" i="15"/>
  <c r="D36" i="15"/>
  <c r="D35" i="15"/>
  <c r="D34" i="15"/>
  <c r="D33" i="15"/>
  <c r="D125" i="15"/>
  <c r="D124" i="15"/>
  <c r="D123" i="15"/>
  <c r="D122" i="15"/>
  <c r="D121" i="15"/>
  <c r="D120" i="15"/>
  <c r="D119" i="15"/>
  <c r="D118" i="15"/>
  <c r="D117" i="15"/>
  <c r="D116" i="15"/>
  <c r="D115" i="15"/>
  <c r="D114" i="15"/>
  <c r="D113" i="15"/>
  <c r="D112" i="15"/>
  <c r="D111" i="15"/>
  <c r="D110" i="15"/>
  <c r="D109" i="15"/>
  <c r="D108" i="15"/>
  <c r="D107" i="15"/>
  <c r="D106" i="15"/>
  <c r="D105" i="15"/>
  <c r="D104" i="15"/>
  <c r="D103" i="15"/>
  <c r="D102" i="15"/>
  <c r="D101" i="15"/>
  <c r="D100" i="15"/>
  <c r="D86" i="15"/>
  <c r="E73" i="41" s="1"/>
  <c r="L73" i="41" s="1" a="1"/>
  <c r="L73" i="41" s="1"/>
  <c r="D85" i="15"/>
  <c r="E48" i="41" s="1"/>
  <c r="L48" i="41" s="1" a="1"/>
  <c r="L48" i="41" s="1"/>
  <c r="D84" i="15"/>
  <c r="E47" i="41" s="1"/>
  <c r="L47" i="41" s="1" a="1"/>
  <c r="L47" i="41" s="1"/>
  <c r="D83" i="15"/>
  <c r="E40" i="41" s="1"/>
  <c r="L40" i="41" s="1" a="1"/>
  <c r="L40" i="41" s="1"/>
  <c r="D82" i="15"/>
  <c r="E29" i="41" s="1"/>
  <c r="L29" i="41" s="1" a="1"/>
  <c r="L29" i="41" s="1"/>
  <c r="D81" i="15"/>
  <c r="E19" i="41" s="1"/>
  <c r="L19" i="41" s="1" a="1"/>
  <c r="L19" i="41" s="1"/>
  <c r="D80" i="15"/>
  <c r="E14" i="41" s="1"/>
  <c r="L14" i="41" s="1" a="1"/>
  <c r="L14" i="41" s="1"/>
  <c r="D73" i="15"/>
  <c r="D72" i="15"/>
  <c r="D71" i="15"/>
  <c r="D70" i="15"/>
  <c r="D69" i="15"/>
  <c r="D68" i="15"/>
  <c r="D66" i="15"/>
  <c r="D63" i="15"/>
  <c r="D61" i="15"/>
  <c r="D59" i="15"/>
  <c r="D58" i="15"/>
  <c r="D56" i="15"/>
  <c r="D55" i="15"/>
  <c r="D53" i="15"/>
  <c r="D29" i="15"/>
  <c r="D28" i="15"/>
  <c r="D27" i="15"/>
  <c r="D26" i="15"/>
  <c r="D24" i="15"/>
  <c r="D23" i="15"/>
  <c r="D22" i="15"/>
  <c r="D21" i="15"/>
  <c r="D20" i="15"/>
  <c r="D18" i="15"/>
  <c r="E49" i="41" s="1"/>
  <c r="L49" i="41" s="1" a="1"/>
  <c r="L49" i="41" s="1"/>
  <c r="D17" i="15"/>
  <c r="D16" i="15"/>
  <c r="D15" i="15"/>
  <c r="D14" i="15"/>
  <c r="E17" i="41" s="1"/>
  <c r="L17" i="41" s="1" a="1"/>
  <c r="L17" i="41" s="1"/>
  <c r="D13" i="15"/>
  <c r="D12" i="15"/>
  <c r="D8" i="15"/>
  <c r="D7" i="15"/>
  <c r="D6" i="15"/>
  <c r="E15" i="41" s="1"/>
  <c r="L15" i="41" s="1" a="1"/>
  <c r="L15" i="41" s="1"/>
  <c r="D5" i="15"/>
  <c r="D4" i="15"/>
  <c r="D3" i="15"/>
  <c r="D126" i="15"/>
  <c r="E59" i="41" s="1"/>
  <c r="L59" i="41" s="1" a="1"/>
  <c r="L59" i="41" s="1"/>
  <c r="D32" i="15"/>
  <c r="D31" i="15"/>
  <c r="D30" i="15"/>
  <c r="E86" i="41" l="1"/>
  <c r="E41" i="41"/>
  <c r="E34" i="41"/>
  <c r="L34" i="41" s="1" a="1"/>
  <c r="L34" i="41" s="1"/>
  <c r="E82" i="41"/>
  <c r="E23" i="41"/>
  <c r="L23" i="41" s="1" a="1"/>
  <c r="L23" i="41" s="1"/>
  <c r="E54" i="41"/>
  <c r="L54" i="41" s="1" a="1"/>
  <c r="L54" i="41" s="1"/>
  <c r="E57" i="41"/>
  <c r="L57" i="41" s="1" a="1"/>
  <c r="L57" i="41" s="1"/>
  <c r="E44" i="41"/>
  <c r="E71" i="41"/>
  <c r="L71" i="41" s="1" a="1"/>
  <c r="L71" i="41" s="1"/>
  <c r="E83" i="41"/>
  <c r="E60" i="41"/>
  <c r="E22" i="41"/>
  <c r="L22" i="41" s="1" a="1"/>
  <c r="L22" i="41" s="1"/>
  <c r="E53" i="41"/>
  <c r="L53" i="41" s="1" a="1"/>
  <c r="L53" i="41" s="1"/>
  <c r="E8" i="41"/>
  <c r="L8" i="41" s="1" a="1"/>
  <c r="L8" i="41" s="1"/>
  <c r="E24" i="41"/>
  <c r="L24" i="41" s="1" a="1"/>
  <c r="L24" i="41" s="1"/>
  <c r="E35" i="41"/>
  <c r="L35" i="41" s="1" a="1"/>
  <c r="L35" i="41" s="1"/>
  <c r="L83" i="39" a="1"/>
  <c r="L83" i="39" s="1"/>
  <c r="E65" i="41"/>
  <c r="L65" i="41" s="1" a="1"/>
  <c r="L65" i="41" s="1"/>
  <c r="E11" i="41"/>
  <c r="E75" i="41"/>
  <c r="E55" i="41"/>
  <c r="L55" i="41" s="1" a="1"/>
  <c r="L55" i="41" s="1"/>
  <c r="E9" i="41"/>
  <c r="E46" i="41"/>
  <c r="L82" i="39" a="1"/>
  <c r="L82" i="39" s="1"/>
  <c r="E63" i="41"/>
  <c r="L63" i="41" s="1" a="1"/>
  <c r="L63" i="41" s="1"/>
  <c r="E84" i="41"/>
  <c r="E36" i="41"/>
  <c r="L36" i="41" s="1" a="1"/>
  <c r="L36" i="41" s="1"/>
  <c r="E26" i="41"/>
  <c r="L26" i="41" s="1" a="1"/>
  <c r="L26" i="41" s="1"/>
  <c r="E61" i="41"/>
  <c r="L61" i="41" s="1" a="1"/>
  <c r="L61" i="41" s="1"/>
  <c r="E10" i="41"/>
  <c r="E56" i="41"/>
  <c r="E74" i="41"/>
  <c r="E85" i="41"/>
  <c r="E76" i="41"/>
  <c r="L10" i="39" a="1"/>
  <c r="L10" i="39" s="1"/>
  <c r="E20" i="41"/>
  <c r="E66" i="41"/>
  <c r="E77" i="41"/>
  <c r="E88" i="41"/>
  <c r="E87" i="41"/>
  <c r="E6" i="41"/>
  <c r="E7" i="41"/>
  <c r="L7" i="41" s="1" a="1"/>
  <c r="L7" i="41" s="1"/>
  <c r="E30" i="41"/>
  <c r="E68" i="41"/>
  <c r="E78" i="41"/>
  <c r="E89" i="41"/>
  <c r="L9" i="39" a="1"/>
  <c r="L9" i="39" s="1"/>
  <c r="E12" i="41"/>
  <c r="E62" i="41"/>
  <c r="L81" i="39" a="1"/>
  <c r="L81" i="39" s="1"/>
  <c r="E31" i="41"/>
  <c r="E70" i="41"/>
  <c r="E79" i="41"/>
  <c r="E90" i="41"/>
  <c r="E32" i="41"/>
  <c r="E72" i="41"/>
  <c r="E80" i="41"/>
  <c r="E88" i="35"/>
  <c r="E91" i="41"/>
  <c r="E37" i="41"/>
  <c r="E13" i="41"/>
  <c r="L13" i="41" s="1" a="1"/>
  <c r="L13" i="41" s="1"/>
  <c r="E93" i="41"/>
  <c r="E89" i="35"/>
  <c r="E92" i="41"/>
  <c r="E39" i="41"/>
  <c r="E18" i="41"/>
  <c r="L18" i="41" s="1" a="1"/>
  <c r="L18" i="41" s="1"/>
  <c r="E81" i="41"/>
  <c r="D65" i="14"/>
  <c r="D91" i="34"/>
  <c r="D31" i="34"/>
  <c r="D56" i="35"/>
  <c r="D38" i="35"/>
  <c r="D34" i="14"/>
  <c r="D36" i="14"/>
  <c r="D26" i="14"/>
  <c r="D68" i="14"/>
  <c r="D22" i="14"/>
  <c r="D15" i="34"/>
  <c r="D8" i="35"/>
  <c r="K8" i="35" s="1" a="1"/>
  <c r="K8" i="35" s="1"/>
  <c r="D27" i="35"/>
  <c r="D79" i="34"/>
  <c r="L79" i="34" s="1" a="1"/>
  <c r="L79" i="34" s="1"/>
  <c r="D89" i="34"/>
  <c r="L89" i="34" s="1" a="1"/>
  <c r="L89" i="34" s="1"/>
  <c r="D24" i="34"/>
  <c r="K24" i="34" s="1" a="1"/>
  <c r="K24" i="34" s="1"/>
  <c r="D69" i="35"/>
  <c r="D75" i="35"/>
  <c r="K75" i="35" s="1" a="1"/>
  <c r="K75" i="35" s="1"/>
  <c r="D47" i="14"/>
  <c r="L47" i="14" s="1" a="1"/>
  <c r="L47" i="14" s="1"/>
  <c r="D59" i="14"/>
  <c r="D27" i="34"/>
  <c r="D86" i="34"/>
  <c r="D78" i="34"/>
  <c r="D71" i="35"/>
  <c r="D59" i="35"/>
  <c r="D42" i="35"/>
  <c r="D37" i="35"/>
  <c r="D36" i="34"/>
  <c r="D44" i="35"/>
  <c r="K44" i="35" s="1" a="1"/>
  <c r="K44" i="35" s="1"/>
  <c r="D31" i="35"/>
  <c r="K31" i="35" s="1" a="1"/>
  <c r="K31" i="35" s="1"/>
  <c r="D49" i="14"/>
  <c r="D64" i="34"/>
  <c r="D95" i="34"/>
  <c r="D53" i="34"/>
  <c r="D28" i="34"/>
  <c r="D10" i="35"/>
  <c r="K10" i="35" s="1" a="1"/>
  <c r="K10" i="35" s="1"/>
  <c r="D14" i="35"/>
  <c r="D32" i="34"/>
  <c r="L32" i="34" s="1" a="1"/>
  <c r="L32" i="34" s="1"/>
  <c r="D46" i="34"/>
  <c r="K46" i="34" s="1" a="1"/>
  <c r="K46" i="34" s="1"/>
  <c r="E65" i="38"/>
  <c r="D88" i="35"/>
  <c r="D87" i="35"/>
  <c r="D83" i="35"/>
  <c r="D90" i="35"/>
  <c r="D84" i="35"/>
  <c r="D85" i="35"/>
  <c r="D86" i="35"/>
  <c r="D81" i="35"/>
  <c r="D89" i="35"/>
  <c r="D79" i="35"/>
  <c r="D78" i="35"/>
  <c r="D82" i="35"/>
  <c r="D80" i="35"/>
  <c r="D22" i="39"/>
  <c r="D25" i="39"/>
  <c r="D19" i="39"/>
  <c r="D36" i="39"/>
  <c r="L36" i="39" s="1" a="1"/>
  <c r="L36" i="39" s="1"/>
  <c r="D18" i="39"/>
  <c r="D41" i="39"/>
  <c r="D32" i="39"/>
  <c r="L32" i="39" s="1" a="1"/>
  <c r="L32" i="39" s="1"/>
  <c r="D16" i="39"/>
  <c r="D27" i="39"/>
  <c r="D13" i="39"/>
  <c r="D17" i="39"/>
  <c r="D23" i="39"/>
  <c r="D37" i="39"/>
  <c r="L37" i="39" s="1" a="1"/>
  <c r="L37" i="39" s="1"/>
  <c r="D34" i="39"/>
  <c r="L34" i="39" s="1" a="1"/>
  <c r="L34" i="39" s="1"/>
  <c r="D42" i="39"/>
  <c r="D33" i="39"/>
  <c r="L33" i="39" s="1" a="1"/>
  <c r="L33" i="39" s="1"/>
  <c r="D39" i="39"/>
  <c r="D15" i="39"/>
  <c r="D24" i="39"/>
  <c r="D29" i="39"/>
  <c r="D28" i="39"/>
  <c r="D11" i="39"/>
  <c r="D26" i="39"/>
  <c r="D20" i="39"/>
  <c r="D21" i="39"/>
  <c r="D14" i="39"/>
  <c r="D43" i="39"/>
  <c r="D30" i="39"/>
  <c r="D12" i="39"/>
  <c r="D35" i="39"/>
  <c r="L35" i="39" s="1" a="1"/>
  <c r="L35" i="39" s="1"/>
  <c r="D31" i="39"/>
  <c r="D70" i="38"/>
  <c r="K70" i="38" s="1" a="1"/>
  <c r="K70" i="38" s="1"/>
  <c r="D88" i="37"/>
  <c r="D84" i="37"/>
  <c r="D26" i="38"/>
  <c r="K26" i="38" s="1" a="1"/>
  <c r="K26" i="38" s="1"/>
  <c r="D27" i="38"/>
  <c r="K27" i="38" s="1" a="1"/>
  <c r="K27" i="38" s="1"/>
  <c r="D76" i="37"/>
  <c r="D9" i="38"/>
  <c r="K9" i="38" s="1" a="1"/>
  <c r="K9" i="38" s="1"/>
  <c r="D25" i="38"/>
  <c r="K25" i="38" s="1" a="1"/>
  <c r="K25" i="38" s="1"/>
  <c r="D79" i="37"/>
  <c r="D72" i="38"/>
  <c r="K72" i="38" s="1" a="1"/>
  <c r="K72" i="38" s="1"/>
  <c r="D40" i="38"/>
  <c r="K40" i="38" s="1" a="1"/>
  <c r="K40" i="38" s="1"/>
  <c r="D66" i="38"/>
  <c r="K66" i="38" s="1" a="1"/>
  <c r="K66" i="38" s="1"/>
  <c r="D68" i="38"/>
  <c r="K68" i="38" s="1" a="1"/>
  <c r="K68" i="38" s="1"/>
  <c r="D39" i="38"/>
  <c r="K39" i="38" s="1" a="1"/>
  <c r="K39" i="38" s="1"/>
  <c r="D24" i="38"/>
  <c r="K24" i="38" s="1" a="1"/>
  <c r="K24" i="38" s="1"/>
  <c r="D8" i="38"/>
  <c r="K8" i="38" s="1" a="1"/>
  <c r="K8" i="38" s="1"/>
  <c r="D64" i="37"/>
  <c r="K64" i="37" s="1" a="1"/>
  <c r="K64" i="37" s="1"/>
  <c r="D71" i="38"/>
  <c r="K71" i="38" s="1" a="1"/>
  <c r="K71" i="38" s="1"/>
  <c r="D67" i="37"/>
  <c r="K67" i="37" s="1" a="1"/>
  <c r="K67" i="37" s="1"/>
  <c r="D9" i="37"/>
  <c r="K9" i="37" s="1" a="1"/>
  <c r="K9" i="37" s="1"/>
  <c r="D53" i="36"/>
  <c r="K53" i="36" s="1" a="1"/>
  <c r="K53" i="36" s="1"/>
  <c r="D42" i="37"/>
  <c r="K42" i="37" s="1" a="1"/>
  <c r="K42" i="37" s="1"/>
  <c r="D24" i="36"/>
  <c r="K24" i="36" s="1" a="1"/>
  <c r="K24" i="36" s="1"/>
  <c r="D46" i="36"/>
  <c r="D24" i="37"/>
  <c r="K24" i="37" s="1" a="1"/>
  <c r="K24" i="37" s="1"/>
  <c r="D70" i="37"/>
  <c r="K70" i="37" s="1" a="1"/>
  <c r="K70" i="37" s="1"/>
  <c r="D23" i="36"/>
  <c r="K23" i="36" s="1" a="1"/>
  <c r="K23" i="36" s="1"/>
  <c r="D45" i="36"/>
  <c r="D26" i="37"/>
  <c r="K26" i="37" s="1" a="1"/>
  <c r="K26" i="37" s="1"/>
  <c r="D72" i="37"/>
  <c r="D29" i="36"/>
  <c r="K29" i="36" s="1" a="1"/>
  <c r="K29" i="36" s="1"/>
  <c r="D52" i="36"/>
  <c r="K52" i="36" s="1" a="1"/>
  <c r="K52" i="36" s="1"/>
  <c r="D56" i="36"/>
  <c r="K56" i="36" s="1" a="1"/>
  <c r="K56" i="36" s="1"/>
  <c r="D51" i="36"/>
  <c r="D35" i="36"/>
  <c r="D73" i="37"/>
  <c r="D86" i="37"/>
  <c r="D43" i="36"/>
  <c r="D75" i="37"/>
  <c r="D53" i="37"/>
  <c r="K53" i="37" s="1" a="1"/>
  <c r="K53" i="37" s="1"/>
  <c r="D69" i="37"/>
  <c r="K69" i="37" s="1" a="1"/>
  <c r="K69" i="37" s="1"/>
  <c r="D27" i="36"/>
  <c r="K27" i="36" s="1" a="1"/>
  <c r="K27" i="36" s="1"/>
  <c r="D32" i="36"/>
  <c r="D48" i="36"/>
  <c r="D89" i="37"/>
  <c r="D57" i="36"/>
  <c r="K57" i="36" s="1" a="1"/>
  <c r="K57" i="36" s="1"/>
  <c r="D49" i="36"/>
  <c r="D31" i="36"/>
  <c r="K31" i="36" s="1" a="1"/>
  <c r="K31" i="36" s="1"/>
  <c r="D37" i="36"/>
  <c r="D41" i="36"/>
  <c r="D23" i="37"/>
  <c r="K23" i="37" s="1" a="1"/>
  <c r="K23" i="37" s="1"/>
  <c r="D81" i="37"/>
  <c r="D21" i="36"/>
  <c r="K21" i="36" s="1" a="1"/>
  <c r="K21" i="36" s="1"/>
  <c r="D30" i="36"/>
  <c r="K30" i="36" s="1" a="1"/>
  <c r="K30" i="36" s="1"/>
  <c r="D40" i="36"/>
  <c r="D42" i="36"/>
  <c r="D25" i="36"/>
  <c r="K25" i="36" s="1" a="1"/>
  <c r="K25" i="36" s="1"/>
  <c r="D28" i="36"/>
  <c r="K28" i="36" s="1" a="1"/>
  <c r="K28" i="36" s="1"/>
  <c r="D44" i="36"/>
  <c r="D38" i="36"/>
  <c r="D83" i="37"/>
  <c r="D36" i="36"/>
  <c r="D87" i="37"/>
  <c r="D77" i="37"/>
  <c r="D38" i="37"/>
  <c r="K38" i="37" s="1" a="1"/>
  <c r="K38" i="37" s="1"/>
  <c r="D47" i="36"/>
  <c r="D39" i="36"/>
  <c r="D50" i="36"/>
  <c r="D25" i="37"/>
  <c r="K25" i="37" s="1" a="1"/>
  <c r="K25" i="37" s="1"/>
  <c r="D28" i="37"/>
  <c r="K28" i="37" s="1" a="1"/>
  <c r="K28" i="37" s="1"/>
  <c r="D54" i="36"/>
  <c r="K54" i="36" s="1" a="1"/>
  <c r="K54" i="36" s="1"/>
  <c r="D91" i="37"/>
  <c r="D90" i="37"/>
  <c r="D74" i="37"/>
  <c r="D27" i="37"/>
  <c r="K27" i="37" s="1" a="1"/>
  <c r="K27" i="37" s="1"/>
  <c r="D36" i="37"/>
  <c r="K36" i="37" s="1" a="1"/>
  <c r="K36" i="37" s="1"/>
  <c r="D82" i="37"/>
  <c r="D26" i="36"/>
  <c r="K26" i="36" s="1" a="1"/>
  <c r="K26" i="36" s="1"/>
  <c r="D45" i="37"/>
  <c r="K45" i="37" s="1" a="1"/>
  <c r="K45" i="37" s="1"/>
  <c r="D80" i="37"/>
  <c r="D85" i="37"/>
  <c r="D22" i="36"/>
  <c r="K22" i="36" s="1" a="1"/>
  <c r="K22" i="36" s="1"/>
  <c r="D37" i="37"/>
  <c r="K37" i="37" s="1" a="1"/>
  <c r="K37" i="37" s="1"/>
  <c r="D55" i="36"/>
  <c r="K55" i="36" s="1" a="1"/>
  <c r="K55" i="36" s="1"/>
  <c r="D58" i="36"/>
  <c r="K58" i="36" s="1" a="1"/>
  <c r="K58" i="36" s="1"/>
  <c r="D34" i="36"/>
  <c r="D20" i="36"/>
  <c r="K20" i="36" s="1" a="1"/>
  <c r="K20" i="36" s="1"/>
  <c r="D33" i="36"/>
  <c r="D78" i="37"/>
  <c r="D46" i="37"/>
  <c r="K46" i="37" s="1" a="1"/>
  <c r="K46" i="37" s="1"/>
  <c r="D51" i="14"/>
  <c r="D52" i="14"/>
  <c r="E81" i="35"/>
  <c r="D77" i="14"/>
  <c r="D83" i="14"/>
  <c r="L83" i="14" s="1" a="1"/>
  <c r="L83" i="14" s="1"/>
  <c r="D25" i="14"/>
  <c r="D81" i="34"/>
  <c r="D37" i="34"/>
  <c r="D43" i="35"/>
  <c r="D26" i="35"/>
  <c r="D13" i="35"/>
  <c r="K13" i="35" s="1" a="1"/>
  <c r="K13" i="35" s="1"/>
  <c r="D36" i="35"/>
  <c r="K36" i="35" s="1" a="1"/>
  <c r="K36" i="35" s="1"/>
  <c r="E55" i="38"/>
  <c r="E8" i="38"/>
  <c r="D58" i="14"/>
  <c r="D84" i="34"/>
  <c r="D41" i="34"/>
  <c r="K41" i="34" s="1" a="1"/>
  <c r="K41" i="34" s="1"/>
  <c r="D82" i="34"/>
  <c r="K82" i="34" s="1" a="1"/>
  <c r="K82" i="34" s="1"/>
  <c r="D55" i="35"/>
  <c r="K55" i="35" s="1" a="1"/>
  <c r="K55" i="35" s="1"/>
  <c r="E81" i="38"/>
  <c r="D77" i="35"/>
  <c r="K77" i="35" s="1" a="1"/>
  <c r="K77" i="35" s="1"/>
  <c r="D28" i="14"/>
  <c r="D91" i="14"/>
  <c r="L91" i="14" s="1" a="1"/>
  <c r="L91" i="14" s="1"/>
  <c r="E82" i="35"/>
  <c r="D24" i="14"/>
  <c r="D38" i="14"/>
  <c r="D26" i="34"/>
  <c r="D92" i="35"/>
  <c r="E83" i="35"/>
  <c r="D63" i="14"/>
  <c r="D21" i="14"/>
  <c r="D42" i="14"/>
  <c r="D61" i="14"/>
  <c r="D93" i="34"/>
  <c r="D75" i="34"/>
  <c r="D69" i="34"/>
  <c r="D68" i="35"/>
  <c r="K68" i="35" s="1" a="1"/>
  <c r="K68" i="35" s="1"/>
  <c r="D80" i="34"/>
  <c r="D70" i="35"/>
  <c r="L70" i="35" s="1" a="1"/>
  <c r="L70" i="35" s="1"/>
  <c r="D72" i="34"/>
  <c r="D50" i="34"/>
  <c r="K50" i="34" s="1" a="1"/>
  <c r="K50" i="34" s="1"/>
  <c r="D66" i="14"/>
  <c r="D64" i="14"/>
  <c r="D69" i="14"/>
  <c r="D93" i="35"/>
  <c r="D61" i="35"/>
  <c r="D91" i="35"/>
  <c r="L91" i="35" s="1" a="1"/>
  <c r="L91" i="35" s="1"/>
  <c r="E67" i="38"/>
  <c r="E19" i="38"/>
  <c r="E17" i="38"/>
  <c r="D52" i="39"/>
  <c r="D45" i="39"/>
  <c r="D56" i="39"/>
  <c r="D58" i="39"/>
  <c r="K51" i="39" a="1"/>
  <c r="K51" i="39" s="1"/>
  <c r="D62" i="39"/>
  <c r="D50" i="39"/>
  <c r="D48" i="39"/>
  <c r="D40" i="39"/>
  <c r="D44" i="39"/>
  <c r="D57" i="39"/>
  <c r="D60" i="39"/>
  <c r="D61" i="39"/>
  <c r="D46" i="39"/>
  <c r="D54" i="39"/>
  <c r="D38" i="39"/>
  <c r="L38" i="39" s="1" a="1"/>
  <c r="L38" i="39" s="1"/>
  <c r="D53" i="39"/>
  <c r="D49" i="39"/>
  <c r="D59" i="39"/>
  <c r="D55" i="39"/>
  <c r="L55" i="39" s="1" a="1"/>
  <c r="L55" i="39" s="1"/>
  <c r="D47" i="39"/>
  <c r="D63" i="38"/>
  <c r="K63" i="38" s="1" a="1"/>
  <c r="K63" i="38" s="1"/>
  <c r="D36" i="38"/>
  <c r="D33" i="38"/>
  <c r="D79" i="38"/>
  <c r="D31" i="38"/>
  <c r="K31" i="38" s="1" a="1"/>
  <c r="K31" i="38" s="1"/>
  <c r="D14" i="38"/>
  <c r="K14" i="38" s="1" a="1"/>
  <c r="K14" i="38" s="1"/>
  <c r="D64" i="38"/>
  <c r="K64" i="38" s="1" a="1"/>
  <c r="K64" i="38" s="1"/>
  <c r="D52" i="38"/>
  <c r="K52" i="38" s="1" a="1"/>
  <c r="K52" i="38" s="1"/>
  <c r="D45" i="38"/>
  <c r="D44" i="38"/>
  <c r="K44" i="38" s="1" a="1"/>
  <c r="K44" i="38" s="1"/>
  <c r="D17" i="38"/>
  <c r="K17" i="38" s="1" a="1"/>
  <c r="K17" i="38" s="1"/>
  <c r="D82" i="38"/>
  <c r="K82" i="38" s="1" a="1"/>
  <c r="K82" i="38" s="1"/>
  <c r="D28" i="38"/>
  <c r="K28" i="38" s="1" a="1"/>
  <c r="K28" i="38" s="1"/>
  <c r="D65" i="38"/>
  <c r="K65" i="38" s="1" a="1"/>
  <c r="K65" i="38" s="1"/>
  <c r="D34" i="38"/>
  <c r="D57" i="37"/>
  <c r="K57" i="37" s="1" a="1"/>
  <c r="K57" i="37" s="1"/>
  <c r="D76" i="38"/>
  <c r="D23" i="38"/>
  <c r="D37" i="38"/>
  <c r="K37" i="38" s="1" a="1"/>
  <c r="K37" i="38" s="1"/>
  <c r="D58" i="38"/>
  <c r="D59" i="38"/>
  <c r="K59" i="38" s="1" a="1"/>
  <c r="K59" i="38" s="1"/>
  <c r="D62" i="38"/>
  <c r="K62" i="38" s="1" a="1"/>
  <c r="K62" i="38" s="1"/>
  <c r="D42" i="38"/>
  <c r="D10" i="38"/>
  <c r="D48" i="38"/>
  <c r="D38" i="38"/>
  <c r="K38" i="38" s="1" a="1"/>
  <c r="K38" i="38" s="1"/>
  <c r="D78" i="38"/>
  <c r="K78" i="38" s="1" a="1"/>
  <c r="K78" i="38" s="1"/>
  <c r="D69" i="38"/>
  <c r="D35" i="37"/>
  <c r="K35" i="37" s="1" a="1"/>
  <c r="K35" i="37" s="1"/>
  <c r="D46" i="38"/>
  <c r="D51" i="38"/>
  <c r="K51" i="38" s="1" a="1"/>
  <c r="K51" i="38" s="1"/>
  <c r="D60" i="38"/>
  <c r="K60" i="38" s="1" a="1"/>
  <c r="K60" i="38" s="1"/>
  <c r="D29" i="38"/>
  <c r="D81" i="38"/>
  <c r="K81" i="38" s="1" a="1"/>
  <c r="K81" i="38" s="1"/>
  <c r="D56" i="38"/>
  <c r="K56" i="38" s="1" a="1"/>
  <c r="K56" i="38" s="1"/>
  <c r="D55" i="38"/>
  <c r="K55" i="38" s="1" a="1"/>
  <c r="K55" i="38" s="1"/>
  <c r="D11" i="38"/>
  <c r="D22" i="37"/>
  <c r="D30" i="37"/>
  <c r="K30" i="37" s="1" a="1"/>
  <c r="K30" i="37" s="1"/>
  <c r="D13" i="38"/>
  <c r="D43" i="38"/>
  <c r="D21" i="38"/>
  <c r="K21" i="38" s="1" a="1"/>
  <c r="K21" i="38" s="1"/>
  <c r="D61" i="38"/>
  <c r="D57" i="38"/>
  <c r="K57" i="38" s="1" a="1"/>
  <c r="K57" i="38" s="1"/>
  <c r="D19" i="38"/>
  <c r="K19" i="38" s="1" a="1"/>
  <c r="K19" i="38" s="1"/>
  <c r="D32" i="38"/>
  <c r="K32" i="38" s="1" a="1"/>
  <c r="K32" i="38" s="1"/>
  <c r="D75" i="38"/>
  <c r="K75" i="38" s="1" a="1"/>
  <c r="K75" i="38" s="1"/>
  <c r="D12" i="38"/>
  <c r="D49" i="38"/>
  <c r="K49" i="38" s="1" a="1"/>
  <c r="K49" i="38" s="1"/>
  <c r="D50" i="38"/>
  <c r="K50" i="38" s="1" a="1"/>
  <c r="K50" i="38" s="1"/>
  <c r="D73" i="38"/>
  <c r="D67" i="38"/>
  <c r="K67" i="38" s="1" a="1"/>
  <c r="K67" i="38" s="1"/>
  <c r="D77" i="38"/>
  <c r="D58" i="37"/>
  <c r="K58" i="37" s="1" a="1"/>
  <c r="K58" i="37" s="1"/>
  <c r="D21" i="37"/>
  <c r="K21" i="37" s="1" a="1"/>
  <c r="K21" i="37" s="1"/>
  <c r="D80" i="38"/>
  <c r="K80" i="38" s="1" a="1"/>
  <c r="K80" i="38" s="1"/>
  <c r="D16" i="38"/>
  <c r="K16" i="38" s="1" a="1"/>
  <c r="K16" i="38" s="1"/>
  <c r="D22" i="38"/>
  <c r="K22" i="38" s="1" a="1"/>
  <c r="K22" i="38" s="1"/>
  <c r="D83" i="36"/>
  <c r="D77" i="36"/>
  <c r="D14" i="37"/>
  <c r="D61" i="37"/>
  <c r="K61" i="37" s="1" a="1"/>
  <c r="K61" i="37" s="1"/>
  <c r="D62" i="37"/>
  <c r="D10" i="37"/>
  <c r="D82" i="36"/>
  <c r="D6" i="36"/>
  <c r="D84" i="36"/>
  <c r="D64" i="36"/>
  <c r="K64" i="36" s="1" a="1"/>
  <c r="K64" i="36" s="1"/>
  <c r="D32" i="37"/>
  <c r="D87" i="36"/>
  <c r="D60" i="36"/>
  <c r="K60" i="36" s="1" a="1"/>
  <c r="K60" i="36" s="1"/>
  <c r="D78" i="36"/>
  <c r="D41" i="37"/>
  <c r="D93" i="36"/>
  <c r="D48" i="37"/>
  <c r="D66" i="36"/>
  <c r="K66" i="36" s="1" a="1"/>
  <c r="K66" i="36" s="1"/>
  <c r="D85" i="36"/>
  <c r="D68" i="36"/>
  <c r="K68" i="36" s="1" a="1"/>
  <c r="K68" i="36" s="1"/>
  <c r="D97" i="36"/>
  <c r="K97" i="36" s="1" a="1"/>
  <c r="K97" i="36" s="1"/>
  <c r="D63" i="37"/>
  <c r="K63" i="37" s="1" a="1"/>
  <c r="K63" i="37" s="1"/>
  <c r="D15" i="37"/>
  <c r="K15" i="37" s="1" a="1"/>
  <c r="K15" i="37" s="1"/>
  <c r="D93" i="37"/>
  <c r="K93" i="37" s="1" a="1"/>
  <c r="K93" i="37" s="1"/>
  <c r="D63" i="36"/>
  <c r="K63" i="36" s="1" a="1"/>
  <c r="K63" i="36" s="1"/>
  <c r="D92" i="36"/>
  <c r="D72" i="36"/>
  <c r="K72" i="36" s="1" a="1"/>
  <c r="K72" i="36" s="1"/>
  <c r="D73" i="36"/>
  <c r="K73" i="36" s="1" a="1"/>
  <c r="K73" i="36" s="1"/>
  <c r="D13" i="37"/>
  <c r="D54" i="37"/>
  <c r="K54" i="37" s="1" a="1"/>
  <c r="K54" i="37" s="1"/>
  <c r="D17" i="37"/>
  <c r="K17" i="37" s="1" a="1"/>
  <c r="K17" i="37" s="1"/>
  <c r="D70" i="36"/>
  <c r="K70" i="36" s="1" a="1"/>
  <c r="K70" i="36" s="1"/>
  <c r="D43" i="37"/>
  <c r="K43" i="37" s="1" a="1"/>
  <c r="K43" i="37" s="1"/>
  <c r="D96" i="37"/>
  <c r="D86" i="36"/>
  <c r="D65" i="36"/>
  <c r="K65" i="36" s="1" a="1"/>
  <c r="K65" i="36" s="1"/>
  <c r="D67" i="36"/>
  <c r="K67" i="36" s="1" a="1"/>
  <c r="K67" i="36" s="1"/>
  <c r="D31" i="37"/>
  <c r="D40" i="37"/>
  <c r="D71" i="37"/>
  <c r="D75" i="36"/>
  <c r="D89" i="36"/>
  <c r="D81" i="36"/>
  <c r="D92" i="37"/>
  <c r="D61" i="36"/>
  <c r="K61" i="36" s="1" a="1"/>
  <c r="K61" i="36" s="1"/>
  <c r="D62" i="36"/>
  <c r="K62" i="36" s="1" a="1"/>
  <c r="K62" i="36" s="1"/>
  <c r="D33" i="37"/>
  <c r="D50" i="37"/>
  <c r="K50" i="37" s="1" a="1"/>
  <c r="K50" i="37" s="1"/>
  <c r="D47" i="37"/>
  <c r="D59" i="37"/>
  <c r="D97" i="37"/>
  <c r="K97" i="37" s="1" a="1"/>
  <c r="K97" i="37" s="1"/>
  <c r="D76" i="36"/>
  <c r="D12" i="37"/>
  <c r="D60" i="37"/>
  <c r="K60" i="37" s="1" a="1"/>
  <c r="K60" i="37" s="1"/>
  <c r="D79" i="36"/>
  <c r="D95" i="37"/>
  <c r="K95" i="37" s="1" a="1"/>
  <c r="K95" i="37" s="1"/>
  <c r="D90" i="36"/>
  <c r="D95" i="36"/>
  <c r="K95" i="36" s="1" a="1"/>
  <c r="K95" i="36" s="1"/>
  <c r="D98" i="36"/>
  <c r="K98" i="36" s="1" a="1"/>
  <c r="K98" i="36" s="1"/>
  <c r="D88" i="36"/>
  <c r="D49" i="37"/>
  <c r="K49" i="37" s="1" a="1"/>
  <c r="K49" i="37" s="1"/>
  <c r="D65" i="37"/>
  <c r="D56" i="37"/>
  <c r="K56" i="37" s="1" a="1"/>
  <c r="K56" i="37" s="1"/>
  <c r="D94" i="37"/>
  <c r="D94" i="36"/>
  <c r="K94" i="36" s="1" a="1"/>
  <c r="K94" i="36" s="1"/>
  <c r="D80" i="36"/>
  <c r="D69" i="36"/>
  <c r="K69" i="36" s="1" a="1"/>
  <c r="K69" i="36" s="1"/>
  <c r="D96" i="36"/>
  <c r="K96" i="36" s="1" a="1"/>
  <c r="K96" i="36" s="1"/>
  <c r="D74" i="36"/>
  <c r="D59" i="36"/>
  <c r="K59" i="36" s="1" a="1"/>
  <c r="K59" i="36" s="1"/>
  <c r="D71" i="36"/>
  <c r="K71" i="36" s="1" a="1"/>
  <c r="K71" i="36" s="1"/>
  <c r="D91" i="36"/>
  <c r="D20" i="37"/>
  <c r="K20" i="37" s="1" a="1"/>
  <c r="K20" i="37" s="1"/>
  <c r="D44" i="37"/>
  <c r="D66" i="37"/>
  <c r="K66" i="37" s="1" a="1"/>
  <c r="K66" i="37" s="1"/>
  <c r="D68" i="37"/>
  <c r="K68" i="37" s="1" a="1"/>
  <c r="K68" i="37" s="1"/>
  <c r="E32" i="38"/>
  <c r="D30" i="35"/>
  <c r="K30" i="35" s="1" a="1"/>
  <c r="K30" i="35" s="1"/>
  <c r="D97" i="14"/>
  <c r="D12" i="35"/>
  <c r="L12" i="35" s="1" a="1"/>
  <c r="L12" i="35" s="1"/>
  <c r="D48" i="34"/>
  <c r="L48" i="34" s="1" a="1"/>
  <c r="L48" i="34" s="1"/>
  <c r="E82" i="38"/>
  <c r="D96" i="14"/>
  <c r="D79" i="14"/>
  <c r="D52" i="35"/>
  <c r="D41" i="35"/>
  <c r="K41" i="35" s="1" a="1"/>
  <c r="K41" i="35" s="1"/>
  <c r="D32" i="35"/>
  <c r="L32" i="35" s="1" a="1"/>
  <c r="L32" i="35" s="1"/>
  <c r="D19" i="35"/>
  <c r="K19" i="35" s="1" a="1"/>
  <c r="K19" i="35" s="1"/>
  <c r="D85" i="14"/>
  <c r="D72" i="14"/>
  <c r="D47" i="34"/>
  <c r="D96" i="34"/>
  <c r="D66" i="34"/>
  <c r="D20" i="34"/>
  <c r="D50" i="35"/>
  <c r="K50" i="35" s="1" a="1"/>
  <c r="K50" i="35" s="1"/>
  <c r="D54" i="35"/>
  <c r="K54" i="35" s="1" a="1"/>
  <c r="K54" i="35" s="1"/>
  <c r="D11" i="35"/>
  <c r="K11" i="35" s="1" a="1"/>
  <c r="K11" i="35" s="1"/>
  <c r="D46" i="35"/>
  <c r="E28" i="38"/>
  <c r="E63" i="38"/>
  <c r="D43" i="34"/>
  <c r="K43" i="34" s="1" a="1"/>
  <c r="K43" i="34" s="1"/>
  <c r="D82" i="14"/>
  <c r="L82" i="14" s="1" a="1"/>
  <c r="L82" i="14" s="1"/>
  <c r="D87" i="14"/>
  <c r="D84" i="14"/>
  <c r="L84" i="14" s="1" a="1"/>
  <c r="L84" i="14" s="1"/>
  <c r="D49" i="34"/>
  <c r="D59" i="34"/>
  <c r="D40" i="34"/>
  <c r="D39" i="35"/>
  <c r="L39" i="35" s="1" a="1"/>
  <c r="L39" i="35" s="1"/>
  <c r="D95" i="14"/>
  <c r="D57" i="34"/>
  <c r="D17" i="34"/>
  <c r="D28" i="35"/>
  <c r="K28" i="35" s="1" a="1"/>
  <c r="K28" i="35" s="1"/>
  <c r="D58" i="34"/>
  <c r="K58" i="34" s="1" a="1"/>
  <c r="K58" i="34" s="1"/>
  <c r="D35" i="34"/>
  <c r="K35" i="34" s="1" a="1"/>
  <c r="K35" i="34" s="1"/>
  <c r="D18" i="35"/>
  <c r="K18" i="35" s="1" a="1"/>
  <c r="K18" i="35" s="1"/>
  <c r="D74" i="14"/>
  <c r="D65" i="35"/>
  <c r="K65" i="35" s="1" a="1"/>
  <c r="K65" i="35" s="1"/>
  <c r="D71" i="14"/>
  <c r="D60" i="14"/>
  <c r="D56" i="34"/>
  <c r="D33" i="34"/>
  <c r="D71" i="34"/>
  <c r="D29" i="35"/>
  <c r="K29" i="35" s="1" a="1"/>
  <c r="K29" i="35" s="1"/>
  <c r="D47" i="35"/>
  <c r="K47" i="35" s="1" a="1"/>
  <c r="K47" i="35" s="1"/>
  <c r="D20" i="35"/>
  <c r="K20" i="35" s="1" a="1"/>
  <c r="K20" i="35" s="1"/>
  <c r="D34" i="35"/>
  <c r="K34" i="35" s="1" a="1"/>
  <c r="K34" i="35" s="1"/>
  <c r="D12" i="34"/>
  <c r="L12" i="34" s="1" a="1"/>
  <c r="L12" i="34" s="1"/>
  <c r="D14" i="34"/>
  <c r="K14" i="34" s="1" a="1"/>
  <c r="K14" i="34" s="1"/>
  <c r="D57" i="35"/>
  <c r="K57" i="35" s="1" a="1"/>
  <c r="K57" i="35" s="1"/>
  <c r="E37" i="38"/>
  <c r="E52" i="38"/>
  <c r="D92" i="34"/>
  <c r="D78" i="14"/>
  <c r="D80" i="14"/>
  <c r="L80" i="14" s="1" a="1"/>
  <c r="L80" i="14" s="1"/>
  <c r="D97" i="34"/>
  <c r="D44" i="34"/>
  <c r="L44" i="34" s="1" a="1"/>
  <c r="L44" i="34" s="1"/>
  <c r="D54" i="34"/>
  <c r="D75" i="14"/>
  <c r="D94" i="14"/>
  <c r="D92" i="14"/>
  <c r="L92" i="14" s="1" a="1"/>
  <c r="L92" i="14" s="1"/>
  <c r="D81" i="14"/>
  <c r="L81" i="14" s="1" a="1"/>
  <c r="L81" i="14" s="1"/>
  <c r="D10" i="34"/>
  <c r="D62" i="35"/>
  <c r="L62" i="35" s="1" a="1"/>
  <c r="L62" i="35" s="1"/>
  <c r="D64" i="35"/>
  <c r="K64" i="35" s="1" a="1"/>
  <c r="K64" i="35" s="1"/>
  <c r="D53" i="35"/>
  <c r="K53" i="35" s="1" a="1"/>
  <c r="K53" i="35" s="1"/>
  <c r="D21" i="35"/>
  <c r="K21" i="35" s="1" a="1"/>
  <c r="K21" i="35" s="1"/>
  <c r="D63" i="34"/>
  <c r="K63" i="34" s="1" a="1"/>
  <c r="K63" i="34" s="1"/>
  <c r="D60" i="34"/>
  <c r="D66" i="35"/>
  <c r="K66" i="35" s="1" a="1"/>
  <c r="K66" i="35" s="1"/>
  <c r="E50" i="38"/>
  <c r="E90" i="35"/>
  <c r="G36" i="35" a="1"/>
  <c r="G36" i="35" s="1"/>
  <c r="H36" i="35" s="1"/>
  <c r="E84" i="35"/>
  <c r="E85" i="35"/>
  <c r="E86" i="35"/>
  <c r="E78" i="35"/>
  <c r="E79" i="35"/>
  <c r="E87" i="35"/>
  <c r="E80" i="35"/>
  <c r="G10" i="35" a="1"/>
  <c r="G10" i="35" s="1"/>
  <c r="H10" i="35" s="1"/>
  <c r="G57" i="35" a="1"/>
  <c r="G57" i="35" s="1"/>
  <c r="H57" i="35" s="1"/>
  <c r="G35" i="35" a="1"/>
  <c r="G35" i="35" s="1"/>
  <c r="H35" i="35" s="1"/>
  <c r="E40" i="34"/>
  <c r="E72" i="38"/>
  <c r="L72" i="38" s="1" a="1"/>
  <c r="L72" i="38" s="1"/>
  <c r="E9" i="35"/>
  <c r="E68" i="38"/>
  <c r="L68" i="38" s="1" a="1"/>
  <c r="L68" i="38" s="1"/>
  <c r="E34" i="35"/>
  <c r="E18" i="38"/>
  <c r="L18" i="38" s="1" a="1"/>
  <c r="L18" i="38" s="1"/>
  <c r="E70" i="38"/>
  <c r="L70" i="38" s="1" a="1"/>
  <c r="L70" i="38" s="1"/>
  <c r="E96" i="34"/>
  <c r="E16" i="35"/>
  <c r="L16" i="35" s="1" a="1"/>
  <c r="L16" i="35" s="1"/>
  <c r="E11" i="34"/>
  <c r="L11" i="34" s="1" a="1"/>
  <c r="L11" i="34" s="1"/>
  <c r="E76" i="35"/>
  <c r="E15" i="38"/>
  <c r="L15" i="38" s="1" a="1"/>
  <c r="L15" i="38" s="1"/>
  <c r="E77" i="35"/>
  <c r="E48" i="35"/>
  <c r="L48" i="35" s="1" a="1"/>
  <c r="L48" i="35" s="1"/>
  <c r="E51" i="35"/>
  <c r="E34" i="34"/>
  <c r="E20" i="38"/>
  <c r="L20" i="38" s="1" a="1"/>
  <c r="L20" i="38" s="1"/>
  <c r="E58" i="34"/>
  <c r="E62" i="35"/>
  <c r="E83" i="34"/>
  <c r="E75" i="35"/>
  <c r="E43" i="35"/>
  <c r="E28" i="34"/>
  <c r="E85" i="34"/>
  <c r="E60" i="38"/>
  <c r="L60" i="38" s="1" a="1"/>
  <c r="L60" i="38" s="1"/>
  <c r="L6" i="39" a="1"/>
  <c r="L6" i="39" s="1"/>
  <c r="E54" i="38"/>
  <c r="L54" i="38" s="1" a="1"/>
  <c r="L54" i="38" s="1"/>
  <c r="E22" i="34"/>
  <c r="G8" i="35" a="1"/>
  <c r="G8" i="35" s="1"/>
  <c r="H8" i="35" s="1"/>
  <c r="G48" i="35" a="1"/>
  <c r="G48" i="35" s="1"/>
  <c r="H48" i="35" s="1"/>
  <c r="G32" i="35" a="1"/>
  <c r="G32" i="35" s="1"/>
  <c r="H32" i="35" s="1"/>
  <c r="G33" i="35" a="1"/>
  <c r="G33" i="35" s="1"/>
  <c r="H33" i="35" s="1"/>
  <c r="G13" i="35" a="1"/>
  <c r="G13" i="35" s="1"/>
  <c r="H13" i="35" s="1"/>
  <c r="G38" i="35" a="1"/>
  <c r="G38" i="35" s="1"/>
  <c r="H38" i="35" s="1"/>
  <c r="E10" i="35"/>
  <c r="E55" i="34"/>
  <c r="E26" i="34"/>
  <c r="E11" i="38"/>
  <c r="E20" i="35"/>
  <c r="E68" i="34"/>
  <c r="E75" i="38"/>
  <c r="E13" i="34"/>
  <c r="E12" i="38"/>
  <c r="E62" i="34"/>
  <c r="L62" i="34" s="1" a="1"/>
  <c r="L62" i="34" s="1"/>
  <c r="E61" i="38"/>
  <c r="E69" i="35"/>
  <c r="E84" i="34"/>
  <c r="E66" i="35"/>
  <c r="E60" i="34"/>
  <c r="E55" i="35"/>
  <c r="E53" i="38"/>
  <c r="L53" i="38" s="1" a="1"/>
  <c r="L53" i="38" s="1"/>
  <c r="E13" i="38"/>
  <c r="E69" i="38"/>
  <c r="E92" i="35"/>
  <c r="E86" i="34"/>
  <c r="E16" i="34"/>
  <c r="E39" i="35"/>
  <c r="E40" i="38"/>
  <c r="L40" i="38" s="1" a="1"/>
  <c r="L40" i="38" s="1"/>
  <c r="E41" i="35"/>
  <c r="E41" i="38"/>
  <c r="L41" i="38" s="1" a="1"/>
  <c r="L41" i="38" s="1"/>
  <c r="E6" i="34"/>
  <c r="L6" i="34" s="1" a="1"/>
  <c r="L6" i="34" s="1"/>
  <c r="L7" i="39" a="1"/>
  <c r="L7" i="39" s="1"/>
  <c r="E6" i="38"/>
  <c r="E38" i="34"/>
  <c r="L38" i="34" s="1" a="1"/>
  <c r="L38" i="34" s="1"/>
  <c r="E16" i="38"/>
  <c r="E23" i="35"/>
  <c r="L23" i="35" s="1" a="1"/>
  <c r="L23" i="35" s="1"/>
  <c r="E23" i="38"/>
  <c r="E67" i="35"/>
  <c r="L67" i="35" s="1" a="1"/>
  <c r="L67" i="35" s="1"/>
  <c r="E73" i="38"/>
  <c r="E75" i="34"/>
  <c r="E17" i="35"/>
  <c r="L17" i="35" s="1" a="1"/>
  <c r="L17" i="35" s="1"/>
  <c r="E27" i="35"/>
  <c r="L27" i="35" s="1" a="1"/>
  <c r="L27" i="35" s="1"/>
  <c r="E20" i="36"/>
  <c r="L20" i="36" s="1" a="1"/>
  <c r="L20" i="36" s="1"/>
  <c r="E66" i="38"/>
  <c r="L66" i="38" s="1" a="1"/>
  <c r="L66" i="38" s="1"/>
  <c r="E21" i="34"/>
  <c r="L21" i="34" s="1" a="1"/>
  <c r="L21" i="34" s="1"/>
  <c r="E22" i="38"/>
  <c r="L22" i="38" s="1" a="1"/>
  <c r="L22" i="38" s="1"/>
  <c r="E93" i="35"/>
  <c r="E18" i="35"/>
  <c r="E13" i="35"/>
  <c r="E28" i="35"/>
  <c r="E27" i="38"/>
  <c r="L27" i="38" s="1" a="1"/>
  <c r="L27" i="38" s="1"/>
  <c r="E89" i="34"/>
  <c r="E19" i="35"/>
  <c r="E39" i="38"/>
  <c r="L39" i="38" s="1" a="1"/>
  <c r="L39" i="38" s="1"/>
  <c r="E90" i="34"/>
  <c r="E47" i="35"/>
  <c r="E31" i="35"/>
  <c r="L31" i="35" s="1" a="1"/>
  <c r="L31" i="35" s="1"/>
  <c r="E31" i="38"/>
  <c r="L31" i="38" s="1" a="1"/>
  <c r="L31" i="38" s="1"/>
  <c r="E34" i="38"/>
  <c r="E77" i="38"/>
  <c r="E27" i="34"/>
  <c r="E44" i="38"/>
  <c r="L44" i="38" s="1" a="1"/>
  <c r="L44" i="38" s="1"/>
  <c r="E35" i="35"/>
  <c r="L35" i="35" s="1" a="1"/>
  <c r="L35" i="35" s="1"/>
  <c r="E36" i="38"/>
  <c r="E79" i="38"/>
  <c r="E69" i="34"/>
  <c r="E71" i="38"/>
  <c r="L71" i="38" s="1" a="1"/>
  <c r="L71" i="38" s="1"/>
  <c r="E72" i="35"/>
  <c r="L72" i="35" s="1" a="1"/>
  <c r="L72" i="35" s="1"/>
  <c r="E49" i="38"/>
  <c r="L49" i="38" s="1" a="1"/>
  <c r="L49" i="38" s="1"/>
  <c r="E42" i="38"/>
  <c r="E14" i="38"/>
  <c r="E70" i="35"/>
  <c r="E54" i="34"/>
  <c r="E54" i="35"/>
  <c r="E51" i="38"/>
  <c r="L51" i="38" s="1" a="1"/>
  <c r="L51" i="38" s="1"/>
  <c r="E43" i="38"/>
  <c r="E21" i="38"/>
  <c r="L21" i="38" s="1" a="1"/>
  <c r="L21" i="38" s="1"/>
  <c r="E80" i="34"/>
  <c r="E70" i="34"/>
  <c r="L70" i="34" s="1" a="1"/>
  <c r="L70" i="34" s="1"/>
  <c r="E50" i="34"/>
  <c r="L50" i="34" s="1" a="1"/>
  <c r="L50" i="34" s="1"/>
  <c r="E45" i="38"/>
  <c r="E81" i="34"/>
  <c r="E29" i="35"/>
  <c r="E30" i="38"/>
  <c r="L30" i="38" s="1" a="1"/>
  <c r="L30" i="38" s="1"/>
  <c r="E58" i="35"/>
  <c r="L58" i="35" s="1" a="1"/>
  <c r="L58" i="35" s="1"/>
  <c r="E62" i="38"/>
  <c r="L62" i="38" s="1" a="1"/>
  <c r="L62" i="38" s="1"/>
  <c r="E32" i="35"/>
  <c r="E58" i="38"/>
  <c r="E91" i="35"/>
  <c r="L8" i="39" a="1"/>
  <c r="L8" i="39" s="1"/>
  <c r="E7" i="38"/>
  <c r="L7" i="38" s="1" a="1"/>
  <c r="L7" i="38" s="1"/>
  <c r="E33" i="38"/>
  <c r="E92" i="34"/>
  <c r="E76" i="38"/>
  <c r="E24" i="38"/>
  <c r="L24" i="38" s="1" a="1"/>
  <c r="L24" i="38" s="1"/>
  <c r="E64" i="38"/>
  <c r="L64" i="38" s="1" a="1"/>
  <c r="L64" i="38" s="1"/>
  <c r="E80" i="38"/>
  <c r="L80" i="38" s="1" a="1"/>
  <c r="L80" i="38" s="1"/>
  <c r="E37" i="35"/>
  <c r="L37" i="35" s="1" a="1"/>
  <c r="L37" i="35" s="1"/>
  <c r="E38" i="38"/>
  <c r="E78" i="38"/>
  <c r="K77" i="34" a="1"/>
  <c r="K77" i="34" s="1"/>
  <c r="E14" i="35"/>
  <c r="L14" i="35" s="1" a="1"/>
  <c r="L14" i="35" s="1"/>
  <c r="E25" i="38"/>
  <c r="L25" i="38" s="1" a="1"/>
  <c r="L25" i="38" s="1"/>
  <c r="E56" i="38"/>
  <c r="L56" i="38" s="1" a="1"/>
  <c r="L56" i="38" s="1"/>
  <c r="E59" i="38"/>
  <c r="L59" i="38" s="1" a="1"/>
  <c r="L59" i="38" s="1"/>
  <c r="E46" i="38"/>
  <c r="E9" i="34"/>
  <c r="E9" i="38"/>
  <c r="L9" i="38" s="1" a="1"/>
  <c r="L9" i="38" s="1"/>
  <c r="E26" i="35"/>
  <c r="E26" i="38"/>
  <c r="L26" i="38" s="1" a="1"/>
  <c r="L26" i="38" s="1"/>
  <c r="E57" i="38"/>
  <c r="L57" i="38" s="1" a="1"/>
  <c r="L57" i="38" s="1"/>
  <c r="E10" i="34"/>
  <c r="E10" i="38"/>
  <c r="E48" i="34"/>
  <c r="E48" i="38"/>
  <c r="E66" i="34"/>
  <c r="E97" i="34"/>
  <c r="E44" i="34"/>
  <c r="E56" i="35"/>
  <c r="L56" i="35" s="1" a="1"/>
  <c r="L56" i="35" s="1"/>
  <c r="E65" i="34"/>
  <c r="E30" i="34"/>
  <c r="L30" i="34" s="1" a="1"/>
  <c r="L30" i="34" s="1"/>
  <c r="E46" i="37"/>
  <c r="L46" i="37" s="1" a="1"/>
  <c r="L46" i="37" s="1"/>
  <c r="E57" i="36"/>
  <c r="L57" i="36" s="1" a="1"/>
  <c r="L57" i="36" s="1"/>
  <c r="E78" i="37"/>
  <c r="E38" i="36"/>
  <c r="E52" i="34"/>
  <c r="L52" i="34" s="1" a="1"/>
  <c r="L52" i="34" s="1"/>
  <c r="E17" i="34"/>
  <c r="L17" i="34" s="1" a="1"/>
  <c r="L17" i="34" s="1"/>
  <c r="E61" i="35"/>
  <c r="L61" i="35" s="1" a="1"/>
  <c r="L61" i="35" s="1"/>
  <c r="E68" i="35"/>
  <c r="E50" i="35"/>
  <c r="E74" i="35"/>
  <c r="E6" i="35"/>
  <c r="E87" i="34"/>
  <c r="E40" i="37"/>
  <c r="E82" i="36"/>
  <c r="E91" i="37"/>
  <c r="E51" i="36"/>
  <c r="E93" i="34"/>
  <c r="L93" i="34" s="1" a="1"/>
  <c r="L93" i="34" s="1"/>
  <c r="E53" i="34"/>
  <c r="L53" i="34" s="1" a="1"/>
  <c r="L53" i="34" s="1"/>
  <c r="E71" i="35"/>
  <c r="L71" i="35" s="1" a="1"/>
  <c r="L71" i="35" s="1"/>
  <c r="E39" i="34"/>
  <c r="E63" i="34"/>
  <c r="E42" i="37"/>
  <c r="L42" i="37" s="1" a="1"/>
  <c r="L42" i="37" s="1"/>
  <c r="E55" i="36"/>
  <c r="L55" i="36" s="1" a="1"/>
  <c r="L55" i="36" s="1"/>
  <c r="E79" i="36"/>
  <c r="E31" i="37"/>
  <c r="E88" i="37"/>
  <c r="E48" i="36"/>
  <c r="E21" i="36"/>
  <c r="L21" i="36" s="1" a="1"/>
  <c r="L21" i="36" s="1"/>
  <c r="E64" i="37"/>
  <c r="L64" i="37" s="1" a="1"/>
  <c r="L64" i="37" s="1"/>
  <c r="E94" i="37"/>
  <c r="E92" i="36"/>
  <c r="E7" i="37"/>
  <c r="L7" i="37" s="1" a="1"/>
  <c r="L7" i="37" s="1"/>
  <c r="E8" i="36"/>
  <c r="L8" i="36" s="1" a="1"/>
  <c r="L8" i="36" s="1"/>
  <c r="E10" i="36"/>
  <c r="L10" i="36" s="1" a="1"/>
  <c r="L10" i="36" s="1"/>
  <c r="E18" i="37"/>
  <c r="L18" i="37" s="1" a="1"/>
  <c r="L18" i="37" s="1"/>
  <c r="E67" i="37"/>
  <c r="L67" i="37" s="1" a="1"/>
  <c r="L67" i="37" s="1"/>
  <c r="E22" i="36"/>
  <c r="L22" i="36" s="1" a="1"/>
  <c r="L22" i="36" s="1"/>
  <c r="E69" i="36"/>
  <c r="L69" i="36" s="1" a="1"/>
  <c r="L69" i="36" s="1"/>
  <c r="E43" i="37"/>
  <c r="L43" i="37" s="1" a="1"/>
  <c r="L43" i="37" s="1"/>
  <c r="E43" i="34"/>
  <c r="E96" i="37"/>
  <c r="E93" i="36"/>
  <c r="E50" i="36"/>
  <c r="E90" i="37"/>
  <c r="E69" i="37"/>
  <c r="L69" i="37" s="1" a="1"/>
  <c r="L69" i="37" s="1"/>
  <c r="E23" i="36"/>
  <c r="L23" i="36" s="1" a="1"/>
  <c r="L23" i="36" s="1"/>
  <c r="E12" i="36"/>
  <c r="L12" i="36" s="1" a="1"/>
  <c r="L12" i="36" s="1"/>
  <c r="E55" i="37"/>
  <c r="L55" i="37" s="1" a="1"/>
  <c r="L55" i="37" s="1"/>
  <c r="E59" i="36"/>
  <c r="E54" i="37"/>
  <c r="L54" i="37" s="1" a="1"/>
  <c r="L54" i="37" s="1"/>
  <c r="E95" i="36"/>
  <c r="L95" i="36" s="1" a="1"/>
  <c r="L95" i="36" s="1"/>
  <c r="E20" i="37"/>
  <c r="L20" i="37" s="1" a="1"/>
  <c r="L20" i="37" s="1"/>
  <c r="K65" i="34" a="1"/>
  <c r="K65" i="34" s="1"/>
  <c r="E74" i="34"/>
  <c r="E51" i="34"/>
  <c r="L51" i="34" s="1" a="1"/>
  <c r="L51" i="34" s="1"/>
  <c r="E73" i="34"/>
  <c r="K40" i="35" a="1"/>
  <c r="K40" i="35" s="1"/>
  <c r="E21" i="35"/>
  <c r="E36" i="34"/>
  <c r="L36" i="34" s="1" a="1"/>
  <c r="L36" i="34" s="1"/>
  <c r="E7" i="34"/>
  <c r="L7" i="34" s="1" a="1"/>
  <c r="L7" i="34" s="1"/>
  <c r="E21" i="37"/>
  <c r="L21" i="37" s="1" a="1"/>
  <c r="L21" i="37" s="1"/>
  <c r="E67" i="36"/>
  <c r="L67" i="36" s="1" a="1"/>
  <c r="L67" i="36" s="1"/>
  <c r="E42" i="34"/>
  <c r="L42" i="34" s="1" a="1"/>
  <c r="L42" i="34" s="1"/>
  <c r="E77" i="14"/>
  <c r="E34" i="37"/>
  <c r="L34" i="37" s="1" a="1"/>
  <c r="L34" i="37" s="1"/>
  <c r="E11" i="36"/>
  <c r="L11" i="36" s="1" a="1"/>
  <c r="L11" i="36" s="1"/>
  <c r="E49" i="37"/>
  <c r="E70" i="36"/>
  <c r="L70" i="36" s="1" a="1"/>
  <c r="L70" i="36" s="1"/>
  <c r="E15" i="37"/>
  <c r="L15" i="37" s="1" a="1"/>
  <c r="L15" i="37" s="1"/>
  <c r="E94" i="36"/>
  <c r="L94" i="36" s="1" a="1"/>
  <c r="L94" i="36" s="1"/>
  <c r="E79" i="37"/>
  <c r="E39" i="36"/>
  <c r="E24" i="36"/>
  <c r="L24" i="36" s="1" a="1"/>
  <c r="L24" i="36" s="1"/>
  <c r="E70" i="37"/>
  <c r="L70" i="37" s="1" a="1"/>
  <c r="L70" i="37" s="1"/>
  <c r="E71" i="36"/>
  <c r="L71" i="36" s="1" a="1"/>
  <c r="L71" i="36" s="1"/>
  <c r="E50" i="37"/>
  <c r="L50" i="37" s="1" a="1"/>
  <c r="L50" i="37" s="1"/>
  <c r="E83" i="36"/>
  <c r="E41" i="37"/>
  <c r="E40" i="36"/>
  <c r="E80" i="37"/>
  <c r="E79" i="34"/>
  <c r="E49" i="34"/>
  <c r="E11" i="37"/>
  <c r="L11" i="37" s="1" a="1"/>
  <c r="L11" i="37" s="1"/>
  <c r="E13" i="36"/>
  <c r="L13" i="36" s="1" a="1"/>
  <c r="L13" i="36" s="1"/>
  <c r="E60" i="36"/>
  <c r="L60" i="36" s="1" a="1"/>
  <c r="L60" i="36" s="1"/>
  <c r="E56" i="37"/>
  <c r="L56" i="37" s="1" a="1"/>
  <c r="L56" i="37" s="1"/>
  <c r="E72" i="36"/>
  <c r="L72" i="36" s="1" a="1"/>
  <c r="L72" i="36" s="1"/>
  <c r="E97" i="37"/>
  <c r="L97" i="37" s="1" a="1"/>
  <c r="L97" i="37" s="1"/>
  <c r="E44" i="37"/>
  <c r="E84" i="36"/>
  <c r="E81" i="37"/>
  <c r="E41" i="36"/>
  <c r="E16" i="37"/>
  <c r="L16" i="37" s="1" a="1"/>
  <c r="L16" i="37" s="1"/>
  <c r="E14" i="36"/>
  <c r="L14" i="36" s="1" a="1"/>
  <c r="L14" i="36" s="1"/>
  <c r="E24" i="37"/>
  <c r="L24" i="37" s="1" a="1"/>
  <c r="L24" i="37" s="1"/>
  <c r="E26" i="36"/>
  <c r="L26" i="36" s="1" a="1"/>
  <c r="L26" i="36" s="1"/>
  <c r="E25" i="35"/>
  <c r="L25" i="35" s="1" a="1"/>
  <c r="L25" i="35" s="1"/>
  <c r="E61" i="36"/>
  <c r="L61" i="36" s="1" a="1"/>
  <c r="L61" i="36" s="1"/>
  <c r="E57" i="37"/>
  <c r="L57" i="37" s="1" a="1"/>
  <c r="L57" i="37" s="1"/>
  <c r="E73" i="36"/>
  <c r="E60" i="37"/>
  <c r="E85" i="36"/>
  <c r="E47" i="37"/>
  <c r="E95" i="37"/>
  <c r="L95" i="37" s="1" a="1"/>
  <c r="L95" i="37" s="1"/>
  <c r="E97" i="36"/>
  <c r="E82" i="37"/>
  <c r="E42" i="36"/>
  <c r="E64" i="34"/>
  <c r="L64" i="34" s="1" a="1"/>
  <c r="L64" i="34" s="1"/>
  <c r="E88" i="34"/>
  <c r="K79" i="34" a="1"/>
  <c r="K79" i="34" s="1"/>
  <c r="E33" i="34"/>
  <c r="K32" i="34" a="1"/>
  <c r="K32" i="34" s="1"/>
  <c r="E53" i="35"/>
  <c r="E46" i="35"/>
  <c r="E36" i="35"/>
  <c r="L36" i="35" s="1" a="1"/>
  <c r="L36" i="35" s="1"/>
  <c r="E67" i="34"/>
  <c r="L67" i="34" s="1" a="1"/>
  <c r="L67" i="34" s="1"/>
  <c r="E40" i="35"/>
  <c r="L40" i="35" s="1" a="1"/>
  <c r="L40" i="35" s="1"/>
  <c r="E91" i="36"/>
  <c r="E92" i="37"/>
  <c r="E22" i="35"/>
  <c r="L22" i="35" s="1" a="1"/>
  <c r="L22" i="35" s="1"/>
  <c r="E23" i="37"/>
  <c r="L23" i="37" s="1" a="1"/>
  <c r="L23" i="37" s="1"/>
  <c r="E25" i="36"/>
  <c r="L25" i="36" s="1" a="1"/>
  <c r="L25" i="36" s="1"/>
  <c r="E35" i="37"/>
  <c r="L35" i="37" s="1" a="1"/>
  <c r="L35" i="37" s="1"/>
  <c r="E96" i="36"/>
  <c r="L96" i="36" s="1" a="1"/>
  <c r="L96" i="36" s="1"/>
  <c r="E9" i="37"/>
  <c r="L9" i="37" s="1" a="1"/>
  <c r="L9" i="37" s="1"/>
  <c r="E29" i="36"/>
  <c r="L29" i="36" s="1" a="1"/>
  <c r="L29" i="36" s="1"/>
  <c r="E10" i="14"/>
  <c r="L10" i="14" s="1" a="1"/>
  <c r="L10" i="14" s="1"/>
  <c r="E15" i="36"/>
  <c r="L15" i="36" s="1" a="1"/>
  <c r="L15" i="36" s="1"/>
  <c r="E19" i="37"/>
  <c r="L19" i="37" s="1" a="1"/>
  <c r="L19" i="37" s="1"/>
  <c r="E25" i="37"/>
  <c r="L25" i="37" s="1" a="1"/>
  <c r="L25" i="37" s="1"/>
  <c r="E27" i="36"/>
  <c r="L27" i="36" s="1" a="1"/>
  <c r="L27" i="36" s="1"/>
  <c r="E58" i="37"/>
  <c r="L58" i="37" s="1" a="1"/>
  <c r="L58" i="37" s="1"/>
  <c r="E62" i="36"/>
  <c r="L62" i="36" s="1" a="1"/>
  <c r="L62" i="36" s="1"/>
  <c r="E10" i="37"/>
  <c r="E74" i="36"/>
  <c r="E48" i="37"/>
  <c r="E86" i="36"/>
  <c r="E66" i="37"/>
  <c r="E98" i="36"/>
  <c r="L98" i="36" s="1" a="1"/>
  <c r="L98" i="36" s="1"/>
  <c r="E83" i="37"/>
  <c r="E43" i="36"/>
  <c r="E78" i="34"/>
  <c r="E35" i="34"/>
  <c r="L35" i="34" s="1" a="1"/>
  <c r="L35" i="34" s="1"/>
  <c r="E15" i="34"/>
  <c r="L15" i="34" s="1" a="1"/>
  <c r="L15" i="34" s="1"/>
  <c r="E65" i="35"/>
  <c r="L65" i="35" s="1" a="1"/>
  <c r="L65" i="35" s="1"/>
  <c r="E18" i="34"/>
  <c r="L18" i="34" s="1" a="1"/>
  <c r="L18" i="34" s="1"/>
  <c r="E52" i="35"/>
  <c r="E9" i="36"/>
  <c r="L9" i="36" s="1" a="1"/>
  <c r="L9" i="36" s="1"/>
  <c r="E8" i="37"/>
  <c r="L8" i="37" s="1" a="1"/>
  <c r="L8" i="37" s="1"/>
  <c r="E56" i="36"/>
  <c r="L56" i="36" s="1" a="1"/>
  <c r="L56" i="36" s="1"/>
  <c r="E45" i="37"/>
  <c r="L45" i="37" s="1" a="1"/>
  <c r="L45" i="37" s="1"/>
  <c r="E30" i="37"/>
  <c r="L30" i="37" s="1" a="1"/>
  <c r="L30" i="37" s="1"/>
  <c r="E68" i="36"/>
  <c r="L68" i="36" s="1" a="1"/>
  <c r="L68" i="36" s="1"/>
  <c r="E32" i="37"/>
  <c r="E80" i="36"/>
  <c r="E37" i="36"/>
  <c r="E77" i="37"/>
  <c r="E89" i="37"/>
  <c r="E49" i="36"/>
  <c r="E91" i="34"/>
  <c r="E46" i="34"/>
  <c r="L46" i="34" s="1" a="1"/>
  <c r="L46" i="34" s="1"/>
  <c r="E15" i="35"/>
  <c r="L15" i="35" s="1" a="1"/>
  <c r="L15" i="35" s="1"/>
  <c r="E94" i="34"/>
  <c r="E12" i="35"/>
  <c r="E76" i="37"/>
  <c r="E36" i="36"/>
  <c r="E81" i="36"/>
  <c r="E33" i="37"/>
  <c r="E53" i="37"/>
  <c r="L53" i="37" s="1" a="1"/>
  <c r="L53" i="37" s="1"/>
  <c r="E58" i="36"/>
  <c r="L58" i="36" s="1" a="1"/>
  <c r="L58" i="36" s="1"/>
  <c r="E36" i="37"/>
  <c r="L36" i="37" s="1" a="1"/>
  <c r="L36" i="37" s="1"/>
  <c r="E30" i="36"/>
  <c r="L30" i="36" s="1" a="1"/>
  <c r="L30" i="36" s="1"/>
  <c r="E29" i="37"/>
  <c r="L29" i="37" s="1" a="1"/>
  <c r="L29" i="37" s="1"/>
  <c r="E16" i="36"/>
  <c r="L16" i="36" s="1" a="1"/>
  <c r="L16" i="36" s="1"/>
  <c r="E27" i="37"/>
  <c r="L27" i="37" s="1" a="1"/>
  <c r="L27" i="37" s="1"/>
  <c r="E28" i="36"/>
  <c r="L28" i="36" s="1" a="1"/>
  <c r="L28" i="36" s="1"/>
  <c r="E63" i="37"/>
  <c r="L63" i="37" s="1" a="1"/>
  <c r="L63" i="37" s="1"/>
  <c r="E63" i="36"/>
  <c r="L63" i="36" s="1" a="1"/>
  <c r="L63" i="36" s="1"/>
  <c r="E75" i="36"/>
  <c r="E12" i="37"/>
  <c r="E59" i="37"/>
  <c r="E87" i="36"/>
  <c r="E72" i="37"/>
  <c r="E32" i="36"/>
  <c r="E84" i="37"/>
  <c r="E44" i="36"/>
  <c r="L58" i="34" a="1"/>
  <c r="L58" i="34" s="1"/>
  <c r="E31" i="36"/>
  <c r="L31" i="36" s="1" a="1"/>
  <c r="L31" i="36" s="1"/>
  <c r="E37" i="37"/>
  <c r="L37" i="37" s="1" a="1"/>
  <c r="L37" i="37" s="1"/>
  <c r="E39" i="37"/>
  <c r="L39" i="37" s="1" a="1"/>
  <c r="L39" i="37" s="1"/>
  <c r="E17" i="36"/>
  <c r="L17" i="36" s="1" a="1"/>
  <c r="L17" i="36" s="1"/>
  <c r="E26" i="37"/>
  <c r="L26" i="37" s="1" a="1"/>
  <c r="L26" i="37" s="1"/>
  <c r="E52" i="36"/>
  <c r="L52" i="36" s="1" a="1"/>
  <c r="L52" i="36" s="1"/>
  <c r="E68" i="37"/>
  <c r="L68" i="37" s="1" a="1"/>
  <c r="L68" i="37" s="1"/>
  <c r="E64" i="36"/>
  <c r="L64" i="36" s="1" a="1"/>
  <c r="L64" i="36" s="1"/>
  <c r="E13" i="37"/>
  <c r="E76" i="36"/>
  <c r="E88" i="36"/>
  <c r="E62" i="37"/>
  <c r="E73" i="37"/>
  <c r="E33" i="36"/>
  <c r="E85" i="37"/>
  <c r="E45" i="36"/>
  <c r="E41" i="34"/>
  <c r="E76" i="34"/>
  <c r="E25" i="34"/>
  <c r="L25" i="34" s="1" a="1"/>
  <c r="L25" i="34" s="1"/>
  <c r="E61" i="34"/>
  <c r="L61" i="34" s="1" a="1"/>
  <c r="L61" i="34" s="1"/>
  <c r="E8" i="34"/>
  <c r="L8" i="34" s="1" a="1"/>
  <c r="L8" i="34" s="1"/>
  <c r="E45" i="35"/>
  <c r="L45" i="35" s="1" a="1"/>
  <c r="L45" i="35" s="1"/>
  <c r="E60" i="35"/>
  <c r="L60" i="35" s="1" a="1"/>
  <c r="L60" i="35" s="1"/>
  <c r="E49" i="35"/>
  <c r="L49" i="35" s="1" a="1"/>
  <c r="L49" i="35" s="1"/>
  <c r="E8" i="35"/>
  <c r="L8" i="35" s="1" a="1"/>
  <c r="L8" i="35" s="1"/>
  <c r="E59" i="35"/>
  <c r="L59" i="35" s="1" a="1"/>
  <c r="L59" i="35" s="1"/>
  <c r="E11" i="35"/>
  <c r="E38" i="35"/>
  <c r="L38" i="35" s="1" a="1"/>
  <c r="L38" i="35" s="1"/>
  <c r="E12" i="34"/>
  <c r="E14" i="34"/>
  <c r="E56" i="34"/>
  <c r="L56" i="34" s="1" a="1"/>
  <c r="L56" i="34" s="1"/>
  <c r="E73" i="35"/>
  <c r="L73" i="35" s="1" a="1"/>
  <c r="L73" i="35" s="1"/>
  <c r="E7" i="35"/>
  <c r="L7" i="35" s="1" a="1"/>
  <c r="L7" i="35" s="1"/>
  <c r="E31" i="34"/>
  <c r="E46" i="36"/>
  <c r="E86" i="37"/>
  <c r="K89" i="34" a="1"/>
  <c r="K89" i="34" s="1"/>
  <c r="E57" i="34"/>
  <c r="L57" i="34" s="1" a="1"/>
  <c r="L57" i="34" s="1"/>
  <c r="E47" i="34"/>
  <c r="E32" i="34"/>
  <c r="E95" i="34"/>
  <c r="L95" i="34" s="1" a="1"/>
  <c r="L95" i="34" s="1"/>
  <c r="E20" i="34"/>
  <c r="L20" i="34" s="1" a="1"/>
  <c r="L20" i="34" s="1"/>
  <c r="E33" i="35"/>
  <c r="L33" i="35" s="1" a="1"/>
  <c r="L33" i="35" s="1"/>
  <c r="E63" i="35"/>
  <c r="L63" i="35" s="1" a="1"/>
  <c r="L63" i="35" s="1"/>
  <c r="E72" i="34"/>
  <c r="E82" i="34"/>
  <c r="E57" i="35"/>
  <c r="E6" i="36"/>
  <c r="L6" i="36" s="1" a="1"/>
  <c r="L6" i="36" s="1"/>
  <c r="E61" i="37"/>
  <c r="L61" i="37" s="1" a="1"/>
  <c r="L61" i="37" s="1"/>
  <c r="E18" i="36"/>
  <c r="L18" i="36" s="1" a="1"/>
  <c r="L18" i="36" s="1"/>
  <c r="E51" i="37"/>
  <c r="L51" i="37" s="1" a="1"/>
  <c r="L51" i="37" s="1"/>
  <c r="E28" i="37"/>
  <c r="L28" i="37" s="1" a="1"/>
  <c r="L28" i="37" s="1"/>
  <c r="E53" i="36"/>
  <c r="L53" i="36" s="1" a="1"/>
  <c r="L53" i="36" s="1"/>
  <c r="E93" i="37"/>
  <c r="L93" i="37" s="1" a="1"/>
  <c r="L93" i="37" s="1"/>
  <c r="E65" i="36"/>
  <c r="L65" i="36" s="1" a="1"/>
  <c r="L65" i="36" s="1"/>
  <c r="E77" i="36"/>
  <c r="E14" i="37"/>
  <c r="E89" i="36"/>
  <c r="E65" i="37"/>
  <c r="E34" i="36"/>
  <c r="E74" i="37"/>
  <c r="E7" i="36"/>
  <c r="E6" i="37"/>
  <c r="E19" i="36"/>
  <c r="L19" i="36" s="1" a="1"/>
  <c r="L19" i="36" s="1"/>
  <c r="E52" i="37"/>
  <c r="L52" i="37" s="1" a="1"/>
  <c r="L52" i="37" s="1"/>
  <c r="E38" i="37"/>
  <c r="L38" i="37" s="1" a="1"/>
  <c r="L38" i="37" s="1"/>
  <c r="E54" i="36"/>
  <c r="L54" i="36" s="1" a="1"/>
  <c r="L54" i="36" s="1"/>
  <c r="E66" i="36"/>
  <c r="L66" i="36" s="1" a="1"/>
  <c r="L66" i="36" s="1"/>
  <c r="E17" i="37"/>
  <c r="L17" i="37" s="1" a="1"/>
  <c r="L17" i="37" s="1"/>
  <c r="E22" i="37"/>
  <c r="E78" i="36"/>
  <c r="E71" i="37"/>
  <c r="E90" i="36"/>
  <c r="E75" i="37"/>
  <c r="E35" i="36"/>
  <c r="E47" i="36"/>
  <c r="E87" i="37"/>
  <c r="E24" i="34"/>
  <c r="L24" i="34" s="1" a="1"/>
  <c r="L24" i="34" s="1"/>
  <c r="E45" i="34"/>
  <c r="L45" i="34" s="1" a="1"/>
  <c r="L45" i="34" s="1"/>
  <c r="E37" i="34"/>
  <c r="L37" i="34" s="1" a="1"/>
  <c r="L37" i="34" s="1"/>
  <c r="E29" i="34"/>
  <c r="L29" i="34" s="1" a="1"/>
  <c r="L29" i="34" s="1"/>
  <c r="E59" i="34"/>
  <c r="E71" i="34"/>
  <c r="E19" i="34"/>
  <c r="L19" i="34" s="1" a="1"/>
  <c r="L19" i="34" s="1"/>
  <c r="E30" i="35"/>
  <c r="L30" i="35" s="1" a="1"/>
  <c r="L30" i="35" s="1"/>
  <c r="E44" i="35"/>
  <c r="L44" i="35" s="1" a="1"/>
  <c r="L44" i="35" s="1"/>
  <c r="E64" i="35"/>
  <c r="E42" i="35"/>
  <c r="L42" i="35" s="1" a="1"/>
  <c r="L42" i="35" s="1"/>
  <c r="E77" i="34"/>
  <c r="E24" i="35"/>
  <c r="L24" i="35" s="1" a="1"/>
  <c r="L24" i="35" s="1"/>
  <c r="E23" i="34"/>
  <c r="L23" i="34" s="1" a="1"/>
  <c r="L23" i="34" s="1"/>
  <c r="K48" i="34" a="1"/>
  <c r="K48" i="34" s="1"/>
  <c r="K13" i="34" a="1"/>
  <c r="K13" i="34" s="1"/>
  <c r="L41" i="34" a="1"/>
  <c r="L41" i="34" s="1"/>
  <c r="L39" i="34" a="1"/>
  <c r="L39" i="34" s="1"/>
  <c r="K69" i="35" a="1"/>
  <c r="K69" i="35" s="1"/>
  <c r="K73" i="35" a="1"/>
  <c r="K73" i="35" s="1"/>
  <c r="K6" i="35" a="1"/>
  <c r="K6" i="35" s="1"/>
  <c r="J2" i="14"/>
  <c r="G9" i="14" s="1" a="1"/>
  <c r="G9" i="14" s="1"/>
  <c r="H9" i="14" s="1"/>
  <c r="G60" i="14" a="1"/>
  <c r="G60" i="14" s="1"/>
  <c r="H60" i="14" s="1"/>
  <c r="G36" i="14" a="1"/>
  <c r="G36" i="14" s="1"/>
  <c r="H36" i="14" s="1"/>
  <c r="G15" i="14" a="1"/>
  <c r="G15" i="14" s="1"/>
  <c r="H15" i="14" s="1"/>
  <c r="G37" i="14" a="1"/>
  <c r="G37" i="14" s="1"/>
  <c r="H37" i="14" s="1"/>
  <c r="K87" i="34" a="1"/>
  <c r="K87" i="34" s="1"/>
  <c r="L82" i="34" a="1"/>
  <c r="L82" i="34" s="1"/>
  <c r="G60" i="34" a="1"/>
  <c r="G60" i="34" s="1"/>
  <c r="H60" i="34" s="1"/>
  <c r="L94" i="34" a="1"/>
  <c r="L94" i="34" s="1"/>
  <c r="G37" i="34" a="1"/>
  <c r="G37" i="34" s="1"/>
  <c r="H37" i="34" s="1"/>
  <c r="G9" i="34" a="1"/>
  <c r="G9" i="34" s="1"/>
  <c r="H9" i="34" s="1"/>
  <c r="K80" i="34" a="1"/>
  <c r="K80" i="34" s="1"/>
  <c r="L80" i="34" a="1"/>
  <c r="L80" i="34" s="1"/>
  <c r="K60" i="34" a="1"/>
  <c r="K60" i="34" s="1"/>
  <c r="K39" i="34" a="1"/>
  <c r="K39" i="34" s="1"/>
  <c r="G36" i="34" a="1"/>
  <c r="G36" i="34" s="1"/>
  <c r="H36" i="34" s="1"/>
  <c r="K38" i="34" a="1"/>
  <c r="K38" i="34" s="1"/>
  <c r="K36" i="34" a="1"/>
  <c r="K36" i="34" s="1"/>
  <c r="K37" i="35" a="1"/>
  <c r="K37" i="35" s="1"/>
  <c r="K45" i="35" a="1"/>
  <c r="K45" i="35" s="1"/>
  <c r="K27" i="35" a="1"/>
  <c r="K27" i="35" s="1"/>
  <c r="K51" i="35" a="1"/>
  <c r="K51" i="35" s="1"/>
  <c r="K43" i="35" a="1"/>
  <c r="K43" i="35" s="1"/>
  <c r="K74" i="35" a="1"/>
  <c r="K74" i="35" s="1"/>
  <c r="L74" i="35" a="1"/>
  <c r="L74" i="35" s="1"/>
  <c r="K42" i="35" a="1"/>
  <c r="K42" i="35" s="1"/>
  <c r="K61" i="35" a="1"/>
  <c r="K61" i="35" s="1"/>
  <c r="K67" i="35" a="1"/>
  <c r="K67" i="35" s="1"/>
  <c r="K22" i="35" a="1"/>
  <c r="K22" i="35" s="1"/>
  <c r="L76" i="35" a="1"/>
  <c r="L76" i="35" s="1"/>
  <c r="K76" i="35" a="1"/>
  <c r="K76" i="35" s="1"/>
  <c r="K63" i="35" a="1"/>
  <c r="K63" i="35" s="1"/>
  <c r="L92" i="35" a="1"/>
  <c r="L92" i="35" s="1"/>
  <c r="K92" i="35" a="1"/>
  <c r="K92" i="35" s="1"/>
  <c r="K23" i="35" a="1"/>
  <c r="K23" i="35" s="1"/>
  <c r="L41" i="35" a="1"/>
  <c r="L41" i="35" s="1"/>
  <c r="K58" i="35" a="1"/>
  <c r="K58" i="35" s="1"/>
  <c r="K91" i="35" a="1"/>
  <c r="K91" i="35" s="1"/>
  <c r="L93" i="35" a="1"/>
  <c r="L93" i="35" s="1"/>
  <c r="K93" i="35" a="1"/>
  <c r="K93" i="35" s="1"/>
  <c r="K71" i="35" a="1"/>
  <c r="K71" i="35" s="1"/>
  <c r="K35" i="35" a="1"/>
  <c r="K35" i="35" s="1"/>
  <c r="K72" i="35" a="1"/>
  <c r="K72" i="35" s="1"/>
  <c r="K60" i="35" a="1"/>
  <c r="K60" i="35" s="1"/>
  <c r="L10" i="35" a="1"/>
  <c r="L10" i="35" s="1"/>
  <c r="K59" i="35" a="1"/>
  <c r="K59" i="35" s="1"/>
  <c r="K52" i="35" a="1"/>
  <c r="K52" i="35" s="1"/>
  <c r="K33" i="35" a="1"/>
  <c r="K33" i="35" s="1"/>
  <c r="K26" i="35" a="1"/>
  <c r="K26" i="35" s="1"/>
  <c r="K17" i="35" a="1"/>
  <c r="K17" i="35" s="1"/>
  <c r="K38" i="35" a="1"/>
  <c r="K38" i="35" s="1"/>
  <c r="K15" i="35" a="1"/>
  <c r="K15" i="35" s="1"/>
  <c r="K9" i="35" a="1"/>
  <c r="K9" i="35" s="1"/>
  <c r="L9" i="35" a="1"/>
  <c r="L9" i="35" s="1"/>
  <c r="K56" i="35" a="1"/>
  <c r="K56" i="35" s="1"/>
  <c r="K14" i="35" a="1"/>
  <c r="K14" i="35" s="1"/>
  <c r="K48" i="35" a="1"/>
  <c r="K48" i="35" s="1"/>
  <c r="K46" i="35" a="1"/>
  <c r="K46" i="35" s="1"/>
  <c r="K49" i="35" a="1"/>
  <c r="K49" i="35" s="1"/>
  <c r="L76" i="34" a="1"/>
  <c r="L76" i="34" s="1"/>
  <c r="K76" i="34" a="1"/>
  <c r="K76" i="34" s="1"/>
  <c r="L91" i="34" a="1"/>
  <c r="L91" i="34" s="1"/>
  <c r="K91" i="34" a="1"/>
  <c r="K91" i="34" s="1"/>
  <c r="L74" i="34" a="1"/>
  <c r="L74" i="34" s="1"/>
  <c r="K74" i="34" a="1"/>
  <c r="K74" i="34" s="1"/>
  <c r="K30" i="34" a="1"/>
  <c r="K30" i="34" s="1"/>
  <c r="L96" i="34" a="1"/>
  <c r="L96" i="34" s="1"/>
  <c r="K96" i="34" a="1"/>
  <c r="K96" i="34" s="1"/>
  <c r="L90" i="34" a="1"/>
  <c r="L90" i="34" s="1"/>
  <c r="K90" i="34" a="1"/>
  <c r="K90" i="34" s="1"/>
  <c r="L68" i="34" a="1"/>
  <c r="L68" i="34" s="1"/>
  <c r="K68" i="34" a="1"/>
  <c r="K68" i="34" s="1"/>
  <c r="K92" i="34" a="1"/>
  <c r="K92" i="34" s="1"/>
  <c r="L92" i="34" a="1"/>
  <c r="L92" i="34" s="1"/>
  <c r="K49" i="34" a="1"/>
  <c r="K49" i="34" s="1"/>
  <c r="K73" i="34" a="1"/>
  <c r="K73" i="34" s="1"/>
  <c r="L73" i="34" a="1"/>
  <c r="L73" i="34" s="1"/>
  <c r="L59" i="34" a="1"/>
  <c r="L59" i="34" s="1"/>
  <c r="K59" i="34" a="1"/>
  <c r="K59" i="34" s="1"/>
  <c r="K51" i="34" a="1"/>
  <c r="K51" i="34" s="1"/>
  <c r="K54" i="34" a="1"/>
  <c r="K54" i="34" s="1"/>
  <c r="L54" i="34" a="1"/>
  <c r="L54" i="34" s="1"/>
  <c r="G94" i="34" a="1"/>
  <c r="G94" i="34" s="1"/>
  <c r="H94" i="34" s="1"/>
  <c r="L9" i="34" a="1"/>
  <c r="L9" i="34" s="1"/>
  <c r="K9" i="34" a="1"/>
  <c r="K9" i="34" s="1"/>
  <c r="K56" i="34" a="1"/>
  <c r="K56" i="34" s="1"/>
  <c r="L71" i="34" a="1"/>
  <c r="L71" i="34" s="1"/>
  <c r="K71" i="34" a="1"/>
  <c r="K71" i="34" s="1"/>
  <c r="K17" i="34" a="1"/>
  <c r="K17" i="34" s="1"/>
  <c r="L83" i="34" a="1"/>
  <c r="L83" i="34" s="1"/>
  <c r="K83" i="34" a="1"/>
  <c r="K83" i="34" s="1"/>
  <c r="K47" i="34" a="1"/>
  <c r="K47" i="34" s="1"/>
  <c r="L47" i="34" a="1"/>
  <c r="L47" i="34" s="1"/>
  <c r="L81" i="34" a="1"/>
  <c r="L81" i="34" s="1"/>
  <c r="K81" i="34" a="1"/>
  <c r="K81" i="34" s="1"/>
  <c r="L84" i="34" a="1"/>
  <c r="L84" i="34" s="1"/>
  <c r="K84" i="34" a="1"/>
  <c r="K84" i="34" s="1"/>
  <c r="K61" i="34" a="1"/>
  <c r="K61" i="34" s="1"/>
  <c r="K53" i="34" a="1"/>
  <c r="K53" i="34" s="1"/>
  <c r="K6" i="34" a="1"/>
  <c r="K6" i="34" s="1"/>
  <c r="O6" i="34" a="1"/>
  <c r="K15" i="34" a="1"/>
  <c r="K15" i="34" s="1"/>
  <c r="L86" i="34" a="1"/>
  <c r="L86" i="34" s="1"/>
  <c r="K86" i="34" a="1"/>
  <c r="K86" i="34" s="1"/>
  <c r="K66" i="34" a="1"/>
  <c r="K66" i="34" s="1"/>
  <c r="K29" i="34" a="1"/>
  <c r="K29" i="34" s="1"/>
  <c r="K19" i="34" a="1"/>
  <c r="K19" i="34" s="1"/>
  <c r="K42" i="34" a="1"/>
  <c r="K42" i="34" s="1"/>
  <c r="L33" i="34" a="1"/>
  <c r="L33" i="34" s="1"/>
  <c r="K33" i="34" a="1"/>
  <c r="K33" i="34" s="1"/>
  <c r="K97" i="34" a="1"/>
  <c r="K97" i="34" s="1"/>
  <c r="K10" i="34" a="1"/>
  <c r="K10" i="34" s="1"/>
  <c r="L10" i="34" a="1"/>
  <c r="L10" i="34" s="1"/>
  <c r="K37" i="34" a="1"/>
  <c r="K37" i="34" s="1"/>
  <c r="K85" i="34" a="1"/>
  <c r="K85" i="34" s="1"/>
  <c r="L85" i="34" a="1"/>
  <c r="L85" i="34" s="1"/>
  <c r="K7" i="34" a="1"/>
  <c r="K7" i="34" s="1"/>
  <c r="K45" i="34" a="1"/>
  <c r="K45" i="34" s="1"/>
  <c r="G29" i="34" a="1"/>
  <c r="G29" i="34" s="1"/>
  <c r="H29" i="34" s="1"/>
  <c r="G30" i="34" a="1"/>
  <c r="G30" i="34" s="1"/>
  <c r="H30" i="34" s="1"/>
  <c r="K40" i="34" a="1"/>
  <c r="K40" i="34" s="1"/>
  <c r="L40" i="34" a="1"/>
  <c r="L40" i="34" s="1"/>
  <c r="K28" i="34" a="1"/>
  <c r="K28" i="34" s="1"/>
  <c r="L28" i="34" a="1"/>
  <c r="L28" i="34" s="1"/>
  <c r="K57" i="34" a="1"/>
  <c r="K57" i="34" s="1"/>
  <c r="L88" i="34" a="1"/>
  <c r="L88" i="34" s="1"/>
  <c r="K88" i="34" a="1"/>
  <c r="K88" i="34" s="1"/>
  <c r="L55" i="34" a="1"/>
  <c r="L55" i="34" s="1"/>
  <c r="K55" i="34" a="1"/>
  <c r="K55" i="34" s="1"/>
  <c r="L69" i="34" a="1"/>
  <c r="L69" i="34" s="1"/>
  <c r="K69" i="34" a="1"/>
  <c r="K69" i="34" s="1"/>
  <c r="K64" i="34" a="1"/>
  <c r="K64" i="34" s="1"/>
  <c r="L27" i="34" a="1"/>
  <c r="L27" i="34" s="1"/>
  <c r="K27" i="34" a="1"/>
  <c r="K27" i="34" s="1"/>
  <c r="K75" i="34" a="1"/>
  <c r="K75" i="34" s="1"/>
  <c r="L75" i="34" a="1"/>
  <c r="L75" i="34" s="1"/>
  <c r="K93" i="34" a="1"/>
  <c r="K93" i="34" s="1"/>
  <c r="K95" i="34" a="1"/>
  <c r="K95" i="34" s="1"/>
  <c r="L78" i="34" a="1"/>
  <c r="L78" i="34" s="1"/>
  <c r="K78" i="34" a="1"/>
  <c r="K78" i="34" s="1"/>
  <c r="K20" i="34" a="1"/>
  <c r="K20" i="34" s="1"/>
  <c r="L16" i="34" a="1"/>
  <c r="L16" i="34" s="1"/>
  <c r="K16" i="34" a="1"/>
  <c r="K16" i="34" s="1"/>
  <c r="L22" i="34" a="1"/>
  <c r="L22" i="34" s="1"/>
  <c r="K22" i="34" a="1"/>
  <c r="K22" i="34" s="1"/>
  <c r="L34" i="34" a="1"/>
  <c r="L34" i="34" s="1"/>
  <c r="K34" i="34" a="1"/>
  <c r="K34" i="34" s="1"/>
  <c r="L31" i="34" a="1"/>
  <c r="L31" i="34" s="1"/>
  <c r="K31" i="34" a="1"/>
  <c r="K31" i="34" s="1"/>
  <c r="K25" i="34" a="1"/>
  <c r="K25" i="34" s="1"/>
  <c r="L26" i="34" a="1"/>
  <c r="L26" i="34" s="1"/>
  <c r="K26" i="34" a="1"/>
  <c r="K26" i="34" s="1"/>
  <c r="K8" i="34" a="1"/>
  <c r="K8" i="34" s="1"/>
  <c r="D6" i="14"/>
  <c r="K6" i="14" s="1" a="1"/>
  <c r="K6" i="14" s="1"/>
  <c r="G6" i="14" a="1"/>
  <c r="G6" i="14" s="1"/>
  <c r="H6" i="14" s="1"/>
  <c r="G29" i="14" a="1"/>
  <c r="G29" i="14" s="1"/>
  <c r="H29" i="14" s="1"/>
  <c r="D76" i="14"/>
  <c r="K76" i="14" s="1" a="1"/>
  <c r="K76" i="14" s="1"/>
  <c r="G76" i="14" a="1"/>
  <c r="G76" i="14" s="1"/>
  <c r="H76" i="14" s="1"/>
  <c r="D93" i="14"/>
  <c r="K93" i="14" s="1" a="1"/>
  <c r="K93" i="14" s="1"/>
  <c r="G93" i="14" a="1"/>
  <c r="G93" i="14" s="1"/>
  <c r="H93" i="14" s="1"/>
  <c r="D29" i="14"/>
  <c r="K29" i="14" s="1" a="1"/>
  <c r="K29" i="14" s="1"/>
  <c r="D27" i="14"/>
  <c r="K27" i="14" s="1" a="1"/>
  <c r="K27" i="14" s="1"/>
  <c r="G27" i="14" a="1"/>
  <c r="G27" i="14" s="1"/>
  <c r="H27" i="14" s="1"/>
  <c r="D31" i="14"/>
  <c r="K31" i="14" s="1" a="1"/>
  <c r="K31" i="14" s="1"/>
  <c r="D70" i="14"/>
  <c r="G70" i="14" a="1"/>
  <c r="G70" i="14" s="1"/>
  <c r="H70" i="14" s="1"/>
  <c r="D44" i="14"/>
  <c r="K44" i="14" s="1" a="1"/>
  <c r="K44" i="14" s="1"/>
  <c r="G44" i="14" a="1"/>
  <c r="G44" i="14" s="1"/>
  <c r="H44" i="14" s="1"/>
  <c r="D32" i="14"/>
  <c r="K32" i="14" s="1" a="1"/>
  <c r="K32" i="14" s="1"/>
  <c r="G32" i="14" a="1"/>
  <c r="G32" i="14" s="1"/>
  <c r="H32" i="14" s="1"/>
  <c r="K87" i="14" a="1"/>
  <c r="K87" i="14" s="1"/>
  <c r="K19" i="14" a="1"/>
  <c r="K19" i="14" s="1"/>
  <c r="K50" i="14" a="1"/>
  <c r="K50" i="14" s="1"/>
  <c r="K81" i="14" a="1"/>
  <c r="K81" i="14" s="1"/>
  <c r="K14" i="14" a="1"/>
  <c r="K14" i="14" s="1"/>
  <c r="K36" i="14" a="1"/>
  <c r="K36" i="14" s="1"/>
  <c r="K96" i="14" a="1"/>
  <c r="K96" i="14" s="1"/>
  <c r="K97" i="14" a="1"/>
  <c r="K97" i="14" s="1"/>
  <c r="K33" i="14" a="1"/>
  <c r="K33" i="14" s="1"/>
  <c r="K37" i="14" a="1"/>
  <c r="K37" i="14" s="1"/>
  <c r="K8" i="14" a="1"/>
  <c r="K8" i="14" s="1"/>
  <c r="K53" i="14" a="1"/>
  <c r="K53" i="14" s="1"/>
  <c r="K48" i="14" a="1"/>
  <c r="K48" i="14" s="1"/>
  <c r="K85" i="14" a="1"/>
  <c r="K85" i="14" s="1"/>
  <c r="K45" i="14" a="1"/>
  <c r="K45" i="14" s="1"/>
  <c r="K79" i="14" a="1"/>
  <c r="K79" i="14" s="1"/>
  <c r="K38" i="14" a="1"/>
  <c r="K38" i="14" s="1"/>
  <c r="K82" i="14" a="1"/>
  <c r="K82" i="14" s="1"/>
  <c r="K72" i="14" a="1"/>
  <c r="K72" i="14" s="1"/>
  <c r="K12" i="14" a="1"/>
  <c r="K12" i="14" s="1"/>
  <c r="K9" i="14" a="1"/>
  <c r="K9" i="14" s="1"/>
  <c r="K84" i="14" a="1"/>
  <c r="K84" i="14" s="1"/>
  <c r="K22" i="14" a="1"/>
  <c r="K22" i="14" s="1"/>
  <c r="K20" i="14" a="1"/>
  <c r="K20" i="14" s="1"/>
  <c r="K35" i="14" a="1"/>
  <c r="K35" i="14" s="1"/>
  <c r="K51" i="14" a="1"/>
  <c r="K51" i="14" s="1"/>
  <c r="K60" i="14" a="1"/>
  <c r="K60" i="14" s="1"/>
  <c r="K40" i="14" a="1"/>
  <c r="K40" i="14" s="1"/>
  <c r="K10" i="14" a="1"/>
  <c r="K10" i="14" s="1"/>
  <c r="K78" i="14" a="1"/>
  <c r="K78" i="14" s="1"/>
  <c r="K55" i="14" a="1"/>
  <c r="K55" i="14" s="1"/>
  <c r="K42" i="14" a="1"/>
  <c r="K42" i="14" s="1"/>
  <c r="K95" i="14" a="1"/>
  <c r="K95" i="14" s="1"/>
  <c r="K57" i="14" a="1"/>
  <c r="K57" i="14" s="1"/>
  <c r="K62" i="14" a="1"/>
  <c r="K62" i="14" s="1"/>
  <c r="L40" i="14" a="1"/>
  <c r="L40" i="14" s="1"/>
  <c r="K17" i="14" a="1"/>
  <c r="K17" i="14" s="1"/>
  <c r="K66" i="14" a="1"/>
  <c r="K66" i="14" s="1"/>
  <c r="K23" i="14" a="1"/>
  <c r="K23" i="14" s="1"/>
  <c r="K30" i="14" a="1"/>
  <c r="K30" i="14" s="1"/>
  <c r="K91" i="14" a="1"/>
  <c r="K91" i="14" s="1"/>
  <c r="K67" i="14" a="1"/>
  <c r="K67" i="14" s="1"/>
  <c r="K89" i="14" a="1"/>
  <c r="K89" i="14" s="1"/>
  <c r="K74" i="14" a="1"/>
  <c r="K74" i="14" s="1"/>
  <c r="K24" i="14" a="1"/>
  <c r="K24" i="14" s="1"/>
  <c r="K18" i="14" a="1"/>
  <c r="K18" i="14" s="1"/>
  <c r="K16" i="14" a="1"/>
  <c r="K16" i="14" s="1"/>
  <c r="K41" i="14" a="1"/>
  <c r="K41" i="14" s="1"/>
  <c r="K86" i="14" a="1"/>
  <c r="K86" i="14" s="1"/>
  <c r="K7" i="14" a="1"/>
  <c r="K7" i="14" s="1"/>
  <c r="K64" i="14" a="1"/>
  <c r="K64" i="14" s="1"/>
  <c r="K69" i="14" a="1"/>
  <c r="K69" i="14" s="1"/>
  <c r="K80" i="14" a="1"/>
  <c r="K80" i="14" s="1"/>
  <c r="K28" i="14" a="1"/>
  <c r="K28" i="14" s="1"/>
  <c r="K26" i="14" a="1"/>
  <c r="K26" i="14" s="1"/>
  <c r="K63" i="14" a="1"/>
  <c r="K63" i="14" s="1"/>
  <c r="K83" i="14" a="1"/>
  <c r="K83" i="14" s="1"/>
  <c r="K65" i="14" a="1"/>
  <c r="K65" i="14" s="1"/>
  <c r="K73" i="14" a="1"/>
  <c r="K73" i="14" s="1"/>
  <c r="K15" i="14" a="1"/>
  <c r="K15" i="14" s="1"/>
  <c r="K98" i="14" a="1"/>
  <c r="K98" i="14" s="1"/>
  <c r="K39" i="14" a="1"/>
  <c r="K39" i="14" s="1"/>
  <c r="K34" i="14" a="1"/>
  <c r="K34" i="14" s="1"/>
  <c r="K58" i="14" a="1"/>
  <c r="K58" i="14" s="1"/>
  <c r="K13" i="14" a="1"/>
  <c r="K13" i="14" s="1"/>
  <c r="K90" i="14" a="1"/>
  <c r="K90" i="14" s="1"/>
  <c r="K54" i="14" a="1"/>
  <c r="K54" i="14" s="1"/>
  <c r="K61" i="14" a="1"/>
  <c r="K61" i="14" s="1"/>
  <c r="K59" i="14" a="1"/>
  <c r="K59" i="14" s="1"/>
  <c r="K56" i="14" a="1"/>
  <c r="K56" i="14" s="1"/>
  <c r="K11" i="14" a="1"/>
  <c r="K11" i="14" s="1"/>
  <c r="K94" i="14" a="1"/>
  <c r="K94" i="14" s="1"/>
  <c r="K92" i="14" a="1"/>
  <c r="K92" i="14" s="1"/>
  <c r="K47" i="14" a="1"/>
  <c r="K47" i="14" s="1"/>
  <c r="K46" i="14" a="1"/>
  <c r="K46" i="14" s="1"/>
  <c r="K21" i="14" a="1"/>
  <c r="K21" i="14" s="1"/>
  <c r="K25" i="14" a="1"/>
  <c r="K25" i="14" s="1"/>
  <c r="K43" i="14" a="1"/>
  <c r="K43" i="14" s="1"/>
  <c r="K88" i="14" a="1"/>
  <c r="K88" i="14" s="1"/>
  <c r="K68" i="14" a="1"/>
  <c r="K68" i="14" s="1"/>
  <c r="K49" i="14" a="1"/>
  <c r="K49" i="14" s="1"/>
  <c r="L79" i="14" a="1"/>
  <c r="L79" i="14" s="1"/>
  <c r="L85" i="14" a="1"/>
  <c r="L85" i="14" s="1"/>
  <c r="L86" i="14" a="1"/>
  <c r="L86" i="14" s="1"/>
  <c r="L41" i="14" a="1"/>
  <c r="L41" i="14" s="1"/>
  <c r="L48" i="14" a="1"/>
  <c r="L48" i="14" s="1"/>
  <c r="L87" i="14" a="1"/>
  <c r="L87" i="14" s="1"/>
  <c r="L75" i="14" a="1"/>
  <c r="L75" i="14" s="1"/>
  <c r="H86" i="14"/>
  <c r="H35" i="14"/>
  <c r="H61" i="14"/>
  <c r="H16" i="14"/>
  <c r="H85" i="14"/>
  <c r="H34" i="14"/>
  <c r="H57" i="14"/>
  <c r="H40" i="14"/>
  <c r="H21" i="14"/>
  <c r="H54" i="14"/>
  <c r="H98" i="14"/>
  <c r="H81" i="14"/>
  <c r="H13" i="14"/>
  <c r="H95" i="14"/>
  <c r="H56" i="14"/>
  <c r="H58" i="14"/>
  <c r="H12" i="14"/>
  <c r="H67" i="14"/>
  <c r="H72" i="14"/>
  <c r="H84" i="14"/>
  <c r="H17" i="14"/>
  <c r="H52" i="14"/>
  <c r="H51" i="14"/>
  <c r="H77" i="14"/>
  <c r="H75" i="14"/>
  <c r="H74" i="14"/>
  <c r="H59" i="14"/>
  <c r="H23" i="14"/>
  <c r="H69" i="14"/>
  <c r="H55" i="14"/>
  <c r="H97" i="14"/>
  <c r="H26" i="14"/>
  <c r="H7" i="14"/>
  <c r="H83" i="14"/>
  <c r="H53" i="14"/>
  <c r="H80" i="14"/>
  <c r="H90" i="14"/>
  <c r="H19" i="14"/>
  <c r="H24" i="14"/>
  <c r="H22" i="14"/>
  <c r="H68" i="14"/>
  <c r="H18" i="14"/>
  <c r="H48" i="14"/>
  <c r="H91" i="14"/>
  <c r="H82" i="14"/>
  <c r="H71" i="14"/>
  <c r="H79" i="14"/>
  <c r="H64" i="14"/>
  <c r="H20" i="14"/>
  <c r="L77" i="14" a="1"/>
  <c r="L77" i="14" s="1"/>
  <c r="B53" i="16"/>
  <c r="B7" i="16" a="1"/>
  <c r="B7" i="16" s="1"/>
  <c r="B55" i="16"/>
  <c r="B76" i="16"/>
  <c r="B54" i="16"/>
  <c r="E22" i="16"/>
  <c r="B6" i="16" s="1"/>
  <c r="B3" i="16" a="1"/>
  <c r="B3" i="16" s="1"/>
  <c r="K52" i="14" a="1"/>
  <c r="K52" i="14" s="1"/>
  <c r="K71" i="14" a="1"/>
  <c r="K71" i="14" s="1"/>
  <c r="K75" i="14" a="1"/>
  <c r="K75" i="14" s="1"/>
  <c r="K77" i="14" a="1"/>
  <c r="K77" i="14" s="1"/>
  <c r="E61" i="14"/>
  <c r="L61" i="14" s="1" a="1"/>
  <c r="L61" i="14" s="1"/>
  <c r="E80" i="14"/>
  <c r="E9" i="14"/>
  <c r="L9" i="14" s="1" a="1"/>
  <c r="L9" i="14" s="1"/>
  <c r="E85" i="14"/>
  <c r="E42" i="14"/>
  <c r="L42" i="14" s="1" a="1"/>
  <c r="L42" i="14" s="1"/>
  <c r="E8" i="14"/>
  <c r="L8" i="14" s="1" a="1"/>
  <c r="L8" i="14" s="1"/>
  <c r="E15" i="14"/>
  <c r="L15" i="14" s="1" a="1"/>
  <c r="L15" i="14" s="1"/>
  <c r="E79" i="14"/>
  <c r="E98" i="14"/>
  <c r="L98" i="14" s="1" a="1"/>
  <c r="L98" i="14" s="1"/>
  <c r="E62" i="14"/>
  <c r="L62" i="14" s="1" a="1"/>
  <c r="L62" i="14" s="1"/>
  <c r="E73" i="14"/>
  <c r="L73" i="14" s="1" a="1"/>
  <c r="L73" i="14" s="1"/>
  <c r="E97" i="14"/>
  <c r="L97" i="14" s="1" a="1"/>
  <c r="L97" i="14" s="1"/>
  <c r="E94" i="14"/>
  <c r="L94" i="14" s="1" a="1"/>
  <c r="L94" i="14" s="1"/>
  <c r="E39" i="14"/>
  <c r="L39" i="14" s="1" a="1"/>
  <c r="L39" i="14" s="1"/>
  <c r="E29" i="14"/>
  <c r="E70" i="14"/>
  <c r="E95" i="14"/>
  <c r="L95" i="14" s="1" a="1"/>
  <c r="L95" i="14" s="1"/>
  <c r="E67" i="14"/>
  <c r="L67" i="14" s="1" a="1"/>
  <c r="L67" i="14" s="1"/>
  <c r="E69" i="14"/>
  <c r="L69" i="14" s="1" a="1"/>
  <c r="L69" i="14" s="1"/>
  <c r="E38" i="14"/>
  <c r="L38" i="14" s="1" a="1"/>
  <c r="L38" i="14" s="1"/>
  <c r="E22" i="14"/>
  <c r="L22" i="14" s="1" a="1"/>
  <c r="L22" i="14" s="1"/>
  <c r="E51" i="14"/>
  <c r="L51" i="14" s="1" a="1"/>
  <c r="L51" i="14" s="1"/>
  <c r="E81" i="14"/>
  <c r="E56" i="14"/>
  <c r="L56" i="14" s="1" a="1"/>
  <c r="L56" i="14" s="1"/>
  <c r="E64" i="14"/>
  <c r="L64" i="14" s="1" a="1"/>
  <c r="L64" i="14" s="1"/>
  <c r="E40" i="14"/>
  <c r="E11" i="14"/>
  <c r="L11" i="14" s="1" a="1"/>
  <c r="L11" i="14" s="1"/>
  <c r="E55" i="14"/>
  <c r="L55" i="14" s="1" a="1"/>
  <c r="L55" i="14" s="1"/>
  <c r="E50" i="14"/>
  <c r="L50" i="14" s="1" a="1"/>
  <c r="L50" i="14" s="1"/>
  <c r="E91" i="14"/>
  <c r="E57" i="14"/>
  <c r="L57" i="14" s="1" a="1"/>
  <c r="L57" i="14" s="1"/>
  <c r="E75" i="14"/>
  <c r="E26" i="14"/>
  <c r="L26" i="14" s="1" a="1"/>
  <c r="L26" i="14" s="1"/>
  <c r="E86" i="14"/>
  <c r="E90" i="14"/>
  <c r="E43" i="14"/>
  <c r="L43" i="14" s="1" a="1"/>
  <c r="L43" i="14" s="1"/>
  <c r="E28" i="14"/>
  <c r="L28" i="14" s="1" a="1"/>
  <c r="L28" i="14" s="1"/>
  <c r="E17" i="14"/>
  <c r="L17" i="14" s="1" a="1"/>
  <c r="L17" i="14" s="1"/>
  <c r="E18" i="14"/>
  <c r="L18" i="14" s="1" a="1"/>
  <c r="L18" i="14" s="1"/>
  <c r="E34" i="14"/>
  <c r="L34" i="14" s="1" a="1"/>
  <c r="L34" i="14" s="1"/>
  <c r="E46" i="14"/>
  <c r="L46" i="14" s="1" a="1"/>
  <c r="L46" i="14" s="1"/>
  <c r="E14" i="14"/>
  <c r="L14" i="14" s="1" a="1"/>
  <c r="L14" i="14" s="1"/>
  <c r="E82" i="14"/>
  <c r="E19" i="14"/>
  <c r="L19" i="14" s="1" a="1"/>
  <c r="L19" i="14" s="1"/>
  <c r="E20" i="14"/>
  <c r="L20" i="14" s="1" a="1"/>
  <c r="L20" i="14" s="1"/>
  <c r="E35" i="14"/>
  <c r="L35" i="14" s="1" a="1"/>
  <c r="L35" i="14" s="1"/>
  <c r="E47" i="14"/>
  <c r="E66" i="14"/>
  <c r="L66" i="14" s="1" a="1"/>
  <c r="L66" i="14" s="1"/>
  <c r="E16" i="14"/>
  <c r="L16" i="14" s="1" a="1"/>
  <c r="L16" i="14" s="1"/>
  <c r="E7" i="14"/>
  <c r="L7" i="14" s="1" a="1"/>
  <c r="L7" i="14" s="1"/>
  <c r="E68" i="14"/>
  <c r="L68" i="14" s="1" a="1"/>
  <c r="L68" i="14" s="1"/>
  <c r="E59" i="14"/>
  <c r="L59" i="14" s="1" a="1"/>
  <c r="L59" i="14" s="1"/>
  <c r="E89" i="14"/>
  <c r="E37" i="14"/>
  <c r="L37" i="14" s="1" a="1"/>
  <c r="L37" i="14" s="1"/>
  <c r="E49" i="14"/>
  <c r="L49" i="14" s="1" a="1"/>
  <c r="L49" i="14" s="1"/>
  <c r="E12" i="14"/>
  <c r="L12" i="14" s="1" a="1"/>
  <c r="L12" i="14" s="1"/>
  <c r="E84" i="14"/>
  <c r="E60" i="14"/>
  <c r="L60" i="14" s="1" a="1"/>
  <c r="L60" i="14" s="1"/>
  <c r="E74" i="14"/>
  <c r="L74" i="14" s="1" a="1"/>
  <c r="L74" i="14" s="1"/>
  <c r="E78" i="14"/>
  <c r="L78" i="14" s="1" a="1"/>
  <c r="L78" i="14" s="1"/>
  <c r="E23" i="14"/>
  <c r="L23" i="14" s="1" a="1"/>
  <c r="L23" i="14" s="1"/>
  <c r="E41" i="14"/>
  <c r="E65" i="14"/>
  <c r="L65" i="14" s="1" a="1"/>
  <c r="L65" i="14" s="1"/>
  <c r="E13" i="14"/>
  <c r="L13" i="14" s="1" a="1"/>
  <c r="L13" i="14" s="1"/>
  <c r="E25" i="14"/>
  <c r="L25" i="14" s="1" a="1"/>
  <c r="L25" i="14" s="1"/>
  <c r="E96" i="14"/>
  <c r="L96" i="14" s="1" a="1"/>
  <c r="L96" i="14" s="1"/>
  <c r="E87" i="14"/>
  <c r="E24" i="14"/>
  <c r="L24" i="14" s="1" a="1"/>
  <c r="L24" i="14" s="1"/>
  <c r="E92" i="14"/>
  <c r="E30" i="14"/>
  <c r="L30" i="14" s="1" a="1"/>
  <c r="L30" i="14" s="1"/>
  <c r="E76" i="14"/>
  <c r="E27" i="14"/>
  <c r="E31" i="14"/>
  <c r="E6" i="14"/>
  <c r="E32" i="14"/>
  <c r="E44" i="14"/>
  <c r="E93" i="14"/>
  <c r="E52" i="14"/>
  <c r="L52" i="14" s="1" a="1"/>
  <c r="L52" i="14" s="1"/>
  <c r="E54" i="14"/>
  <c r="L54" i="14" s="1" a="1"/>
  <c r="L54" i="14" s="1"/>
  <c r="E71" i="14"/>
  <c r="L71" i="14" s="1" a="1"/>
  <c r="L71" i="14" s="1"/>
  <c r="E88" i="14"/>
  <c r="E33" i="14"/>
  <c r="E45" i="14"/>
  <c r="L45" i="14" s="1" a="1"/>
  <c r="L45" i="14" s="1"/>
  <c r="E72" i="14"/>
  <c r="L72" i="14" s="1" a="1"/>
  <c r="L72" i="14" s="1"/>
  <c r="E63" i="14"/>
  <c r="L63" i="14" s="1" a="1"/>
  <c r="L63" i="14" s="1"/>
  <c r="E53" i="14"/>
  <c r="L53" i="14" s="1" a="1"/>
  <c r="L53" i="14" s="1"/>
  <c r="E83" i="14"/>
  <c r="E58" i="14"/>
  <c r="L58" i="14" s="1" a="1"/>
  <c r="L58" i="14" s="1"/>
  <c r="E21" i="14"/>
  <c r="L21" i="14" s="1" a="1"/>
  <c r="L21" i="14" s="1"/>
  <c r="E36" i="14"/>
  <c r="L36" i="14" s="1" a="1"/>
  <c r="L36" i="14" s="1"/>
  <c r="E48" i="14"/>
  <c r="L60" i="34" l="1" a="1"/>
  <c r="L60" i="34" s="1"/>
  <c r="L60" i="37" a="1"/>
  <c r="L60" i="37" s="1"/>
  <c r="L49" i="34" a="1"/>
  <c r="L49" i="34" s="1"/>
  <c r="L97" i="36" a="1"/>
  <c r="L97" i="36" s="1"/>
  <c r="L6" i="41" a="1"/>
  <c r="L6" i="41" s="1"/>
  <c r="G3" i="41" a="1"/>
  <c r="G3" i="41" s="1"/>
  <c r="H3" i="41" a="1"/>
  <c r="H3" i="41" s="1"/>
  <c r="L37" i="38" a="1"/>
  <c r="L37" i="38" s="1"/>
  <c r="L18" i="39" a="1"/>
  <c r="L18" i="39" s="1"/>
  <c r="L19" i="39" a="1"/>
  <c r="L19" i="39" s="1"/>
  <c r="L21" i="39" a="1"/>
  <c r="L21" i="39" s="1"/>
  <c r="L22" i="39" a="1"/>
  <c r="L22" i="39" s="1"/>
  <c r="L20" i="39" a="1"/>
  <c r="L20" i="39" s="1"/>
  <c r="K61" i="39" a="1"/>
  <c r="K61" i="39" s="1"/>
  <c r="L61" i="39" a="1"/>
  <c r="L61" i="39" s="1"/>
  <c r="K60" i="39" a="1"/>
  <c r="K60" i="39" s="1"/>
  <c r="L60" i="39" a="1"/>
  <c r="L60" i="39" s="1"/>
  <c r="K59" i="39" a="1"/>
  <c r="K59" i="39" s="1"/>
  <c r="L59" i="39" a="1"/>
  <c r="L59" i="39" s="1"/>
  <c r="K62" i="39" a="1"/>
  <c r="K62" i="39" s="1"/>
  <c r="L62" i="39" a="1"/>
  <c r="L62" i="39" s="1"/>
  <c r="K48" i="39" a="1"/>
  <c r="K48" i="39" s="1"/>
  <c r="L48" i="39" a="1"/>
  <c r="L48" i="39" s="1"/>
  <c r="K31" i="39" a="1"/>
  <c r="K31" i="39" s="1"/>
  <c r="L31" i="39" a="1"/>
  <c r="L31" i="39" s="1"/>
  <c r="K24" i="39" a="1"/>
  <c r="K24" i="39" s="1"/>
  <c r="L24" i="39" a="1"/>
  <c r="L24" i="39" s="1"/>
  <c r="K46" i="39" a="1"/>
  <c r="K46" i="39" s="1"/>
  <c r="L46" i="39" a="1"/>
  <c r="L46" i="39" s="1"/>
  <c r="K39" i="39" a="1"/>
  <c r="K39" i="39" s="1"/>
  <c r="L39" i="39" a="1"/>
  <c r="L39" i="39" s="1"/>
  <c r="K54" i="39" a="1"/>
  <c r="K54" i="39" s="1"/>
  <c r="L54" i="39" a="1"/>
  <c r="L54" i="39" s="1"/>
  <c r="K52" i="39" a="1"/>
  <c r="K52" i="39" s="1"/>
  <c r="L52" i="39" a="1"/>
  <c r="L52" i="39" s="1"/>
  <c r="K30" i="39" a="1"/>
  <c r="K30" i="39" s="1"/>
  <c r="L30" i="39" a="1"/>
  <c r="L30" i="39" s="1"/>
  <c r="K56" i="39" a="1"/>
  <c r="K56" i="39" s="1"/>
  <c r="L56" i="39" a="1"/>
  <c r="L56" i="39" s="1"/>
  <c r="K14" i="39" a="1"/>
  <c r="K14" i="39" s="1"/>
  <c r="L14" i="39" a="1"/>
  <c r="L14" i="39" s="1"/>
  <c r="K25" i="39" a="1"/>
  <c r="K25" i="39" s="1"/>
  <c r="L25" i="39" a="1"/>
  <c r="L25" i="39" s="1"/>
  <c r="K50" i="39" a="1"/>
  <c r="K50" i="39" s="1"/>
  <c r="L50" i="39" a="1"/>
  <c r="L50" i="39" s="1"/>
  <c r="K57" i="39" a="1"/>
  <c r="K57" i="39" s="1"/>
  <c r="L57" i="39" a="1"/>
  <c r="L57" i="39" s="1"/>
  <c r="K23" i="39" a="1"/>
  <c r="K23" i="39" s="1"/>
  <c r="L23" i="39" a="1"/>
  <c r="L23" i="39" s="1"/>
  <c r="K15" i="39" a="1"/>
  <c r="K15" i="39" s="1"/>
  <c r="L15" i="39" a="1"/>
  <c r="L15" i="39" s="1"/>
  <c r="K58" i="39" a="1"/>
  <c r="K58" i="39" s="1"/>
  <c r="L58" i="39" a="1"/>
  <c r="L58" i="39" s="1"/>
  <c r="K44" i="39" a="1"/>
  <c r="K44" i="39" s="1"/>
  <c r="L44" i="39" a="1"/>
  <c r="L44" i="39" s="1"/>
  <c r="K26" i="39" a="1"/>
  <c r="K26" i="39" s="1"/>
  <c r="L26" i="39" a="1"/>
  <c r="L26" i="39" s="1"/>
  <c r="K17" i="39" a="1"/>
  <c r="K17" i="39" s="1"/>
  <c r="L17" i="39" a="1"/>
  <c r="L17" i="39" s="1"/>
  <c r="K42" i="39" a="1"/>
  <c r="K42" i="39" s="1"/>
  <c r="L42" i="39" a="1"/>
  <c r="L42" i="39" s="1"/>
  <c r="K47" i="39" a="1"/>
  <c r="K47" i="39" s="1"/>
  <c r="L47" i="39" a="1"/>
  <c r="L47" i="39" s="1"/>
  <c r="K49" i="39" a="1"/>
  <c r="K49" i="39" s="1"/>
  <c r="L49" i="39" a="1"/>
  <c r="L49" i="39" s="1"/>
  <c r="K40" i="39" a="1"/>
  <c r="K40" i="39" s="1"/>
  <c r="L40" i="39" a="1"/>
  <c r="L40" i="39" s="1"/>
  <c r="K41" i="39" a="1"/>
  <c r="K41" i="39" s="1"/>
  <c r="L41" i="39" a="1"/>
  <c r="L41" i="39" s="1"/>
  <c r="K43" i="39" a="1"/>
  <c r="K43" i="39" s="1"/>
  <c r="L43" i="39" a="1"/>
  <c r="L43" i="39" s="1"/>
  <c r="K28" i="39" a="1"/>
  <c r="K28" i="39" s="1"/>
  <c r="L28" i="39" a="1"/>
  <c r="L28" i="39" s="1"/>
  <c r="K27" i="39" a="1"/>
  <c r="K27" i="39" s="1"/>
  <c r="L27" i="39" a="1"/>
  <c r="L27" i="39" s="1"/>
  <c r="K53" i="39" a="1"/>
  <c r="K53" i="39" s="1"/>
  <c r="L53" i="39" a="1"/>
  <c r="L53" i="39" s="1"/>
  <c r="K45" i="39" a="1"/>
  <c r="K45" i="39" s="1"/>
  <c r="L45" i="39" a="1"/>
  <c r="L45" i="39" s="1"/>
  <c r="K29" i="39" a="1"/>
  <c r="K29" i="39" s="1"/>
  <c r="L29" i="39" a="1"/>
  <c r="L29" i="39" s="1"/>
  <c r="K16" i="39" a="1"/>
  <c r="K16" i="39" s="1"/>
  <c r="L16" i="39" a="1"/>
  <c r="L16" i="39" s="1"/>
  <c r="K13" i="39" a="1"/>
  <c r="K13" i="39" s="1"/>
  <c r="L13" i="39" a="1"/>
  <c r="L13" i="39" s="1"/>
  <c r="K11" i="39" a="1"/>
  <c r="K11" i="39" s="1"/>
  <c r="L11" i="39" a="1"/>
  <c r="L11" i="39" s="1"/>
  <c r="K12" i="39" a="1"/>
  <c r="K12" i="39" s="1"/>
  <c r="L12" i="39" a="1"/>
  <c r="L12" i="39" s="1"/>
  <c r="L68" i="35" a="1"/>
  <c r="L68" i="35" s="1"/>
  <c r="K39" i="35" a="1"/>
  <c r="K39" i="35" s="1"/>
  <c r="K70" i="35" a="1"/>
  <c r="K70" i="35" s="1"/>
  <c r="L11" i="35" a="1"/>
  <c r="L11" i="35" s="1"/>
  <c r="L69" i="35" a="1"/>
  <c r="L69" i="35" s="1"/>
  <c r="L77" i="35" a="1"/>
  <c r="L77" i="35" s="1"/>
  <c r="K12" i="35" a="1"/>
  <c r="K12" i="35" s="1"/>
  <c r="L46" i="35" a="1"/>
  <c r="L46" i="35" s="1"/>
  <c r="L75" i="35" a="1"/>
  <c r="L75" i="35" s="1"/>
  <c r="K62" i="35" a="1"/>
  <c r="K62" i="35" s="1"/>
  <c r="K32" i="35" a="1"/>
  <c r="K32" i="35" s="1"/>
  <c r="L64" i="35" a="1"/>
  <c r="L64" i="35" s="1"/>
  <c r="L57" i="35" a="1"/>
  <c r="L57" i="35" s="1"/>
  <c r="L13" i="35" a="1"/>
  <c r="L13" i="35" s="1"/>
  <c r="L43" i="35" a="1"/>
  <c r="L43" i="35" s="1"/>
  <c r="L26" i="35" a="1"/>
  <c r="L26" i="35" s="1"/>
  <c r="L55" i="35" a="1"/>
  <c r="L55" i="35" s="1"/>
  <c r="L97" i="34" a="1"/>
  <c r="L97" i="34" s="1"/>
  <c r="L49" i="37" a="1"/>
  <c r="L49" i="37" s="1"/>
  <c r="L52" i="38" a="1"/>
  <c r="L52" i="38" s="1"/>
  <c r="L20" i="35" a="1"/>
  <c r="L20" i="35" s="1"/>
  <c r="L75" i="38" a="1"/>
  <c r="L75" i="38" s="1"/>
  <c r="K44" i="34" a="1"/>
  <c r="K44" i="34" s="1"/>
  <c r="L66" i="37" a="1"/>
  <c r="L66" i="37" s="1"/>
  <c r="L66" i="34" a="1"/>
  <c r="L66" i="34" s="1"/>
  <c r="L38" i="38" a="1"/>
  <c r="L38" i="38" s="1"/>
  <c r="L53" i="35" a="1"/>
  <c r="L53" i="35" s="1"/>
  <c r="L52" i="35" a="1"/>
  <c r="L52" i="35" s="1"/>
  <c r="L73" i="36" a="1"/>
  <c r="L73" i="36" s="1"/>
  <c r="L16" i="38" a="1"/>
  <c r="L16" i="38" s="1"/>
  <c r="L28" i="35" a="1"/>
  <c r="L28" i="35" s="1"/>
  <c r="L59" i="36" a="1"/>
  <c r="L59" i="36" s="1"/>
  <c r="L8" i="38" a="1"/>
  <c r="L8" i="38" s="1"/>
  <c r="K33" i="36" a="1"/>
  <c r="K33" i="36" s="1"/>
  <c r="L33" i="36" a="1"/>
  <c r="L33" i="36" s="1"/>
  <c r="K77" i="37" a="1"/>
  <c r="K77" i="37" s="1"/>
  <c r="L77" i="37" a="1"/>
  <c r="L77" i="37" s="1"/>
  <c r="K81" i="37" a="1"/>
  <c r="K81" i="37" s="1"/>
  <c r="L81" i="37" a="1"/>
  <c r="L81" i="37" s="1"/>
  <c r="L45" i="36" a="1"/>
  <c r="L45" i="36" s="1"/>
  <c r="K45" i="36" a="1"/>
  <c r="K45" i="36" s="1"/>
  <c r="K83" i="35" a="1"/>
  <c r="K83" i="35" s="1"/>
  <c r="L83" i="35" a="1"/>
  <c r="L83" i="35" s="1"/>
  <c r="L72" i="34" a="1"/>
  <c r="L72" i="34" s="1"/>
  <c r="K72" i="34" a="1"/>
  <c r="K72" i="34" s="1"/>
  <c r="K87" i="37" a="1"/>
  <c r="K87" i="37" s="1"/>
  <c r="L87" i="37" a="1"/>
  <c r="L87" i="37" s="1"/>
  <c r="K75" i="37" a="1"/>
  <c r="K75" i="37" s="1"/>
  <c r="L75" i="37" a="1"/>
  <c r="L75" i="37" s="1"/>
  <c r="K84" i="37" a="1"/>
  <c r="K84" i="37" s="1"/>
  <c r="L84" i="37" a="1"/>
  <c r="L84" i="37" s="1"/>
  <c r="K87" i="35" a="1"/>
  <c r="K87" i="35" s="1"/>
  <c r="L87" i="35" a="1"/>
  <c r="L87" i="35" s="1"/>
  <c r="K34" i="36" a="1"/>
  <c r="K34" i="36" s="1"/>
  <c r="L34" i="36" a="1"/>
  <c r="L34" i="36" s="1"/>
  <c r="K74" i="37" a="1"/>
  <c r="K74" i="37" s="1"/>
  <c r="L74" i="37" a="1"/>
  <c r="L74" i="37" s="1"/>
  <c r="L36" i="36" a="1"/>
  <c r="L36" i="36" s="1"/>
  <c r="K36" i="36" a="1"/>
  <c r="K36" i="36" s="1"/>
  <c r="K41" i="36" a="1"/>
  <c r="K41" i="36" s="1"/>
  <c r="L41" i="36" a="1"/>
  <c r="L41" i="36" s="1"/>
  <c r="L43" i="36" a="1"/>
  <c r="L43" i="36" s="1"/>
  <c r="K43" i="36" a="1"/>
  <c r="K43" i="36" s="1"/>
  <c r="L88" i="37" a="1"/>
  <c r="L88" i="37" s="1"/>
  <c r="K88" i="37" a="1"/>
  <c r="K88" i="37" s="1"/>
  <c r="K80" i="35" a="1"/>
  <c r="K80" i="35" s="1"/>
  <c r="L80" i="35" a="1"/>
  <c r="L80" i="35" s="1"/>
  <c r="K88" i="35" a="1"/>
  <c r="K88" i="35" s="1"/>
  <c r="L88" i="35" a="1"/>
  <c r="L88" i="35" s="1"/>
  <c r="L90" i="37" a="1"/>
  <c r="L90" i="37" s="1"/>
  <c r="K90" i="37" a="1"/>
  <c r="K90" i="37" s="1"/>
  <c r="L83" i="37" a="1"/>
  <c r="L83" i="37" s="1"/>
  <c r="K83" i="37" a="1"/>
  <c r="K83" i="37" s="1"/>
  <c r="K37" i="36" a="1"/>
  <c r="K37" i="36" s="1"/>
  <c r="L37" i="36" a="1"/>
  <c r="L37" i="36" s="1"/>
  <c r="L86" i="37" a="1"/>
  <c r="L86" i="37" s="1"/>
  <c r="K86" i="37" a="1"/>
  <c r="K86" i="37" s="1"/>
  <c r="K82" i="35" a="1"/>
  <c r="K82" i="35" s="1"/>
  <c r="L82" i="35" a="1"/>
  <c r="L82" i="35" s="1"/>
  <c r="L91" i="37" a="1"/>
  <c r="L91" i="37" s="1"/>
  <c r="K91" i="37" a="1"/>
  <c r="K91" i="37" s="1"/>
  <c r="L38" i="36" a="1"/>
  <c r="L38" i="36" s="1"/>
  <c r="K38" i="36" a="1"/>
  <c r="K38" i="36" s="1"/>
  <c r="L73" i="37" a="1"/>
  <c r="L73" i="37" s="1"/>
  <c r="K73" i="37" a="1"/>
  <c r="K73" i="37" s="1"/>
  <c r="K46" i="36" a="1"/>
  <c r="K46" i="36" s="1"/>
  <c r="L46" i="36" a="1"/>
  <c r="L46" i="36" s="1"/>
  <c r="K32" i="39" a="1"/>
  <c r="K32" i="39" s="1"/>
  <c r="L78" i="35" a="1"/>
  <c r="L78" i="35" s="1"/>
  <c r="K78" i="35" a="1"/>
  <c r="K78" i="35" s="1"/>
  <c r="K44" i="36" a="1"/>
  <c r="K44" i="36" s="1"/>
  <c r="L44" i="36" a="1"/>
  <c r="L44" i="36" s="1"/>
  <c r="L49" i="36" a="1"/>
  <c r="L49" i="36" s="1"/>
  <c r="K49" i="36" a="1"/>
  <c r="K49" i="36" s="1"/>
  <c r="K35" i="36" a="1"/>
  <c r="K35" i="36" s="1"/>
  <c r="L35" i="36" a="1"/>
  <c r="L35" i="36" s="1"/>
  <c r="K35" i="39" a="1"/>
  <c r="K35" i="39" s="1"/>
  <c r="K79" i="35" a="1"/>
  <c r="K79" i="35" s="1"/>
  <c r="L79" i="35" a="1"/>
  <c r="L79" i="35" s="1"/>
  <c r="L51" i="36" a="1"/>
  <c r="L51" i="36" s="1"/>
  <c r="K51" i="36" a="1"/>
  <c r="K51" i="36" s="1"/>
  <c r="K18" i="39" a="1"/>
  <c r="K18" i="39" s="1"/>
  <c r="L89" i="35" a="1"/>
  <c r="L89" i="35" s="1"/>
  <c r="K89" i="35" a="1"/>
  <c r="K89" i="35" s="1"/>
  <c r="L85" i="37" a="1"/>
  <c r="L85" i="37" s="1"/>
  <c r="K85" i="37" a="1"/>
  <c r="K85" i="37" s="1"/>
  <c r="K89" i="37" a="1"/>
  <c r="K89" i="37" s="1"/>
  <c r="L89" i="37" a="1"/>
  <c r="L89" i="37" s="1"/>
  <c r="L79" i="37" a="1"/>
  <c r="L79" i="37" s="1"/>
  <c r="K79" i="37" a="1"/>
  <c r="K79" i="37" s="1"/>
  <c r="K33" i="39" a="1"/>
  <c r="K33" i="39" s="1"/>
  <c r="K36" i="39" a="1"/>
  <c r="K36" i="39" s="1"/>
  <c r="K81" i="35" a="1"/>
  <c r="K81" i="35" s="1"/>
  <c r="L81" i="35" a="1"/>
  <c r="L81" i="35" s="1"/>
  <c r="L80" i="37" a="1"/>
  <c r="L80" i="37" s="1"/>
  <c r="K80" i="37" a="1"/>
  <c r="K80" i="37" s="1"/>
  <c r="L50" i="36" a="1"/>
  <c r="L50" i="36" s="1"/>
  <c r="K50" i="36" a="1"/>
  <c r="K50" i="36" s="1"/>
  <c r="L42" i="36" a="1"/>
  <c r="L42" i="36" s="1"/>
  <c r="K42" i="36" a="1"/>
  <c r="K42" i="36" s="1"/>
  <c r="L48" i="36" a="1"/>
  <c r="L48" i="36" s="1"/>
  <c r="K48" i="36" a="1"/>
  <c r="K48" i="36" s="1"/>
  <c r="K19" i="39" a="1"/>
  <c r="K19" i="39" s="1"/>
  <c r="K86" i="35" a="1"/>
  <c r="K86" i="35" s="1"/>
  <c r="L86" i="35" a="1"/>
  <c r="L86" i="35" s="1"/>
  <c r="L39" i="36" a="1"/>
  <c r="L39" i="36" s="1"/>
  <c r="K39" i="36" a="1"/>
  <c r="K39" i="36" s="1"/>
  <c r="L40" i="36" a="1"/>
  <c r="L40" i="36" s="1"/>
  <c r="K40" i="36" a="1"/>
  <c r="K40" i="36" s="1"/>
  <c r="L32" i="36" a="1"/>
  <c r="L32" i="36" s="1"/>
  <c r="K32" i="36" a="1"/>
  <c r="K32" i="36" s="1"/>
  <c r="K34" i="39" a="1"/>
  <c r="K34" i="39" s="1"/>
  <c r="K85" i="35" a="1"/>
  <c r="K85" i="35" s="1"/>
  <c r="L85" i="35" a="1"/>
  <c r="L85" i="35" s="1"/>
  <c r="L82" i="38" a="1"/>
  <c r="L82" i="38" s="1"/>
  <c r="K47" i="36" a="1"/>
  <c r="K47" i="36" s="1"/>
  <c r="L47" i="36" a="1"/>
  <c r="L47" i="36" s="1"/>
  <c r="K72" i="37" a="1"/>
  <c r="K72" i="37" s="1"/>
  <c r="L72" i="37" a="1"/>
  <c r="L72" i="37" s="1"/>
  <c r="K76" i="37" a="1"/>
  <c r="K76" i="37" s="1"/>
  <c r="L76" i="37" a="1"/>
  <c r="L76" i="37" s="1"/>
  <c r="K21" i="39" a="1"/>
  <c r="K21" i="39" s="1"/>
  <c r="K37" i="39" a="1"/>
  <c r="K37" i="39" s="1"/>
  <c r="K22" i="39" a="1"/>
  <c r="K22" i="39" s="1"/>
  <c r="L84" i="35" a="1"/>
  <c r="L84" i="35" s="1"/>
  <c r="K84" i="35" a="1"/>
  <c r="K84" i="35" s="1"/>
  <c r="L78" i="37" a="1"/>
  <c r="L78" i="37" s="1"/>
  <c r="K78" i="37" a="1"/>
  <c r="K78" i="37" s="1"/>
  <c r="K82" i="37" a="1"/>
  <c r="K82" i="37" s="1"/>
  <c r="L82" i="37" a="1"/>
  <c r="L82" i="37" s="1"/>
  <c r="K20" i="39" a="1"/>
  <c r="K20" i="39" s="1"/>
  <c r="L90" i="35" a="1"/>
  <c r="L90" i="35" s="1"/>
  <c r="K90" i="35" a="1"/>
  <c r="K90" i="35" s="1"/>
  <c r="L51" i="35" a="1"/>
  <c r="L51" i="35" s="1"/>
  <c r="L21" i="35" a="1"/>
  <c r="L21" i="35" s="1"/>
  <c r="O6" i="35" a="1"/>
  <c r="P15" i="35" s="1"/>
  <c r="Q15" i="35" s="1"/>
  <c r="L50" i="35" a="1"/>
  <c r="L50" i="35" s="1"/>
  <c r="L14" i="34" a="1"/>
  <c r="L14" i="34" s="1"/>
  <c r="L78" i="38" a="1"/>
  <c r="L78" i="38" s="1"/>
  <c r="L29" i="35" a="1"/>
  <c r="L29" i="35" s="1"/>
  <c r="L43" i="34" a="1"/>
  <c r="L43" i="34" s="1"/>
  <c r="L14" i="38" a="1"/>
  <c r="L14" i="38" s="1"/>
  <c r="L19" i="35" a="1"/>
  <c r="L19" i="35" s="1"/>
  <c r="L66" i="35" a="1"/>
  <c r="L66" i="35" s="1"/>
  <c r="L28" i="38" a="1"/>
  <c r="L28" i="38" s="1"/>
  <c r="K12" i="34" a="1"/>
  <c r="K12" i="34" s="1"/>
  <c r="L63" i="34" a="1"/>
  <c r="L63" i="34" s="1"/>
  <c r="L54" i="35" a="1"/>
  <c r="L54" i="35" s="1"/>
  <c r="L47" i="35" a="1"/>
  <c r="L47" i="35" s="1"/>
  <c r="L63" i="38" a="1"/>
  <c r="L63" i="38" s="1"/>
  <c r="L50" i="38" a="1"/>
  <c r="L50" i="38" s="1"/>
  <c r="L18" i="35" a="1"/>
  <c r="L18" i="35" s="1"/>
  <c r="K40" i="37" a="1"/>
  <c r="K40" i="37" s="1"/>
  <c r="L40" i="37" a="1"/>
  <c r="L40" i="37" s="1"/>
  <c r="L41" i="37" a="1"/>
  <c r="L41" i="37" s="1"/>
  <c r="K41" i="37" a="1"/>
  <c r="K41" i="37" s="1"/>
  <c r="L14" i="37" a="1"/>
  <c r="L14" i="37" s="1"/>
  <c r="K14" i="37" a="1"/>
  <c r="K14" i="37" s="1"/>
  <c r="L11" i="38" a="1"/>
  <c r="L11" i="38" s="1"/>
  <c r="K11" i="38" a="1"/>
  <c r="K11" i="38" s="1"/>
  <c r="L48" i="38" a="1"/>
  <c r="L48" i="38" s="1"/>
  <c r="K48" i="38" a="1"/>
  <c r="K48" i="38" s="1"/>
  <c r="K44" i="37" a="1"/>
  <c r="K44" i="37" s="1"/>
  <c r="L44" i="37" a="1"/>
  <c r="L44" i="37" s="1"/>
  <c r="L65" i="37" a="1"/>
  <c r="L65" i="37" s="1"/>
  <c r="K65" i="37" a="1"/>
  <c r="K65" i="37" s="1"/>
  <c r="K59" i="37" a="1"/>
  <c r="K59" i="37" s="1"/>
  <c r="L59" i="37" a="1"/>
  <c r="L59" i="37" s="1"/>
  <c r="K31" i="37" a="1"/>
  <c r="K31" i="37" s="1"/>
  <c r="L31" i="37" a="1"/>
  <c r="L31" i="37" s="1"/>
  <c r="L92" i="36" a="1"/>
  <c r="L92" i="36" s="1"/>
  <c r="K92" i="36" a="1"/>
  <c r="K92" i="36" s="1"/>
  <c r="L78" i="36" a="1"/>
  <c r="L78" i="36" s="1"/>
  <c r="K78" i="36" a="1"/>
  <c r="K78" i="36" s="1"/>
  <c r="K77" i="36" a="1"/>
  <c r="K77" i="36" s="1"/>
  <c r="L77" i="36" a="1"/>
  <c r="L77" i="36" s="1"/>
  <c r="K12" i="38" a="1"/>
  <c r="K12" i="38" s="1"/>
  <c r="L12" i="38" a="1"/>
  <c r="L12" i="38" s="1"/>
  <c r="K10" i="38" a="1"/>
  <c r="K10" i="38" s="1"/>
  <c r="L10" i="38" a="1"/>
  <c r="L10" i="38" s="1"/>
  <c r="O6" i="38" a="1"/>
  <c r="K47" i="37" a="1"/>
  <c r="K47" i="37" s="1"/>
  <c r="L47" i="37" a="1"/>
  <c r="L47" i="37" s="1"/>
  <c r="K83" i="36" a="1"/>
  <c r="K83" i="36" s="1"/>
  <c r="L83" i="36" a="1"/>
  <c r="L83" i="36" s="1"/>
  <c r="K42" i="38" a="1"/>
  <c r="K42" i="38" s="1"/>
  <c r="L42" i="38" a="1"/>
  <c r="L42" i="38" s="1"/>
  <c r="K91" i="36" a="1"/>
  <c r="K91" i="36" s="1"/>
  <c r="L91" i="36" a="1"/>
  <c r="L91" i="36" s="1"/>
  <c r="L88" i="36" a="1"/>
  <c r="L88" i="36" s="1"/>
  <c r="K88" i="36" a="1"/>
  <c r="K88" i="36" s="1"/>
  <c r="L87" i="36" a="1"/>
  <c r="L87" i="36" s="1"/>
  <c r="K87" i="36" a="1"/>
  <c r="K87" i="36" s="1"/>
  <c r="K55" i="39" a="1"/>
  <c r="K55" i="39" s="1"/>
  <c r="L33" i="37" a="1"/>
  <c r="L33" i="37" s="1"/>
  <c r="K33" i="37" a="1"/>
  <c r="K33" i="37" s="1"/>
  <c r="K86" i="36" a="1"/>
  <c r="K86" i="36" s="1"/>
  <c r="L86" i="36" a="1"/>
  <c r="L86" i="36" s="1"/>
  <c r="L32" i="37" a="1"/>
  <c r="L32" i="37" s="1"/>
  <c r="K32" i="37" a="1"/>
  <c r="K32" i="37" s="1"/>
  <c r="K29" i="38" a="1"/>
  <c r="K29" i="38" s="1"/>
  <c r="L29" i="38" a="1"/>
  <c r="L29" i="38" s="1"/>
  <c r="L45" i="38" a="1"/>
  <c r="L45" i="38" s="1"/>
  <c r="K45" i="38" a="1"/>
  <c r="K45" i="38" s="1"/>
  <c r="K96" i="37" a="1"/>
  <c r="K96" i="37" s="1"/>
  <c r="L96" i="37" a="1"/>
  <c r="L96" i="37" s="1"/>
  <c r="L58" i="38" a="1"/>
  <c r="L58" i="38" s="1"/>
  <c r="K58" i="38" a="1"/>
  <c r="K58" i="38" s="1"/>
  <c r="K74" i="36" a="1"/>
  <c r="K74" i="36" s="1"/>
  <c r="L74" i="36" a="1"/>
  <c r="L74" i="36" s="1"/>
  <c r="L90" i="36" a="1"/>
  <c r="L90" i="36" s="1"/>
  <c r="K90" i="36" a="1"/>
  <c r="K90" i="36" s="1"/>
  <c r="L84" i="36" a="1"/>
  <c r="L84" i="36" s="1"/>
  <c r="K84" i="36" a="1"/>
  <c r="K84" i="36" s="1"/>
  <c r="K61" i="38" a="1"/>
  <c r="K61" i="38" s="1"/>
  <c r="L61" i="38" a="1"/>
  <c r="L61" i="38" s="1"/>
  <c r="L92" i="37" a="1"/>
  <c r="L92" i="37" s="1"/>
  <c r="K92" i="37" a="1"/>
  <c r="K92" i="37" s="1"/>
  <c r="K6" i="36" a="1"/>
  <c r="K6" i="36" s="1"/>
  <c r="O6" i="36" a="1"/>
  <c r="K46" i="38" a="1"/>
  <c r="K46" i="38" s="1"/>
  <c r="L46" i="38" a="1"/>
  <c r="L46" i="38" s="1"/>
  <c r="L23" i="38" a="1"/>
  <c r="L23" i="38" s="1"/>
  <c r="K23" i="38" a="1"/>
  <c r="K23" i="38" s="1"/>
  <c r="L55" i="38" a="1"/>
  <c r="L55" i="38" s="1"/>
  <c r="K79" i="36" a="1"/>
  <c r="K79" i="36" s="1"/>
  <c r="L79" i="36" a="1"/>
  <c r="L79" i="36" s="1"/>
  <c r="L81" i="36" a="1"/>
  <c r="L81" i="36" s="1"/>
  <c r="K81" i="36" a="1"/>
  <c r="K81" i="36" s="1"/>
  <c r="L85" i="36" a="1"/>
  <c r="L85" i="36" s="1"/>
  <c r="K85" i="36" a="1"/>
  <c r="K85" i="36" s="1"/>
  <c r="L82" i="36" a="1"/>
  <c r="L82" i="36" s="1"/>
  <c r="K82" i="36" a="1"/>
  <c r="K82" i="36" s="1"/>
  <c r="L77" i="38" a="1"/>
  <c r="L77" i="38" s="1"/>
  <c r="K77" i="38" a="1"/>
  <c r="K77" i="38" s="1"/>
  <c r="L43" i="38" a="1"/>
  <c r="L43" i="38" s="1"/>
  <c r="K43" i="38" a="1"/>
  <c r="K43" i="38" s="1"/>
  <c r="L76" i="38" a="1"/>
  <c r="L76" i="38" s="1"/>
  <c r="K76" i="38" a="1"/>
  <c r="K76" i="38" s="1"/>
  <c r="K38" i="39" a="1"/>
  <c r="K38" i="39" s="1"/>
  <c r="L65" i="38" a="1"/>
  <c r="L65" i="38" s="1"/>
  <c r="L80" i="36" a="1"/>
  <c r="L80" i="36" s="1"/>
  <c r="K80" i="36" a="1"/>
  <c r="K80" i="36" s="1"/>
  <c r="L89" i="36" a="1"/>
  <c r="L89" i="36" s="1"/>
  <c r="K89" i="36" a="1"/>
  <c r="K89" i="36" s="1"/>
  <c r="L10" i="37" a="1"/>
  <c r="L10" i="37" s="1"/>
  <c r="K10" i="37" a="1"/>
  <c r="K10" i="37" s="1"/>
  <c r="O6" i="37" a="1"/>
  <c r="L13" i="38" a="1"/>
  <c r="L13" i="38" s="1"/>
  <c r="K13" i="38" a="1"/>
  <c r="K13" i="38" s="1"/>
  <c r="L69" i="38" a="1"/>
  <c r="L69" i="38" s="1"/>
  <c r="K69" i="38" a="1"/>
  <c r="K69" i="38" s="1"/>
  <c r="L79" i="38" a="1"/>
  <c r="L79" i="38" s="1"/>
  <c r="K79" i="38" a="1"/>
  <c r="K79" i="38" s="1"/>
  <c r="L17" i="38" a="1"/>
  <c r="L17" i="38" s="1"/>
  <c r="L32" i="38" a="1"/>
  <c r="L32" i="38" s="1"/>
  <c r="L12" i="37" a="1"/>
  <c r="L12" i="37" s="1"/>
  <c r="K12" i="37" a="1"/>
  <c r="K12" i="37" s="1"/>
  <c r="K75" i="36" a="1"/>
  <c r="K75" i="36" s="1"/>
  <c r="L75" i="36" a="1"/>
  <c r="L75" i="36" s="1"/>
  <c r="K13" i="37" a="1"/>
  <c r="K13" i="37" s="1"/>
  <c r="L13" i="37" a="1"/>
  <c r="L13" i="37" s="1"/>
  <c r="L48" i="37" a="1"/>
  <c r="L48" i="37" s="1"/>
  <c r="K48" i="37" a="1"/>
  <c r="K48" i="37" s="1"/>
  <c r="K62" i="37" a="1"/>
  <c r="K62" i="37" s="1"/>
  <c r="L62" i="37" a="1"/>
  <c r="L62" i="37" s="1"/>
  <c r="L73" i="38" a="1"/>
  <c r="L73" i="38" s="1"/>
  <c r="K73" i="38" a="1"/>
  <c r="K73" i="38" s="1"/>
  <c r="K34" i="38" a="1"/>
  <c r="K34" i="38" s="1"/>
  <c r="L34" i="38" a="1"/>
  <c r="L34" i="38" s="1"/>
  <c r="L33" i="38" a="1"/>
  <c r="L33" i="38" s="1"/>
  <c r="K33" i="38" a="1"/>
  <c r="K33" i="38" s="1"/>
  <c r="L19" i="38" a="1"/>
  <c r="L19" i="38" s="1"/>
  <c r="L34" i="35" a="1"/>
  <c r="L34" i="35" s="1"/>
  <c r="K94" i="37" a="1"/>
  <c r="K94" i="37" s="1"/>
  <c r="L94" i="37" a="1"/>
  <c r="L94" i="37" s="1"/>
  <c r="K76" i="36" a="1"/>
  <c r="K76" i="36" s="1"/>
  <c r="L76" i="36" a="1"/>
  <c r="L76" i="36" s="1"/>
  <c r="L71" i="37" a="1"/>
  <c r="L71" i="37" s="1"/>
  <c r="K71" i="37" a="1"/>
  <c r="K71" i="37" s="1"/>
  <c r="K93" i="36" a="1"/>
  <c r="K93" i="36" s="1"/>
  <c r="L93" i="36" a="1"/>
  <c r="L93" i="36" s="1"/>
  <c r="K22" i="37" a="1"/>
  <c r="K22" i="37" s="1"/>
  <c r="L22" i="37" a="1"/>
  <c r="L22" i="37" s="1"/>
  <c r="L36" i="38" a="1"/>
  <c r="L36" i="38" s="1"/>
  <c r="K36" i="38" a="1"/>
  <c r="K36" i="38" s="1"/>
  <c r="L67" i="38" a="1"/>
  <c r="L67" i="38" s="1"/>
  <c r="L81" i="38" a="1"/>
  <c r="L81" i="38" s="1"/>
  <c r="L6" i="35" a="1"/>
  <c r="L6" i="35" s="1"/>
  <c r="L31" i="14" a="1"/>
  <c r="L31" i="14" s="1"/>
  <c r="H3" i="35" a="1"/>
  <c r="H3" i="35" s="1"/>
  <c r="L6" i="38" a="1"/>
  <c r="L6" i="38" s="1"/>
  <c r="G3" i="38" a="1"/>
  <c r="G3" i="38" s="1"/>
  <c r="H3" i="38" a="1"/>
  <c r="H3" i="38" s="1"/>
  <c r="H3" i="39" a="1"/>
  <c r="H3" i="39" s="1"/>
  <c r="I76" i="39" s="1"/>
  <c r="J76" i="39" s="1" a="1"/>
  <c r="J76" i="39" s="1"/>
  <c r="G3" i="39" a="1"/>
  <c r="G3" i="39" s="1"/>
  <c r="L29" i="14" a="1"/>
  <c r="L29" i="14" s="1"/>
  <c r="L27" i="14" a="1"/>
  <c r="L27" i="14" s="1"/>
  <c r="L6" i="37" a="1"/>
  <c r="L6" i="37" s="1"/>
  <c r="H3" i="37" a="1"/>
  <c r="H3" i="37" s="1"/>
  <c r="G3" i="37" a="1"/>
  <c r="G3" i="37" s="1"/>
  <c r="L7" i="36" a="1"/>
  <c r="L7" i="36" s="1"/>
  <c r="G3" i="36" a="1"/>
  <c r="G3" i="36" s="1"/>
  <c r="H3" i="36" a="1"/>
  <c r="H3" i="36" s="1"/>
  <c r="G3" i="35" a="1"/>
  <c r="G3" i="35" s="1"/>
  <c r="H3" i="34" a="1"/>
  <c r="H3" i="34" s="1"/>
  <c r="I49" i="34" s="1"/>
  <c r="J49" i="34" s="1" a="1"/>
  <c r="J49" i="34" s="1"/>
  <c r="P10" i="34"/>
  <c r="Q10" i="34" s="1"/>
  <c r="P7" i="34"/>
  <c r="Q7" i="34" s="1"/>
  <c r="P9" i="34"/>
  <c r="Q9" i="34" s="1"/>
  <c r="P14" i="34"/>
  <c r="Q14" i="34" s="1"/>
  <c r="P11" i="34"/>
  <c r="Q11" i="34" s="1"/>
  <c r="P13" i="34"/>
  <c r="Q13" i="34" s="1"/>
  <c r="P8" i="34"/>
  <c r="Q8" i="34" s="1"/>
  <c r="O6" i="34"/>
  <c r="P12" i="34"/>
  <c r="G3" i="34" a="1"/>
  <c r="G3" i="34" s="1"/>
  <c r="L44" i="14" a="1"/>
  <c r="L44" i="14" s="1"/>
  <c r="L32" i="14" a="1"/>
  <c r="L32" i="14" s="1"/>
  <c r="L76" i="14" a="1"/>
  <c r="L76" i="14" s="1"/>
  <c r="L93" i="14" a="1"/>
  <c r="L93" i="14" s="1"/>
  <c r="O6" i="14" a="1"/>
  <c r="P12" i="14" s="1"/>
  <c r="K70" i="14" a="1"/>
  <c r="K70" i="14" s="1"/>
  <c r="G30" i="14" a="1"/>
  <c r="G30" i="14" s="1"/>
  <c r="H30" i="14" s="1"/>
  <c r="G94" i="14" a="1"/>
  <c r="G94" i="14" s="1"/>
  <c r="H94" i="14" s="1"/>
  <c r="G73" i="14" a="1"/>
  <c r="G73" i="14" s="1"/>
  <c r="H73" i="14" s="1"/>
  <c r="L70" i="14" a="1"/>
  <c r="L70" i="14" s="1"/>
  <c r="G31" i="14" a="1"/>
  <c r="G31" i="14" s="1"/>
  <c r="H31" i="14" s="1"/>
  <c r="L6" i="14" a="1"/>
  <c r="L6" i="14" s="1"/>
  <c r="I69" i="39" l="1"/>
  <c r="J69" i="39" s="1" a="1"/>
  <c r="J69" i="39" s="1"/>
  <c r="I74" i="39"/>
  <c r="J74" i="39" s="1" a="1"/>
  <c r="J74" i="39" s="1"/>
  <c r="I75" i="39"/>
  <c r="J75" i="39" s="1" a="1"/>
  <c r="J75" i="39" s="1"/>
  <c r="I72" i="39"/>
  <c r="J72" i="39" s="1" a="1"/>
  <c r="J72" i="39" s="1"/>
  <c r="I73" i="39"/>
  <c r="J73" i="39" s="1" a="1"/>
  <c r="J73" i="39" s="1"/>
  <c r="I71" i="39"/>
  <c r="J71" i="39" s="1" a="1"/>
  <c r="J71" i="39" s="1"/>
  <c r="I68" i="39"/>
  <c r="J68" i="39" s="1" a="1"/>
  <c r="J68" i="39" s="1"/>
  <c r="I70" i="39"/>
  <c r="J70" i="39" s="1" a="1"/>
  <c r="J70" i="39" s="1"/>
  <c r="I63" i="39"/>
  <c r="J63" i="39" s="1" a="1"/>
  <c r="J63" i="39" s="1"/>
  <c r="I64" i="39"/>
  <c r="J64" i="39" s="1" a="1"/>
  <c r="J64" i="39" s="1"/>
  <c r="I66" i="39"/>
  <c r="J66" i="39" s="1" a="1"/>
  <c r="J66" i="39" s="1"/>
  <c r="I65" i="39"/>
  <c r="J65" i="39" s="1" a="1"/>
  <c r="J65" i="39" s="1"/>
  <c r="I67" i="39"/>
  <c r="J67" i="39" s="1" a="1"/>
  <c r="J67" i="39" s="1"/>
  <c r="I57" i="41"/>
  <c r="J57" i="41" s="1" a="1"/>
  <c r="J57" i="41" s="1"/>
  <c r="I32" i="41"/>
  <c r="J32" i="41" s="1" a="1"/>
  <c r="J32" i="41" s="1"/>
  <c r="I49" i="41"/>
  <c r="J49" i="41" s="1" a="1"/>
  <c r="J49" i="41" s="1"/>
  <c r="I53" i="41"/>
  <c r="J53" i="41" s="1" a="1"/>
  <c r="J53" i="41" s="1"/>
  <c r="I64" i="41"/>
  <c r="J64" i="41" s="1" a="1"/>
  <c r="J64" i="41" s="1"/>
  <c r="I63" i="41"/>
  <c r="J63" i="41" s="1" a="1"/>
  <c r="J63" i="41" s="1"/>
  <c r="I70" i="41"/>
  <c r="J70" i="41" s="1" a="1"/>
  <c r="J70" i="41" s="1"/>
  <c r="I23" i="41"/>
  <c r="J23" i="41" s="1" a="1"/>
  <c r="J23" i="41" s="1"/>
  <c r="I21" i="41"/>
  <c r="J21" i="41" s="1" a="1"/>
  <c r="J21" i="41" s="1"/>
  <c r="I75" i="41"/>
  <c r="J75" i="41" s="1" a="1"/>
  <c r="J75" i="41" s="1"/>
  <c r="I79" i="41"/>
  <c r="J79" i="41" s="1" a="1"/>
  <c r="J79" i="41" s="1"/>
  <c r="I55" i="41"/>
  <c r="J55" i="41" s="1" a="1"/>
  <c r="J55" i="41" s="1"/>
  <c r="I52" i="41"/>
  <c r="J52" i="41" s="1" a="1"/>
  <c r="J52" i="41" s="1"/>
  <c r="I14" i="41"/>
  <c r="J14" i="41" s="1" a="1"/>
  <c r="J14" i="41" s="1"/>
  <c r="I46" i="41"/>
  <c r="J46" i="41" s="1" a="1"/>
  <c r="J46" i="41" s="1"/>
  <c r="I13" i="41"/>
  <c r="J13" i="41" s="1" a="1"/>
  <c r="J13" i="41" s="1"/>
  <c r="I61" i="41"/>
  <c r="J61" i="41" s="1" a="1"/>
  <c r="J61" i="41" s="1"/>
  <c r="I87" i="41"/>
  <c r="J87" i="41" s="1" a="1"/>
  <c r="J87" i="41" s="1"/>
  <c r="I29" i="41"/>
  <c r="J29" i="41" s="1" a="1"/>
  <c r="J29" i="41" s="1"/>
  <c r="I93" i="41"/>
  <c r="J93" i="41" s="1" a="1"/>
  <c r="J93" i="41" s="1"/>
  <c r="I82" i="41"/>
  <c r="J82" i="41" s="1" a="1"/>
  <c r="J82" i="41" s="1"/>
  <c r="I41" i="41"/>
  <c r="J41" i="41" s="1" a="1"/>
  <c r="J41" i="41" s="1"/>
  <c r="I38" i="41"/>
  <c r="J38" i="41" s="1" a="1"/>
  <c r="J38" i="41" s="1"/>
  <c r="I16" i="41"/>
  <c r="J16" i="41" s="1" a="1"/>
  <c r="J16" i="41" s="1"/>
  <c r="I78" i="41"/>
  <c r="J78" i="41" s="1" a="1"/>
  <c r="J78" i="41" s="1"/>
  <c r="I68" i="41"/>
  <c r="J68" i="41" s="1" a="1"/>
  <c r="J68" i="41" s="1"/>
  <c r="I6" i="41"/>
  <c r="I81" i="41"/>
  <c r="J81" i="41" s="1" a="1"/>
  <c r="J81" i="41" s="1"/>
  <c r="I83" i="41"/>
  <c r="J83" i="41" s="1" a="1"/>
  <c r="J83" i="41" s="1"/>
  <c r="I19" i="41"/>
  <c r="J19" i="41" s="1" a="1"/>
  <c r="J19" i="41" s="1"/>
  <c r="I66" i="41"/>
  <c r="J66" i="41" s="1" a="1"/>
  <c r="J66" i="41" s="1"/>
  <c r="I40" i="41"/>
  <c r="J40" i="41" s="1" a="1"/>
  <c r="J40" i="41" s="1"/>
  <c r="I86" i="41"/>
  <c r="J86" i="41" s="1" a="1"/>
  <c r="J86" i="41" s="1"/>
  <c r="I58" i="41"/>
  <c r="J58" i="41" s="1" a="1"/>
  <c r="J58" i="41" s="1"/>
  <c r="I25" i="41"/>
  <c r="J25" i="41" s="1" a="1"/>
  <c r="J25" i="41" s="1"/>
  <c r="I39" i="41"/>
  <c r="J39" i="41" s="1" a="1"/>
  <c r="J39" i="41" s="1"/>
  <c r="I10" i="41"/>
  <c r="J10" i="41" s="1" a="1"/>
  <c r="J10" i="41" s="1"/>
  <c r="I77" i="41"/>
  <c r="J77" i="41" s="1" a="1"/>
  <c r="J77" i="41" s="1"/>
  <c r="I33" i="41"/>
  <c r="J33" i="41" s="1" a="1"/>
  <c r="J33" i="41" s="1"/>
  <c r="I62" i="41"/>
  <c r="J62" i="41" s="1" a="1"/>
  <c r="J62" i="41" s="1"/>
  <c r="I36" i="41"/>
  <c r="J36" i="41" s="1" a="1"/>
  <c r="J36" i="41" s="1"/>
  <c r="I28" i="41"/>
  <c r="J28" i="41" s="1" a="1"/>
  <c r="J28" i="41" s="1"/>
  <c r="I74" i="41"/>
  <c r="J74" i="41" s="1" a="1"/>
  <c r="J74" i="41" s="1"/>
  <c r="I18" i="41"/>
  <c r="J18" i="41" s="1" a="1"/>
  <c r="J18" i="41" s="1"/>
  <c r="I24" i="41"/>
  <c r="J24" i="41" s="1" a="1"/>
  <c r="J24" i="41" s="1"/>
  <c r="I37" i="41"/>
  <c r="J37" i="41" s="1" a="1"/>
  <c r="J37" i="41" s="1"/>
  <c r="I71" i="41"/>
  <c r="J71" i="41" s="1" a="1"/>
  <c r="J71" i="41" s="1"/>
  <c r="I50" i="41"/>
  <c r="J50" i="41" s="1" a="1"/>
  <c r="J50" i="41" s="1"/>
  <c r="I90" i="41"/>
  <c r="J90" i="41" s="1" a="1"/>
  <c r="J90" i="41" s="1"/>
  <c r="I15" i="41"/>
  <c r="J15" i="41" s="1" a="1"/>
  <c r="J15" i="41" s="1"/>
  <c r="I43" i="41"/>
  <c r="J43" i="41" s="1" a="1"/>
  <c r="J43" i="41" s="1"/>
  <c r="I65" i="41"/>
  <c r="J65" i="41" s="1" a="1"/>
  <c r="J65" i="41" s="1"/>
  <c r="I54" i="41"/>
  <c r="J54" i="41" s="1" a="1"/>
  <c r="J54" i="41" s="1"/>
  <c r="I89" i="41"/>
  <c r="J89" i="41" s="1" a="1"/>
  <c r="J89" i="41" s="1"/>
  <c r="I56" i="41"/>
  <c r="J56" i="41" s="1" a="1"/>
  <c r="J56" i="41" s="1"/>
  <c r="I7" i="41"/>
  <c r="J7" i="41" s="1" a="1"/>
  <c r="J7" i="41" s="1"/>
  <c r="I91" i="41"/>
  <c r="J91" i="41" s="1" a="1"/>
  <c r="J91" i="41" s="1"/>
  <c r="I12" i="41"/>
  <c r="J12" i="41" s="1" a="1"/>
  <c r="J12" i="41" s="1"/>
  <c r="I59" i="41"/>
  <c r="J59" i="41" s="1" a="1"/>
  <c r="J59" i="41" s="1"/>
  <c r="I69" i="41"/>
  <c r="J69" i="41" s="1" a="1"/>
  <c r="J69" i="41" s="1"/>
  <c r="I8" i="41"/>
  <c r="J8" i="41" s="1" a="1"/>
  <c r="J8" i="41" s="1"/>
  <c r="I44" i="41"/>
  <c r="J44" i="41" s="1" a="1"/>
  <c r="J44" i="41" s="1"/>
  <c r="I60" i="41"/>
  <c r="J60" i="41" s="1" a="1"/>
  <c r="J60" i="41" s="1"/>
  <c r="I45" i="41"/>
  <c r="J45" i="41" s="1" a="1"/>
  <c r="J45" i="41" s="1"/>
  <c r="I76" i="41"/>
  <c r="J76" i="41" s="1" a="1"/>
  <c r="J76" i="41" s="1"/>
  <c r="I88" i="41"/>
  <c r="J88" i="41" s="1" a="1"/>
  <c r="J88" i="41" s="1"/>
  <c r="I27" i="41"/>
  <c r="J27" i="41" s="1" a="1"/>
  <c r="J27" i="41" s="1"/>
  <c r="I72" i="41"/>
  <c r="J72" i="41" s="1" a="1"/>
  <c r="J72" i="41" s="1"/>
  <c r="I51" i="41"/>
  <c r="J51" i="41" s="1" a="1"/>
  <c r="J51" i="41" s="1"/>
  <c r="I9" i="41"/>
  <c r="J9" i="41" s="1" a="1"/>
  <c r="J9" i="41" s="1"/>
  <c r="I48" i="41"/>
  <c r="J48" i="41" s="1" a="1"/>
  <c r="J48" i="41" s="1"/>
  <c r="I47" i="41"/>
  <c r="J47" i="41" s="1" a="1"/>
  <c r="J47" i="41" s="1"/>
  <c r="I73" i="41"/>
  <c r="J73" i="41" s="1" a="1"/>
  <c r="J73" i="41" s="1"/>
  <c r="I85" i="41"/>
  <c r="J85" i="41" s="1" a="1"/>
  <c r="J85" i="41" s="1"/>
  <c r="I84" i="41"/>
  <c r="J84" i="41" s="1" a="1"/>
  <c r="J84" i="41" s="1"/>
  <c r="I92" i="41"/>
  <c r="J92" i="41" s="1" a="1"/>
  <c r="J92" i="41" s="1"/>
  <c r="I67" i="41"/>
  <c r="J67" i="41" s="1" a="1"/>
  <c r="J67" i="41" s="1"/>
  <c r="I80" i="41"/>
  <c r="J80" i="41" s="1" a="1"/>
  <c r="J80" i="41" s="1"/>
  <c r="I17" i="41"/>
  <c r="J17" i="41" s="1" a="1"/>
  <c r="J17" i="41" s="1"/>
  <c r="I42" i="41"/>
  <c r="J42" i="41" s="1" a="1"/>
  <c r="J42" i="41" s="1"/>
  <c r="I34" i="41"/>
  <c r="J34" i="41" s="1" a="1"/>
  <c r="J34" i="41" s="1"/>
  <c r="I30" i="41"/>
  <c r="J30" i="41" s="1" a="1"/>
  <c r="J30" i="41" s="1"/>
  <c r="I31" i="41"/>
  <c r="J31" i="41" s="1" a="1"/>
  <c r="J31" i="41" s="1"/>
  <c r="I26" i="41"/>
  <c r="J26" i="41" s="1" a="1"/>
  <c r="J26" i="41" s="1"/>
  <c r="I11" i="41"/>
  <c r="J11" i="41" s="1" a="1"/>
  <c r="J11" i="41" s="1"/>
  <c r="I20" i="41"/>
  <c r="J20" i="41" s="1" a="1"/>
  <c r="J20" i="41" s="1"/>
  <c r="I22" i="41"/>
  <c r="J22" i="41" s="1" a="1"/>
  <c r="J22" i="41" s="1"/>
  <c r="I35" i="41"/>
  <c r="J35" i="41" s="1" a="1"/>
  <c r="J35" i="41" s="1"/>
  <c r="I83" i="39"/>
  <c r="J83" i="39" s="1" a="1"/>
  <c r="J83" i="39" s="1"/>
  <c r="I81" i="39"/>
  <c r="J81" i="39" s="1" a="1"/>
  <c r="J81" i="39" s="1"/>
  <c r="I82" i="39"/>
  <c r="J82" i="39" s="1" a="1"/>
  <c r="J82" i="39" s="1"/>
  <c r="I79" i="39"/>
  <c r="J79" i="39" s="1" a="1"/>
  <c r="J79" i="39" s="1"/>
  <c r="I80" i="39"/>
  <c r="J80" i="39" s="1" a="1"/>
  <c r="J80" i="39" s="1"/>
  <c r="I77" i="39"/>
  <c r="J77" i="39" s="1" a="1"/>
  <c r="J77" i="39" s="1"/>
  <c r="I78" i="39"/>
  <c r="J78" i="39" s="1" a="1"/>
  <c r="J78" i="39" s="1"/>
  <c r="I90" i="35"/>
  <c r="J90" i="35" s="1" a="1"/>
  <c r="J90" i="35" s="1"/>
  <c r="O6" i="35"/>
  <c r="P6" i="35" s="1"/>
  <c r="P8" i="35"/>
  <c r="Q8" i="35" s="1"/>
  <c r="P9" i="35"/>
  <c r="Q9" i="35" s="1"/>
  <c r="P10" i="35"/>
  <c r="Q10" i="35" s="1"/>
  <c r="P14" i="35"/>
  <c r="Q14" i="35" s="1"/>
  <c r="P7" i="35"/>
  <c r="Q7" i="35" s="1"/>
  <c r="P11" i="35"/>
  <c r="Q11" i="35" s="1"/>
  <c r="P13" i="35"/>
  <c r="P12" i="35"/>
  <c r="Q12" i="35" s="1"/>
  <c r="P13" i="37"/>
  <c r="Q13" i="37" s="1"/>
  <c r="P12" i="37"/>
  <c r="P10" i="37"/>
  <c r="Q10" i="37" s="1"/>
  <c r="P11" i="37"/>
  <c r="Q11" i="37" s="1"/>
  <c r="P8" i="37"/>
  <c r="Q8" i="37" s="1"/>
  <c r="P14" i="37"/>
  <c r="Q14" i="37" s="1"/>
  <c r="P9" i="37"/>
  <c r="Q9" i="37" s="1"/>
  <c r="P7" i="37"/>
  <c r="Q7" i="37" s="1"/>
  <c r="O6" i="37"/>
  <c r="P6" i="37" s="1"/>
  <c r="Q6" i="37" s="1"/>
  <c r="P11" i="36"/>
  <c r="Q11" i="36" s="1"/>
  <c r="O6" i="36"/>
  <c r="P6" i="36" s="1"/>
  <c r="Q6" i="36" s="1"/>
  <c r="P10" i="36"/>
  <c r="Q10" i="36" s="1"/>
  <c r="P9" i="36"/>
  <c r="Q9" i="36" s="1"/>
  <c r="P8" i="36"/>
  <c r="Q8" i="36" s="1"/>
  <c r="P7" i="36"/>
  <c r="Q7" i="36" s="1"/>
  <c r="P14" i="36"/>
  <c r="Q14" i="36" s="1"/>
  <c r="P12" i="36"/>
  <c r="P13" i="36"/>
  <c r="Q13" i="36" s="1"/>
  <c r="P12" i="38"/>
  <c r="Q12" i="38" s="1"/>
  <c r="O6" i="38"/>
  <c r="P6" i="38" s="1"/>
  <c r="Q6" i="38" s="1"/>
  <c r="P9" i="38"/>
  <c r="Q9" i="38" s="1"/>
  <c r="P8" i="38"/>
  <c r="Q8" i="38" s="1"/>
  <c r="P7" i="38"/>
  <c r="Q7" i="38" s="1"/>
  <c r="P14" i="38"/>
  <c r="Q14" i="38" s="1"/>
  <c r="P11" i="38"/>
  <c r="Q11" i="38" s="1"/>
  <c r="P13" i="38"/>
  <c r="P10" i="38"/>
  <c r="Q10" i="38" s="1"/>
  <c r="I58" i="35"/>
  <c r="J58" i="35" s="1" a="1"/>
  <c r="J58" i="35" s="1"/>
  <c r="I88" i="35"/>
  <c r="J88" i="35" s="1" a="1"/>
  <c r="J88" i="35" s="1"/>
  <c r="I82" i="35"/>
  <c r="J82" i="35" s="1" a="1"/>
  <c r="J82" i="35" s="1"/>
  <c r="I86" i="35"/>
  <c r="J86" i="35" s="1" a="1"/>
  <c r="J86" i="35" s="1"/>
  <c r="I78" i="35"/>
  <c r="J78" i="35" s="1" a="1"/>
  <c r="J78" i="35" s="1"/>
  <c r="I81" i="35"/>
  <c r="J81" i="35" s="1" a="1"/>
  <c r="J81" i="35" s="1"/>
  <c r="I85" i="35"/>
  <c r="J85" i="35" s="1" a="1"/>
  <c r="J85" i="35" s="1"/>
  <c r="I79" i="35"/>
  <c r="J79" i="35" s="1" a="1"/>
  <c r="J79" i="35" s="1"/>
  <c r="I83" i="35"/>
  <c r="J83" i="35" s="1" a="1"/>
  <c r="J83" i="35" s="1"/>
  <c r="I87" i="35"/>
  <c r="J87" i="35" s="1" a="1"/>
  <c r="J87" i="35" s="1"/>
  <c r="I84" i="35"/>
  <c r="J84" i="35" s="1" a="1"/>
  <c r="J84" i="35" s="1"/>
  <c r="I80" i="35"/>
  <c r="J80" i="35" s="1" a="1"/>
  <c r="J80" i="35" s="1"/>
  <c r="I89" i="35"/>
  <c r="J89" i="35" s="1" a="1"/>
  <c r="J89" i="35" s="1"/>
  <c r="I31" i="35"/>
  <c r="J31" i="35" s="1" a="1"/>
  <c r="J31" i="35" s="1"/>
  <c r="I59" i="35"/>
  <c r="J59" i="35" s="1" a="1"/>
  <c r="J59" i="35" s="1"/>
  <c r="I62" i="35"/>
  <c r="J62" i="35" s="1" a="1"/>
  <c r="J62" i="35" s="1"/>
  <c r="I15" i="35"/>
  <c r="J15" i="35" s="1" a="1"/>
  <c r="J15" i="35" s="1"/>
  <c r="I48" i="35"/>
  <c r="J48" i="35" s="1" a="1"/>
  <c r="J48" i="35" s="1"/>
  <c r="I67" i="35"/>
  <c r="J67" i="35" s="1" a="1"/>
  <c r="J67" i="35" s="1"/>
  <c r="I7" i="35"/>
  <c r="J7" i="35" s="1" a="1"/>
  <c r="J7" i="35" s="1"/>
  <c r="I13" i="35"/>
  <c r="J13" i="35" s="1" a="1"/>
  <c r="J13" i="35" s="1"/>
  <c r="I38" i="35"/>
  <c r="J38" i="35" s="1" a="1"/>
  <c r="J38" i="35" s="1"/>
  <c r="I33" i="35"/>
  <c r="J33" i="35" s="1" a="1"/>
  <c r="J33" i="35" s="1"/>
  <c r="I44" i="35"/>
  <c r="J44" i="35" s="1" a="1"/>
  <c r="J44" i="35" s="1"/>
  <c r="I6" i="35"/>
  <c r="I17" i="35"/>
  <c r="J17" i="35" s="1" a="1"/>
  <c r="J17" i="35" s="1"/>
  <c r="I43" i="35"/>
  <c r="J43" i="35" s="1" a="1"/>
  <c r="J43" i="35" s="1"/>
  <c r="I9" i="35"/>
  <c r="J9" i="35" s="1" a="1"/>
  <c r="J9" i="35" s="1"/>
  <c r="I23" i="35"/>
  <c r="J23" i="35" s="1" a="1"/>
  <c r="J23" i="35" s="1"/>
  <c r="I72" i="35"/>
  <c r="J72" i="35" s="1" a="1"/>
  <c r="J72" i="35" s="1"/>
  <c r="I42" i="35"/>
  <c r="J42" i="35" s="1" a="1"/>
  <c r="J42" i="35" s="1"/>
  <c r="I34" i="35"/>
  <c r="J34" i="35" s="1" a="1"/>
  <c r="J34" i="35" s="1"/>
  <c r="I63" i="35"/>
  <c r="J63" i="35" s="1" a="1"/>
  <c r="J63" i="35" s="1"/>
  <c r="I28" i="35"/>
  <c r="J28" i="35" s="1" a="1"/>
  <c r="J28" i="35" s="1"/>
  <c r="I61" i="35"/>
  <c r="J61" i="35" s="1" a="1"/>
  <c r="J61" i="35" s="1"/>
  <c r="I45" i="35"/>
  <c r="J45" i="35" s="1" a="1"/>
  <c r="J45" i="35" s="1"/>
  <c r="I60" i="35"/>
  <c r="J60" i="35" s="1" a="1"/>
  <c r="J60" i="35" s="1"/>
  <c r="I91" i="35"/>
  <c r="J91" i="35" s="1" a="1"/>
  <c r="J91" i="35" s="1"/>
  <c r="I22" i="35"/>
  <c r="J22" i="35" s="1" a="1"/>
  <c r="J22" i="35" s="1"/>
  <c r="I57" i="35"/>
  <c r="J57" i="35" s="1" a="1"/>
  <c r="J57" i="35" s="1"/>
  <c r="I29" i="35"/>
  <c r="J29" i="35" s="1" a="1"/>
  <c r="J29" i="35" s="1"/>
  <c r="I37" i="35"/>
  <c r="J37" i="35" s="1" a="1"/>
  <c r="J37" i="35" s="1"/>
  <c r="I50" i="35"/>
  <c r="J50" i="35" s="1" a="1"/>
  <c r="J50" i="35" s="1"/>
  <c r="I53" i="35"/>
  <c r="J53" i="35" s="1" a="1"/>
  <c r="J53" i="35" s="1"/>
  <c r="I27" i="35"/>
  <c r="J27" i="35" s="1" a="1"/>
  <c r="J27" i="35" s="1"/>
  <c r="I30" i="35"/>
  <c r="J30" i="35" s="1" a="1"/>
  <c r="J30" i="35" s="1"/>
  <c r="I19" i="35"/>
  <c r="J19" i="35" s="1" a="1"/>
  <c r="J19" i="35" s="1"/>
  <c r="I77" i="35"/>
  <c r="J77" i="35" s="1" a="1"/>
  <c r="J77" i="35" s="1"/>
  <c r="I49" i="35"/>
  <c r="J49" i="35" s="1" a="1"/>
  <c r="J49" i="35" s="1"/>
  <c r="I93" i="35"/>
  <c r="J93" i="35" s="1" a="1"/>
  <c r="J93" i="35" s="1"/>
  <c r="I73" i="35"/>
  <c r="J73" i="35" s="1" a="1"/>
  <c r="J73" i="35" s="1"/>
  <c r="I39" i="35"/>
  <c r="J39" i="35" s="1" a="1"/>
  <c r="J39" i="35" s="1"/>
  <c r="I36" i="35"/>
  <c r="J36" i="35" s="1" a="1"/>
  <c r="J36" i="35" s="1"/>
  <c r="I76" i="35"/>
  <c r="J76" i="35" s="1" a="1"/>
  <c r="J76" i="35" s="1"/>
  <c r="I66" i="35"/>
  <c r="J66" i="35" s="1" a="1"/>
  <c r="J66" i="35" s="1"/>
  <c r="I25" i="35"/>
  <c r="J25" i="35" s="1" a="1"/>
  <c r="J25" i="35" s="1"/>
  <c r="I32" i="35"/>
  <c r="J32" i="35" s="1" a="1"/>
  <c r="J32" i="35" s="1"/>
  <c r="I68" i="35"/>
  <c r="J68" i="35" s="1" a="1"/>
  <c r="J68" i="35" s="1"/>
  <c r="I26" i="35"/>
  <c r="J26" i="35" s="1" a="1"/>
  <c r="J26" i="35" s="1"/>
  <c r="I21" i="35"/>
  <c r="J21" i="35" s="1" a="1"/>
  <c r="J21" i="35" s="1"/>
  <c r="I16" i="35"/>
  <c r="J16" i="35" s="1" a="1"/>
  <c r="J16" i="35" s="1"/>
  <c r="I54" i="35"/>
  <c r="J54" i="35" s="1" a="1"/>
  <c r="J54" i="35" s="1"/>
  <c r="I8" i="35"/>
  <c r="J8" i="35" s="1" a="1"/>
  <c r="J8" i="35" s="1"/>
  <c r="I65" i="35"/>
  <c r="J65" i="35" s="1" a="1"/>
  <c r="J65" i="35" s="1"/>
  <c r="I10" i="35"/>
  <c r="J10" i="35" s="1" a="1"/>
  <c r="J10" i="35" s="1"/>
  <c r="I55" i="35"/>
  <c r="J55" i="35" s="1" a="1"/>
  <c r="J55" i="35" s="1"/>
  <c r="I70" i="35"/>
  <c r="J70" i="35" s="1" a="1"/>
  <c r="J70" i="35" s="1"/>
  <c r="I71" i="35"/>
  <c r="J71" i="35" s="1" a="1"/>
  <c r="J71" i="35" s="1"/>
  <c r="I92" i="35"/>
  <c r="J92" i="35" s="1" a="1"/>
  <c r="J92" i="35" s="1"/>
  <c r="I47" i="35"/>
  <c r="J47" i="35" s="1" a="1"/>
  <c r="J47" i="35" s="1"/>
  <c r="I40" i="35"/>
  <c r="J40" i="35" s="1" a="1"/>
  <c r="J40" i="35" s="1"/>
  <c r="I35" i="35"/>
  <c r="J35" i="35" s="1" a="1"/>
  <c r="J35" i="35" s="1"/>
  <c r="I11" i="35"/>
  <c r="J11" i="35" s="1" a="1"/>
  <c r="J11" i="35" s="1"/>
  <c r="I41" i="35"/>
  <c r="J41" i="35" s="1" a="1"/>
  <c r="J41" i="35" s="1"/>
  <c r="I64" i="35"/>
  <c r="J64" i="35" s="1" a="1"/>
  <c r="J64" i="35" s="1"/>
  <c r="I24" i="35"/>
  <c r="J24" i="35" s="1" a="1"/>
  <c r="J24" i="35" s="1"/>
  <c r="I46" i="35"/>
  <c r="J46" i="35" s="1" a="1"/>
  <c r="J46" i="35" s="1"/>
  <c r="I18" i="35"/>
  <c r="J18" i="35" s="1" a="1"/>
  <c r="J18" i="35" s="1"/>
  <c r="I52" i="35"/>
  <c r="J52" i="35" s="1" a="1"/>
  <c r="J52" i="35" s="1"/>
  <c r="I14" i="35"/>
  <c r="J14" i="35" s="1" a="1"/>
  <c r="J14" i="35" s="1"/>
  <c r="I56" i="35"/>
  <c r="J56" i="35" s="1" a="1"/>
  <c r="J56" i="35" s="1"/>
  <c r="I74" i="35"/>
  <c r="J74" i="35" s="1" a="1"/>
  <c r="J74" i="35" s="1"/>
  <c r="I12" i="35"/>
  <c r="J12" i="35" s="1" a="1"/>
  <c r="J12" i="35" s="1"/>
  <c r="I20" i="35"/>
  <c r="J20" i="35" s="1" a="1"/>
  <c r="J20" i="35" s="1"/>
  <c r="I75" i="35"/>
  <c r="J75" i="35" s="1" a="1"/>
  <c r="J75" i="35" s="1"/>
  <c r="I51" i="35"/>
  <c r="J51" i="35" s="1" a="1"/>
  <c r="J51" i="35" s="1"/>
  <c r="I69" i="35"/>
  <c r="J69" i="35" s="1" a="1"/>
  <c r="J69" i="35" s="1"/>
  <c r="I7" i="39"/>
  <c r="J7" i="39" s="1" a="1"/>
  <c r="J7" i="39" s="1"/>
  <c r="I35" i="39"/>
  <c r="J35" i="39" s="1" a="1"/>
  <c r="J35" i="39" s="1"/>
  <c r="I10" i="39"/>
  <c r="J10" i="39" s="1" a="1"/>
  <c r="J10" i="39" s="1"/>
  <c r="I57" i="39"/>
  <c r="J57" i="39" s="1" a="1"/>
  <c r="J57" i="39" s="1"/>
  <c r="I16" i="39"/>
  <c r="J16" i="39" s="1" a="1"/>
  <c r="J16" i="39" s="1"/>
  <c r="I22" i="39"/>
  <c r="J22" i="39" s="1" a="1"/>
  <c r="J22" i="39" s="1"/>
  <c r="I29" i="39"/>
  <c r="J29" i="39" s="1" a="1"/>
  <c r="J29" i="39" s="1"/>
  <c r="I12" i="39"/>
  <c r="J12" i="39" s="1" a="1"/>
  <c r="J12" i="39" s="1"/>
  <c r="I59" i="39"/>
  <c r="J59" i="39" s="1" a="1"/>
  <c r="J59" i="39" s="1"/>
  <c r="I46" i="39"/>
  <c r="J46" i="39" s="1" a="1"/>
  <c r="J46" i="39" s="1"/>
  <c r="I17" i="39"/>
  <c r="J17" i="39" s="1" a="1"/>
  <c r="J17" i="39" s="1"/>
  <c r="I61" i="39"/>
  <c r="J61" i="39" s="1" a="1"/>
  <c r="J61" i="39" s="1"/>
  <c r="I19" i="39"/>
  <c r="J19" i="39" s="1" a="1"/>
  <c r="J19" i="39" s="1"/>
  <c r="I34" i="39"/>
  <c r="J34" i="39" s="1" a="1"/>
  <c r="J34" i="39" s="1"/>
  <c r="I44" i="39"/>
  <c r="J44" i="39" s="1" a="1"/>
  <c r="J44" i="39" s="1"/>
  <c r="I30" i="39"/>
  <c r="J30" i="39" s="1" a="1"/>
  <c r="J30" i="39" s="1"/>
  <c r="I58" i="39"/>
  <c r="J58" i="39" s="1" a="1"/>
  <c r="J58" i="39" s="1"/>
  <c r="I14" i="39"/>
  <c r="J14" i="39" s="1" a="1"/>
  <c r="J14" i="39" s="1"/>
  <c r="I18" i="39"/>
  <c r="J18" i="39" s="1" a="1"/>
  <c r="J18" i="39" s="1"/>
  <c r="I37" i="39"/>
  <c r="J37" i="39" s="1" a="1"/>
  <c r="J37" i="39" s="1"/>
  <c r="I42" i="39"/>
  <c r="J42" i="39" s="1" a="1"/>
  <c r="J42" i="39" s="1"/>
  <c r="I39" i="39"/>
  <c r="J39" i="39" s="1" a="1"/>
  <c r="J39" i="39" s="1"/>
  <c r="I41" i="39"/>
  <c r="J41" i="39" s="1" a="1"/>
  <c r="J41" i="39" s="1"/>
  <c r="I50" i="39"/>
  <c r="J50" i="39" s="1" a="1"/>
  <c r="J50" i="39" s="1"/>
  <c r="I52" i="39"/>
  <c r="J52" i="39" s="1" a="1"/>
  <c r="J52" i="39" s="1"/>
  <c r="I26" i="39"/>
  <c r="J26" i="39" s="1" a="1"/>
  <c r="J26" i="39" s="1"/>
  <c r="I47" i="39"/>
  <c r="J47" i="39" s="1" a="1"/>
  <c r="J47" i="39" s="1"/>
  <c r="I8" i="39"/>
  <c r="J8" i="39" s="1" a="1"/>
  <c r="J8" i="39" s="1"/>
  <c r="I20" i="39"/>
  <c r="J20" i="39" s="1" a="1"/>
  <c r="J20" i="39" s="1"/>
  <c r="I40" i="39"/>
  <c r="J40" i="39" s="1" a="1"/>
  <c r="J40" i="39" s="1"/>
  <c r="I11" i="39"/>
  <c r="J11" i="39" s="1" a="1"/>
  <c r="J11" i="39" s="1"/>
  <c r="I53" i="39"/>
  <c r="J53" i="39" s="1" a="1"/>
  <c r="J53" i="39" s="1"/>
  <c r="I55" i="39"/>
  <c r="J55" i="39" s="1" a="1"/>
  <c r="J55" i="39" s="1"/>
  <c r="I27" i="39"/>
  <c r="J27" i="39" s="1" a="1"/>
  <c r="J27" i="39" s="1"/>
  <c r="I25" i="39"/>
  <c r="J25" i="39" s="1" a="1"/>
  <c r="J25" i="39" s="1"/>
  <c r="I45" i="39"/>
  <c r="J45" i="39" s="1" a="1"/>
  <c r="J45" i="39" s="1"/>
  <c r="I62" i="39"/>
  <c r="J62" i="39" s="1" a="1"/>
  <c r="J62" i="39" s="1"/>
  <c r="I33" i="39"/>
  <c r="J33" i="39" s="1" a="1"/>
  <c r="J33" i="39" s="1"/>
  <c r="I56" i="39"/>
  <c r="J56" i="39" s="1" a="1"/>
  <c r="J56" i="39" s="1"/>
  <c r="I60" i="39"/>
  <c r="J60" i="39" s="1" a="1"/>
  <c r="J60" i="39" s="1"/>
  <c r="I28" i="39"/>
  <c r="J28" i="39" s="1" a="1"/>
  <c r="J28" i="39" s="1"/>
  <c r="I15" i="39"/>
  <c r="J15" i="39" s="1" a="1"/>
  <c r="J15" i="39" s="1"/>
  <c r="I9" i="39"/>
  <c r="J9" i="39" s="1" a="1"/>
  <c r="J9" i="39" s="1"/>
  <c r="I24" i="39"/>
  <c r="J24" i="39" s="1" a="1"/>
  <c r="J24" i="39" s="1"/>
  <c r="I51" i="39"/>
  <c r="J51" i="39" s="1" a="1"/>
  <c r="J51" i="39" s="1"/>
  <c r="I32" i="39"/>
  <c r="J32" i="39" s="1" a="1"/>
  <c r="J32" i="39" s="1"/>
  <c r="I21" i="39"/>
  <c r="J21" i="39" s="1" a="1"/>
  <c r="J21" i="39" s="1"/>
  <c r="I36" i="39"/>
  <c r="J36" i="39" s="1" a="1"/>
  <c r="J36" i="39" s="1"/>
  <c r="I38" i="39"/>
  <c r="J38" i="39" s="1" a="1"/>
  <c r="J38" i="39" s="1"/>
  <c r="I54" i="39"/>
  <c r="J54" i="39" s="1" a="1"/>
  <c r="J54" i="39" s="1"/>
  <c r="I13" i="39"/>
  <c r="J13" i="39" s="1" a="1"/>
  <c r="J13" i="39" s="1"/>
  <c r="I49" i="39"/>
  <c r="J49" i="39" s="1" a="1"/>
  <c r="J49" i="39" s="1"/>
  <c r="I23" i="39"/>
  <c r="J23" i="39" s="1" a="1"/>
  <c r="J23" i="39" s="1"/>
  <c r="I43" i="39"/>
  <c r="J43" i="39" s="1" a="1"/>
  <c r="J43" i="39" s="1"/>
  <c r="I6" i="39"/>
  <c r="I48" i="39"/>
  <c r="J48" i="39" s="1" a="1"/>
  <c r="J48" i="39" s="1"/>
  <c r="I31" i="39"/>
  <c r="J31" i="39" s="1" a="1"/>
  <c r="J31" i="39" s="1"/>
  <c r="I81" i="38"/>
  <c r="J81" i="38" s="1" a="1"/>
  <c r="J81" i="38" s="1"/>
  <c r="I41" i="38"/>
  <c r="J41" i="38" s="1" a="1"/>
  <c r="J41" i="38" s="1"/>
  <c r="I28" i="38"/>
  <c r="J28" i="38" s="1" a="1"/>
  <c r="J28" i="38" s="1"/>
  <c r="I58" i="38"/>
  <c r="J58" i="38" s="1" a="1"/>
  <c r="J58" i="38" s="1"/>
  <c r="I73" i="38"/>
  <c r="J73" i="38" s="1" a="1"/>
  <c r="J73" i="38" s="1"/>
  <c r="I9" i="38"/>
  <c r="J9" i="38" s="1" a="1"/>
  <c r="J9" i="38" s="1"/>
  <c r="I6" i="38"/>
  <c r="I67" i="38"/>
  <c r="J67" i="38" s="1" a="1"/>
  <c r="J67" i="38" s="1"/>
  <c r="I40" i="38"/>
  <c r="J40" i="38" s="1" a="1"/>
  <c r="J40" i="38" s="1"/>
  <c r="I79" i="38"/>
  <c r="J79" i="38" s="1" a="1"/>
  <c r="J79" i="38" s="1"/>
  <c r="I10" i="38"/>
  <c r="J10" i="38" s="1" a="1"/>
  <c r="J10" i="38" s="1"/>
  <c r="I12" i="38"/>
  <c r="J12" i="38" s="1" a="1"/>
  <c r="J12" i="38" s="1"/>
  <c r="I74" i="38"/>
  <c r="J74" i="38" s="1" a="1"/>
  <c r="J74" i="38" s="1"/>
  <c r="I20" i="38"/>
  <c r="J20" i="38" s="1" a="1"/>
  <c r="J20" i="38" s="1"/>
  <c r="I48" i="38"/>
  <c r="J48" i="38" s="1" a="1"/>
  <c r="J48" i="38" s="1"/>
  <c r="I31" i="38"/>
  <c r="J31" i="38" s="1" a="1"/>
  <c r="J31" i="38" s="1"/>
  <c r="I35" i="38"/>
  <c r="J35" i="38" s="1" a="1"/>
  <c r="J35" i="38" s="1"/>
  <c r="I27" i="38"/>
  <c r="J27" i="38" s="1" a="1"/>
  <c r="J27" i="38" s="1"/>
  <c r="I80" i="38"/>
  <c r="J80" i="38" s="1" a="1"/>
  <c r="J80" i="38" s="1"/>
  <c r="I63" i="38"/>
  <c r="J63" i="38" s="1" a="1"/>
  <c r="J63" i="38" s="1"/>
  <c r="I57" i="38"/>
  <c r="J57" i="38" s="1" a="1"/>
  <c r="J57" i="38" s="1"/>
  <c r="I15" i="38"/>
  <c r="J15" i="38" s="1" a="1"/>
  <c r="J15" i="38" s="1"/>
  <c r="I34" i="38"/>
  <c r="J34" i="38" s="1" a="1"/>
  <c r="J34" i="38" s="1"/>
  <c r="I52" i="38"/>
  <c r="J52" i="38" s="1" a="1"/>
  <c r="J52" i="38" s="1"/>
  <c r="I59" i="38"/>
  <c r="J59" i="38" s="1" a="1"/>
  <c r="J59" i="38" s="1"/>
  <c r="I17" i="38"/>
  <c r="J17" i="38" s="1" a="1"/>
  <c r="J17" i="38" s="1"/>
  <c r="I51" i="38"/>
  <c r="J51" i="38" s="1" a="1"/>
  <c r="J51" i="38" s="1"/>
  <c r="I60" i="38"/>
  <c r="J60" i="38" s="1" a="1"/>
  <c r="J60" i="38" s="1"/>
  <c r="I22" i="38"/>
  <c r="J22" i="38" s="1" a="1"/>
  <c r="J22" i="38" s="1"/>
  <c r="I36" i="38"/>
  <c r="J36" i="38" s="1" a="1"/>
  <c r="J36" i="38" s="1"/>
  <c r="I24" i="38"/>
  <c r="J24" i="38" s="1" a="1"/>
  <c r="J24" i="38" s="1"/>
  <c r="I37" i="38"/>
  <c r="J37" i="38" s="1" a="1"/>
  <c r="J37" i="38" s="1"/>
  <c r="I18" i="38"/>
  <c r="J18" i="38" s="1" a="1"/>
  <c r="J18" i="38" s="1"/>
  <c r="I65" i="38"/>
  <c r="J65" i="38" s="1" a="1"/>
  <c r="J65" i="38" s="1"/>
  <c r="I21" i="38"/>
  <c r="J21" i="38" s="1" a="1"/>
  <c r="J21" i="38" s="1"/>
  <c r="I64" i="38"/>
  <c r="J64" i="38" s="1" a="1"/>
  <c r="J64" i="38" s="1"/>
  <c r="I14" i="38"/>
  <c r="J14" i="38" s="1" a="1"/>
  <c r="J14" i="38" s="1"/>
  <c r="I26" i="38"/>
  <c r="J26" i="38" s="1" a="1"/>
  <c r="J26" i="38" s="1"/>
  <c r="I11" i="38"/>
  <c r="J11" i="38" s="1" a="1"/>
  <c r="J11" i="38" s="1"/>
  <c r="I44" i="38"/>
  <c r="J44" i="38" s="1" a="1"/>
  <c r="J44" i="38" s="1"/>
  <c r="I42" i="38"/>
  <c r="J42" i="38" s="1" a="1"/>
  <c r="J42" i="38" s="1"/>
  <c r="I68" i="38"/>
  <c r="J68" i="38" s="1" a="1"/>
  <c r="J68" i="38" s="1"/>
  <c r="I78" i="38"/>
  <c r="J78" i="38" s="1" a="1"/>
  <c r="J78" i="38" s="1"/>
  <c r="I7" i="38"/>
  <c r="J7" i="38" s="1" a="1"/>
  <c r="J7" i="38" s="1"/>
  <c r="I30" i="38"/>
  <c r="J30" i="38" s="1" a="1"/>
  <c r="J30" i="38" s="1"/>
  <c r="I53" i="38"/>
  <c r="J53" i="38" s="1" a="1"/>
  <c r="J53" i="38" s="1"/>
  <c r="I69" i="38"/>
  <c r="J69" i="38" s="1" a="1"/>
  <c r="J69" i="38" s="1"/>
  <c r="I56" i="38"/>
  <c r="J56" i="38" s="1" a="1"/>
  <c r="J56" i="38" s="1"/>
  <c r="I13" i="38"/>
  <c r="J13" i="38" s="1" a="1"/>
  <c r="J13" i="38" s="1"/>
  <c r="I16" i="38"/>
  <c r="J16" i="38" s="1" a="1"/>
  <c r="J16" i="38" s="1"/>
  <c r="I32" i="38"/>
  <c r="J32" i="38" s="1" a="1"/>
  <c r="J32" i="38" s="1"/>
  <c r="I54" i="38"/>
  <c r="J54" i="38" s="1" a="1"/>
  <c r="J54" i="38" s="1"/>
  <c r="I66" i="38"/>
  <c r="J66" i="38" s="1" a="1"/>
  <c r="J66" i="38" s="1"/>
  <c r="I39" i="38"/>
  <c r="J39" i="38" s="1" a="1"/>
  <c r="J39" i="38" s="1"/>
  <c r="I49" i="38"/>
  <c r="J49" i="38" s="1" a="1"/>
  <c r="J49" i="38" s="1"/>
  <c r="I61" i="38"/>
  <c r="J61" i="38" s="1" a="1"/>
  <c r="J61" i="38" s="1"/>
  <c r="I29" i="38"/>
  <c r="J29" i="38" s="1" a="1"/>
  <c r="J29" i="38" s="1"/>
  <c r="I50" i="38"/>
  <c r="J50" i="38" s="1" a="1"/>
  <c r="J50" i="38" s="1"/>
  <c r="I33" i="38"/>
  <c r="J33" i="38" s="1" a="1"/>
  <c r="J33" i="38" s="1"/>
  <c r="I77" i="38"/>
  <c r="J77" i="38" s="1" a="1"/>
  <c r="J77" i="38" s="1"/>
  <c r="I46" i="38"/>
  <c r="J46" i="38" s="1" a="1"/>
  <c r="J46" i="38" s="1"/>
  <c r="I82" i="38"/>
  <c r="J82" i="38" s="1" a="1"/>
  <c r="J82" i="38" s="1"/>
  <c r="I62" i="38"/>
  <c r="J62" i="38" s="1" a="1"/>
  <c r="J62" i="38" s="1"/>
  <c r="I76" i="38"/>
  <c r="J76" i="38" s="1" a="1"/>
  <c r="J76" i="38" s="1"/>
  <c r="I19" i="38"/>
  <c r="J19" i="38" s="1" a="1"/>
  <c r="J19" i="38" s="1"/>
  <c r="I25" i="38"/>
  <c r="J25" i="38" s="1" a="1"/>
  <c r="J25" i="38" s="1"/>
  <c r="I47" i="38"/>
  <c r="J47" i="38" s="1" a="1"/>
  <c r="J47" i="38" s="1"/>
  <c r="I38" i="38"/>
  <c r="J38" i="38" s="1" a="1"/>
  <c r="J38" i="38" s="1"/>
  <c r="I23" i="38"/>
  <c r="J23" i="38" s="1" a="1"/>
  <c r="J23" i="38" s="1"/>
  <c r="I43" i="38"/>
  <c r="J43" i="38" s="1" a="1"/>
  <c r="J43" i="38" s="1"/>
  <c r="I45" i="38"/>
  <c r="J45" i="38" s="1" a="1"/>
  <c r="J45" i="38" s="1"/>
  <c r="I70" i="38"/>
  <c r="J70" i="38" s="1" a="1"/>
  <c r="J70" i="38" s="1"/>
  <c r="I75" i="38"/>
  <c r="J75" i="38" s="1" a="1"/>
  <c r="J75" i="38" s="1"/>
  <c r="I55" i="38"/>
  <c r="J55" i="38" s="1" a="1"/>
  <c r="J55" i="38" s="1"/>
  <c r="I8" i="38"/>
  <c r="J8" i="38" s="1" a="1"/>
  <c r="J8" i="38" s="1"/>
  <c r="I71" i="38"/>
  <c r="J71" i="38" s="1" a="1"/>
  <c r="J71" i="38" s="1"/>
  <c r="I72" i="38"/>
  <c r="J72" i="38" s="1" a="1"/>
  <c r="J72" i="38" s="1"/>
  <c r="I7" i="36"/>
  <c r="I43" i="36"/>
  <c r="J43" i="36" s="1" a="1"/>
  <c r="J43" i="36" s="1"/>
  <c r="I14" i="36"/>
  <c r="J14" i="36" s="1" a="1"/>
  <c r="J14" i="36" s="1"/>
  <c r="I9" i="36"/>
  <c r="J9" i="36" s="1" a="1"/>
  <c r="J9" i="36" s="1"/>
  <c r="I96" i="36"/>
  <c r="J96" i="36" s="1" a="1"/>
  <c r="J96" i="36" s="1"/>
  <c r="I18" i="36"/>
  <c r="J18" i="36" s="1" a="1"/>
  <c r="J18" i="36" s="1"/>
  <c r="I79" i="36"/>
  <c r="J79" i="36" s="1" a="1"/>
  <c r="J79" i="36" s="1"/>
  <c r="I83" i="36"/>
  <c r="J83" i="36" s="1" a="1"/>
  <c r="J83" i="36" s="1"/>
  <c r="I58" i="36"/>
  <c r="J58" i="36" s="1" a="1"/>
  <c r="J58" i="36" s="1"/>
  <c r="I62" i="36"/>
  <c r="J62" i="36" s="1" a="1"/>
  <c r="J62" i="36" s="1"/>
  <c r="I25" i="36"/>
  <c r="J25" i="36" s="1" a="1"/>
  <c r="J25" i="36" s="1"/>
  <c r="I31" i="36"/>
  <c r="J31" i="36" s="1" a="1"/>
  <c r="J31" i="36" s="1"/>
  <c r="I86" i="36"/>
  <c r="J86" i="36" s="1" a="1"/>
  <c r="J86" i="36" s="1"/>
  <c r="I12" i="36"/>
  <c r="J12" i="36" s="1" a="1"/>
  <c r="J12" i="36" s="1"/>
  <c r="I47" i="36"/>
  <c r="J47" i="36" s="1" a="1"/>
  <c r="J47" i="36" s="1"/>
  <c r="I28" i="36"/>
  <c r="J28" i="36" s="1" a="1"/>
  <c r="J28" i="36" s="1"/>
  <c r="I55" i="36"/>
  <c r="J55" i="36" s="1" a="1"/>
  <c r="J55" i="36" s="1"/>
  <c r="I89" i="36"/>
  <c r="J89" i="36" s="1" a="1"/>
  <c r="J89" i="36" s="1"/>
  <c r="I13" i="36"/>
  <c r="J13" i="36" s="1" a="1"/>
  <c r="J13" i="36" s="1"/>
  <c r="I50" i="36"/>
  <c r="J50" i="36" s="1" a="1"/>
  <c r="J50" i="36" s="1"/>
  <c r="I11" i="36"/>
  <c r="J11" i="36" s="1" a="1"/>
  <c r="J11" i="36" s="1"/>
  <c r="I66" i="36"/>
  <c r="J66" i="36" s="1" a="1"/>
  <c r="J66" i="36" s="1"/>
  <c r="I35" i="36"/>
  <c r="J35" i="36" s="1" a="1"/>
  <c r="J35" i="36" s="1"/>
  <c r="I82" i="36"/>
  <c r="J82" i="36" s="1" a="1"/>
  <c r="J82" i="36" s="1"/>
  <c r="I53" i="36"/>
  <c r="J53" i="36" s="1" a="1"/>
  <c r="J53" i="36" s="1"/>
  <c r="I68" i="36"/>
  <c r="J68" i="36" s="1" a="1"/>
  <c r="J68" i="36" s="1"/>
  <c r="I70" i="36"/>
  <c r="J70" i="36" s="1" a="1"/>
  <c r="J70" i="36" s="1"/>
  <c r="I67" i="36"/>
  <c r="J67" i="36" s="1" a="1"/>
  <c r="J67" i="36" s="1"/>
  <c r="I33" i="36"/>
  <c r="J33" i="36" s="1" a="1"/>
  <c r="J33" i="36" s="1"/>
  <c r="I61" i="36"/>
  <c r="J61" i="36" s="1" a="1"/>
  <c r="J61" i="36" s="1"/>
  <c r="I63" i="36"/>
  <c r="J63" i="36" s="1" a="1"/>
  <c r="J63" i="36" s="1"/>
  <c r="I17" i="36"/>
  <c r="J17" i="36" s="1" a="1"/>
  <c r="J17" i="36" s="1"/>
  <c r="I22" i="36"/>
  <c r="J22" i="36" s="1" a="1"/>
  <c r="J22" i="36" s="1"/>
  <c r="I34" i="36"/>
  <c r="J34" i="36" s="1" a="1"/>
  <c r="J34" i="36" s="1"/>
  <c r="I6" i="36"/>
  <c r="J6" i="36" s="1" a="1"/>
  <c r="J6" i="36" s="1"/>
  <c r="I71" i="36"/>
  <c r="J71" i="36" s="1" a="1"/>
  <c r="J71" i="36" s="1"/>
  <c r="I74" i="36"/>
  <c r="J74" i="36" s="1" a="1"/>
  <c r="J74" i="36" s="1"/>
  <c r="I38" i="36"/>
  <c r="J38" i="36" s="1" a="1"/>
  <c r="J38" i="36" s="1"/>
  <c r="I51" i="36"/>
  <c r="J51" i="36" s="1" a="1"/>
  <c r="J51" i="36" s="1"/>
  <c r="I41" i="36"/>
  <c r="J41" i="36" s="1" a="1"/>
  <c r="J41" i="36" s="1"/>
  <c r="I75" i="36"/>
  <c r="J75" i="36" s="1" a="1"/>
  <c r="J75" i="36" s="1"/>
  <c r="I23" i="36"/>
  <c r="J23" i="36" s="1" a="1"/>
  <c r="J23" i="36" s="1"/>
  <c r="I59" i="36"/>
  <c r="J59" i="36" s="1" a="1"/>
  <c r="J59" i="36" s="1"/>
  <c r="I69" i="36"/>
  <c r="J69" i="36" s="1" a="1"/>
  <c r="J69" i="36" s="1"/>
  <c r="I19" i="36"/>
  <c r="J19" i="36" s="1" a="1"/>
  <c r="J19" i="36" s="1"/>
  <c r="I60" i="36"/>
  <c r="J60" i="36" s="1" a="1"/>
  <c r="J60" i="36" s="1"/>
  <c r="I45" i="36"/>
  <c r="J45" i="36" s="1" a="1"/>
  <c r="J45" i="36" s="1"/>
  <c r="I46" i="36"/>
  <c r="J46" i="36" s="1" a="1"/>
  <c r="J46" i="36" s="1"/>
  <c r="I26" i="36"/>
  <c r="J26" i="36" s="1" a="1"/>
  <c r="J26" i="36" s="1"/>
  <c r="I64" i="36"/>
  <c r="J64" i="36" s="1" a="1"/>
  <c r="J64" i="36" s="1"/>
  <c r="I49" i="36"/>
  <c r="J49" i="36" s="1" a="1"/>
  <c r="J49" i="36" s="1"/>
  <c r="I42" i="36"/>
  <c r="J42" i="36" s="1" a="1"/>
  <c r="J42" i="36" s="1"/>
  <c r="I24" i="36"/>
  <c r="J24" i="36" s="1" a="1"/>
  <c r="J24" i="36" s="1"/>
  <c r="I73" i="36"/>
  <c r="J73" i="36" s="1" a="1"/>
  <c r="J73" i="36" s="1"/>
  <c r="I54" i="36"/>
  <c r="J54" i="36" s="1" a="1"/>
  <c r="J54" i="36" s="1"/>
  <c r="I56" i="36"/>
  <c r="J56" i="36" s="1" a="1"/>
  <c r="J56" i="36" s="1"/>
  <c r="I44" i="36"/>
  <c r="J44" i="36" s="1" a="1"/>
  <c r="J44" i="36" s="1"/>
  <c r="I81" i="36"/>
  <c r="J81" i="36" s="1" a="1"/>
  <c r="J81" i="36" s="1"/>
  <c r="I57" i="36"/>
  <c r="J57" i="36" s="1" a="1"/>
  <c r="J57" i="36" s="1"/>
  <c r="I90" i="36"/>
  <c r="J90" i="36" s="1" a="1"/>
  <c r="J90" i="36" s="1"/>
  <c r="I92" i="36"/>
  <c r="J92" i="36" s="1" a="1"/>
  <c r="J92" i="36" s="1"/>
  <c r="I39" i="36"/>
  <c r="J39" i="36" s="1" a="1"/>
  <c r="J39" i="36" s="1"/>
  <c r="I91" i="36"/>
  <c r="J91" i="36" s="1" a="1"/>
  <c r="J91" i="36" s="1"/>
  <c r="I77" i="36"/>
  <c r="J77" i="36" s="1" a="1"/>
  <c r="J77" i="36" s="1"/>
  <c r="I97" i="36"/>
  <c r="J97" i="36" s="1" a="1"/>
  <c r="J97" i="36" s="1"/>
  <c r="I95" i="36"/>
  <c r="J95" i="36" s="1" a="1"/>
  <c r="J95" i="36" s="1"/>
  <c r="I20" i="36"/>
  <c r="J20" i="36" s="1" a="1"/>
  <c r="J20" i="36" s="1"/>
  <c r="I27" i="36"/>
  <c r="J27" i="36" s="1" a="1"/>
  <c r="J27" i="36" s="1"/>
  <c r="I94" i="36"/>
  <c r="J94" i="36" s="1" a="1"/>
  <c r="J94" i="36" s="1"/>
  <c r="I30" i="36"/>
  <c r="J30" i="36" s="1" a="1"/>
  <c r="J30" i="36" s="1"/>
  <c r="I10" i="36"/>
  <c r="J10" i="36" s="1" a="1"/>
  <c r="J10" i="36" s="1"/>
  <c r="I84" i="36"/>
  <c r="J84" i="36" s="1" a="1"/>
  <c r="J84" i="36" s="1"/>
  <c r="I80" i="36"/>
  <c r="J80" i="36" s="1" a="1"/>
  <c r="J80" i="36" s="1"/>
  <c r="I48" i="36"/>
  <c r="J48" i="36" s="1" a="1"/>
  <c r="J48" i="36" s="1"/>
  <c r="I98" i="36"/>
  <c r="J98" i="36" s="1" a="1"/>
  <c r="J98" i="36" s="1"/>
  <c r="I72" i="36"/>
  <c r="J72" i="36" s="1" a="1"/>
  <c r="J72" i="36" s="1"/>
  <c r="I36" i="36"/>
  <c r="J36" i="36" s="1" a="1"/>
  <c r="J36" i="36" s="1"/>
  <c r="I21" i="36"/>
  <c r="J21" i="36" s="1" a="1"/>
  <c r="J21" i="36" s="1"/>
  <c r="I87" i="36"/>
  <c r="J87" i="36" s="1" a="1"/>
  <c r="J87" i="36" s="1"/>
  <c r="I32" i="36"/>
  <c r="J32" i="36" s="1" a="1"/>
  <c r="J32" i="36" s="1"/>
  <c r="I16" i="36"/>
  <c r="J16" i="36" s="1" a="1"/>
  <c r="J16" i="36" s="1"/>
  <c r="I85" i="36"/>
  <c r="J85" i="36" s="1" a="1"/>
  <c r="J85" i="36" s="1"/>
  <c r="I37" i="36"/>
  <c r="J37" i="36" s="1" a="1"/>
  <c r="J37" i="36" s="1"/>
  <c r="I15" i="36"/>
  <c r="J15" i="36" s="1" a="1"/>
  <c r="J15" i="36" s="1"/>
  <c r="I88" i="36"/>
  <c r="J88" i="36" s="1" a="1"/>
  <c r="J88" i="36" s="1"/>
  <c r="I8" i="36"/>
  <c r="J8" i="36" s="1" a="1"/>
  <c r="J8" i="36" s="1"/>
  <c r="I65" i="36"/>
  <c r="J65" i="36" s="1" a="1"/>
  <c r="J65" i="36" s="1"/>
  <c r="I76" i="36"/>
  <c r="J76" i="36" s="1" a="1"/>
  <c r="J76" i="36" s="1"/>
  <c r="I78" i="36"/>
  <c r="J78" i="36" s="1" a="1"/>
  <c r="J78" i="36" s="1"/>
  <c r="I29" i="36"/>
  <c r="J29" i="36" s="1" a="1"/>
  <c r="J29" i="36" s="1"/>
  <c r="I40" i="36"/>
  <c r="J40" i="36" s="1" a="1"/>
  <c r="J40" i="36" s="1"/>
  <c r="I93" i="36"/>
  <c r="J93" i="36" s="1" a="1"/>
  <c r="J93" i="36" s="1"/>
  <c r="I52" i="36"/>
  <c r="J52" i="36" s="1" a="1"/>
  <c r="J52" i="36" s="1"/>
  <c r="I57" i="37"/>
  <c r="J57" i="37" s="1" a="1"/>
  <c r="J57" i="37" s="1"/>
  <c r="I48" i="37"/>
  <c r="J48" i="37" s="1" a="1"/>
  <c r="J48" i="37" s="1"/>
  <c r="I61" i="37"/>
  <c r="J61" i="37" s="1" a="1"/>
  <c r="J61" i="37" s="1"/>
  <c r="I45" i="37"/>
  <c r="J45" i="37" s="1" a="1"/>
  <c r="J45" i="37" s="1"/>
  <c r="I86" i="37"/>
  <c r="J86" i="37" s="1" a="1"/>
  <c r="J86" i="37" s="1"/>
  <c r="I65" i="37"/>
  <c r="J65" i="37" s="1" a="1"/>
  <c r="J65" i="37" s="1"/>
  <c r="I9" i="37"/>
  <c r="J9" i="37" s="1" a="1"/>
  <c r="J9" i="37" s="1"/>
  <c r="I42" i="37"/>
  <c r="J42" i="37" s="1" a="1"/>
  <c r="J42" i="37" s="1"/>
  <c r="I78" i="37"/>
  <c r="J78" i="37" s="1" a="1"/>
  <c r="J78" i="37" s="1"/>
  <c r="I52" i="37"/>
  <c r="J52" i="37" s="1" a="1"/>
  <c r="J52" i="37" s="1"/>
  <c r="I55" i="37"/>
  <c r="J55" i="37" s="1" a="1"/>
  <c r="J55" i="37" s="1"/>
  <c r="I81" i="37"/>
  <c r="J81" i="37" s="1" a="1"/>
  <c r="J81" i="37" s="1"/>
  <c r="I41" i="37"/>
  <c r="J41" i="37" s="1" a="1"/>
  <c r="J41" i="37" s="1"/>
  <c r="I34" i="37"/>
  <c r="J34" i="37" s="1" a="1"/>
  <c r="J34" i="37" s="1"/>
  <c r="I56" i="37"/>
  <c r="J56" i="37" s="1" a="1"/>
  <c r="J56" i="37" s="1"/>
  <c r="I72" i="37"/>
  <c r="J72" i="37" s="1" a="1"/>
  <c r="J72" i="37" s="1"/>
  <c r="I92" i="37"/>
  <c r="J92" i="37" s="1" a="1"/>
  <c r="J92" i="37" s="1"/>
  <c r="I66" i="37"/>
  <c r="J66" i="37" s="1" a="1"/>
  <c r="J66" i="37" s="1"/>
  <c r="I22" i="37"/>
  <c r="J22" i="37" s="1" a="1"/>
  <c r="J22" i="37" s="1"/>
  <c r="I85" i="37"/>
  <c r="J85" i="37" s="1" a="1"/>
  <c r="J85" i="37" s="1"/>
  <c r="I88" i="37"/>
  <c r="J88" i="37" s="1" a="1"/>
  <c r="J88" i="37" s="1"/>
  <c r="I77" i="37"/>
  <c r="J77" i="37" s="1" a="1"/>
  <c r="J77" i="37" s="1"/>
  <c r="I75" i="37"/>
  <c r="J75" i="37" s="1" a="1"/>
  <c r="J75" i="37" s="1"/>
  <c r="I80" i="37"/>
  <c r="J80" i="37" s="1" a="1"/>
  <c r="J80" i="37" s="1"/>
  <c r="I14" i="37"/>
  <c r="J14" i="37" s="1" a="1"/>
  <c r="J14" i="37" s="1"/>
  <c r="I60" i="37"/>
  <c r="J60" i="37" s="1" a="1"/>
  <c r="J60" i="37" s="1"/>
  <c r="I67" i="37"/>
  <c r="J67" i="37" s="1" a="1"/>
  <c r="J67" i="37" s="1"/>
  <c r="I16" i="37"/>
  <c r="J16" i="37" s="1" a="1"/>
  <c r="J16" i="37" s="1"/>
  <c r="I25" i="37"/>
  <c r="J25" i="37" s="1" a="1"/>
  <c r="J25" i="37" s="1"/>
  <c r="I31" i="37"/>
  <c r="J31" i="37" s="1" a="1"/>
  <c r="J31" i="37" s="1"/>
  <c r="I62" i="37"/>
  <c r="J62" i="37" s="1" a="1"/>
  <c r="J62" i="37" s="1"/>
  <c r="I64" i="37"/>
  <c r="J64" i="37" s="1" a="1"/>
  <c r="J64" i="37" s="1"/>
  <c r="I30" i="37"/>
  <c r="J30" i="37" s="1" a="1"/>
  <c r="J30" i="37" s="1"/>
  <c r="I26" i="37"/>
  <c r="J26" i="37" s="1" a="1"/>
  <c r="J26" i="37" s="1"/>
  <c r="I90" i="37"/>
  <c r="J90" i="37" s="1" a="1"/>
  <c r="J90" i="37" s="1"/>
  <c r="I87" i="37"/>
  <c r="J87" i="37" s="1" a="1"/>
  <c r="J87" i="37" s="1"/>
  <c r="I38" i="37"/>
  <c r="J38" i="37" s="1" a="1"/>
  <c r="J38" i="37" s="1"/>
  <c r="I84" i="37"/>
  <c r="J84" i="37" s="1" a="1"/>
  <c r="J84" i="37" s="1"/>
  <c r="I94" i="37"/>
  <c r="J94" i="37" s="1" a="1"/>
  <c r="J94" i="37" s="1"/>
  <c r="I76" i="37"/>
  <c r="J76" i="37" s="1" a="1"/>
  <c r="J76" i="37" s="1"/>
  <c r="I46" i="37"/>
  <c r="J46" i="37" s="1" a="1"/>
  <c r="J46" i="37" s="1"/>
  <c r="I7" i="37"/>
  <c r="J7" i="37" s="1" a="1"/>
  <c r="J7" i="37" s="1"/>
  <c r="I12" i="37"/>
  <c r="J12" i="37" s="1" a="1"/>
  <c r="J12" i="37" s="1"/>
  <c r="I19" i="37"/>
  <c r="J19" i="37" s="1" a="1"/>
  <c r="J19" i="37" s="1"/>
  <c r="I50" i="37"/>
  <c r="J50" i="37" s="1" a="1"/>
  <c r="J50" i="37" s="1"/>
  <c r="I24" i="37"/>
  <c r="J24" i="37" s="1" a="1"/>
  <c r="J24" i="37" s="1"/>
  <c r="I70" i="37"/>
  <c r="J70" i="37" s="1" a="1"/>
  <c r="J70" i="37" s="1"/>
  <c r="I93" i="37"/>
  <c r="J93" i="37" s="1" a="1"/>
  <c r="J93" i="37" s="1"/>
  <c r="I10" i="37"/>
  <c r="J10" i="37" s="1" a="1"/>
  <c r="J10" i="37" s="1"/>
  <c r="I58" i="37"/>
  <c r="J58" i="37" s="1" a="1"/>
  <c r="J58" i="37" s="1"/>
  <c r="I18" i="37"/>
  <c r="J18" i="37" s="1" a="1"/>
  <c r="J18" i="37" s="1"/>
  <c r="I6" i="37"/>
  <c r="I35" i="37"/>
  <c r="J35" i="37" s="1" a="1"/>
  <c r="J35" i="37" s="1"/>
  <c r="I51" i="37"/>
  <c r="J51" i="37" s="1" a="1"/>
  <c r="J51" i="37" s="1"/>
  <c r="I69" i="37"/>
  <c r="J69" i="37" s="1" a="1"/>
  <c r="J69" i="37" s="1"/>
  <c r="I83" i="37"/>
  <c r="J83" i="37" s="1" a="1"/>
  <c r="J83" i="37" s="1"/>
  <c r="I97" i="37"/>
  <c r="J97" i="37" s="1" a="1"/>
  <c r="J97" i="37" s="1"/>
  <c r="I21" i="37"/>
  <c r="J21" i="37" s="1" a="1"/>
  <c r="J21" i="37" s="1"/>
  <c r="I15" i="37"/>
  <c r="J15" i="37" s="1" a="1"/>
  <c r="J15" i="37" s="1"/>
  <c r="I44" i="37"/>
  <c r="J44" i="37" s="1" a="1"/>
  <c r="J44" i="37" s="1"/>
  <c r="I23" i="37"/>
  <c r="J23" i="37" s="1" a="1"/>
  <c r="J23" i="37" s="1"/>
  <c r="I73" i="37"/>
  <c r="J73" i="37" s="1" a="1"/>
  <c r="J73" i="37" s="1"/>
  <c r="I40" i="37"/>
  <c r="J40" i="37" s="1" a="1"/>
  <c r="J40" i="37" s="1"/>
  <c r="I95" i="37"/>
  <c r="J95" i="37" s="1" a="1"/>
  <c r="J95" i="37" s="1"/>
  <c r="I96" i="37"/>
  <c r="J96" i="37" s="1" a="1"/>
  <c r="J96" i="37" s="1"/>
  <c r="I27" i="37"/>
  <c r="J27" i="37" s="1" a="1"/>
  <c r="J27" i="37" s="1"/>
  <c r="I82" i="37"/>
  <c r="J82" i="37" s="1" a="1"/>
  <c r="J82" i="37" s="1"/>
  <c r="I49" i="37"/>
  <c r="J49" i="37" s="1" a="1"/>
  <c r="J49" i="37" s="1"/>
  <c r="I68" i="37"/>
  <c r="J68" i="37" s="1" a="1"/>
  <c r="J68" i="37" s="1"/>
  <c r="I13" i="37"/>
  <c r="J13" i="37" s="1" a="1"/>
  <c r="J13" i="37" s="1"/>
  <c r="I63" i="37"/>
  <c r="J63" i="37" s="1" a="1"/>
  <c r="J63" i="37" s="1"/>
  <c r="I37" i="37"/>
  <c r="J37" i="37" s="1" a="1"/>
  <c r="J37" i="37" s="1"/>
  <c r="I71" i="37"/>
  <c r="J71" i="37" s="1" a="1"/>
  <c r="J71" i="37" s="1"/>
  <c r="I32" i="37"/>
  <c r="J32" i="37" s="1" a="1"/>
  <c r="J32" i="37" s="1"/>
  <c r="I39" i="37"/>
  <c r="J39" i="37" s="1" a="1"/>
  <c r="J39" i="37" s="1"/>
  <c r="I47" i="37"/>
  <c r="J47" i="37" s="1" a="1"/>
  <c r="J47" i="37" s="1"/>
  <c r="I91" i="37"/>
  <c r="J91" i="37" s="1" a="1"/>
  <c r="J91" i="37" s="1"/>
  <c r="I89" i="37"/>
  <c r="J89" i="37" s="1" a="1"/>
  <c r="J89" i="37" s="1"/>
  <c r="I79" i="37"/>
  <c r="J79" i="37" s="1" a="1"/>
  <c r="J79" i="37" s="1"/>
  <c r="I29" i="37"/>
  <c r="J29" i="37" s="1" a="1"/>
  <c r="J29" i="37" s="1"/>
  <c r="I17" i="37"/>
  <c r="J17" i="37" s="1" a="1"/>
  <c r="J17" i="37" s="1"/>
  <c r="I74" i="37"/>
  <c r="J74" i="37" s="1" a="1"/>
  <c r="J74" i="37" s="1"/>
  <c r="I53" i="37"/>
  <c r="J53" i="37" s="1" a="1"/>
  <c r="J53" i="37" s="1"/>
  <c r="I43" i="37"/>
  <c r="J43" i="37" s="1" a="1"/>
  <c r="J43" i="37" s="1"/>
  <c r="I36" i="37"/>
  <c r="J36" i="37" s="1" a="1"/>
  <c r="J36" i="37" s="1"/>
  <c r="I8" i="37"/>
  <c r="J8" i="37" s="1" a="1"/>
  <c r="J8" i="37" s="1"/>
  <c r="I54" i="37"/>
  <c r="J54" i="37" s="1" a="1"/>
  <c r="J54" i="37" s="1"/>
  <c r="I20" i="37"/>
  <c r="J20" i="37" s="1" a="1"/>
  <c r="J20" i="37" s="1"/>
  <c r="I11" i="37"/>
  <c r="J11" i="37" s="1" a="1"/>
  <c r="J11" i="37" s="1"/>
  <c r="I59" i="37"/>
  <c r="J59" i="37" s="1" a="1"/>
  <c r="J59" i="37" s="1"/>
  <c r="I28" i="37"/>
  <c r="J28" i="37" s="1" a="1"/>
  <c r="J28" i="37" s="1"/>
  <c r="I33" i="37"/>
  <c r="J33" i="37" s="1" a="1"/>
  <c r="J33" i="37" s="1"/>
  <c r="I96" i="34"/>
  <c r="J96" i="34" s="1" a="1"/>
  <c r="J96" i="34" s="1"/>
  <c r="I37" i="34"/>
  <c r="J37" i="34" s="1" a="1"/>
  <c r="J37" i="34" s="1"/>
  <c r="I72" i="34"/>
  <c r="J72" i="34" s="1" a="1"/>
  <c r="J72" i="34" s="1"/>
  <c r="I76" i="34"/>
  <c r="J76" i="34" s="1" a="1"/>
  <c r="J76" i="34" s="1"/>
  <c r="I82" i="34"/>
  <c r="J82" i="34" s="1" a="1"/>
  <c r="J82" i="34" s="1"/>
  <c r="I92" i="34"/>
  <c r="J92" i="34" s="1" a="1"/>
  <c r="J92" i="34" s="1"/>
  <c r="I21" i="34"/>
  <c r="J21" i="34" s="1" a="1"/>
  <c r="J21" i="34" s="1"/>
  <c r="I50" i="34"/>
  <c r="J50" i="34" s="1" a="1"/>
  <c r="J50" i="34" s="1"/>
  <c r="I35" i="34"/>
  <c r="J35" i="34" s="1" a="1"/>
  <c r="J35" i="34" s="1"/>
  <c r="I69" i="34"/>
  <c r="J69" i="34" s="1" a="1"/>
  <c r="J69" i="34" s="1"/>
  <c r="I84" i="34"/>
  <c r="J84" i="34" s="1" a="1"/>
  <c r="J84" i="34" s="1"/>
  <c r="I53" i="34"/>
  <c r="J53" i="34" s="1" a="1"/>
  <c r="J53" i="34" s="1"/>
  <c r="I79" i="34"/>
  <c r="J79" i="34" s="1" a="1"/>
  <c r="J79" i="34" s="1"/>
  <c r="I24" i="34"/>
  <c r="J24" i="34" s="1" a="1"/>
  <c r="J24" i="34" s="1"/>
  <c r="I40" i="34"/>
  <c r="J40" i="34" s="1" a="1"/>
  <c r="J40" i="34" s="1"/>
  <c r="I65" i="34"/>
  <c r="J65" i="34" s="1" a="1"/>
  <c r="J65" i="34" s="1"/>
  <c r="I73" i="34"/>
  <c r="J73" i="34" s="1" a="1"/>
  <c r="J73" i="34" s="1"/>
  <c r="I42" i="34"/>
  <c r="J42" i="34" s="1" a="1"/>
  <c r="J42" i="34" s="1"/>
  <c r="I90" i="34"/>
  <c r="J90" i="34" s="1" a="1"/>
  <c r="J90" i="34" s="1"/>
  <c r="I38" i="34"/>
  <c r="J38" i="34" s="1" a="1"/>
  <c r="J38" i="34" s="1"/>
  <c r="I54" i="34"/>
  <c r="J54" i="34" s="1" a="1"/>
  <c r="J54" i="34" s="1"/>
  <c r="I80" i="34"/>
  <c r="J80" i="34" s="1" a="1"/>
  <c r="J80" i="34" s="1"/>
  <c r="Q6" i="35"/>
  <c r="I17" i="34"/>
  <c r="J17" i="34" s="1" a="1"/>
  <c r="J17" i="34" s="1"/>
  <c r="I81" i="34"/>
  <c r="J81" i="34" s="1" a="1"/>
  <c r="J81" i="34" s="1"/>
  <c r="I47" i="34"/>
  <c r="J47" i="34" s="1" a="1"/>
  <c r="J47" i="34" s="1"/>
  <c r="I20" i="34"/>
  <c r="J20" i="34" s="1" a="1"/>
  <c r="J20" i="34" s="1"/>
  <c r="I41" i="34"/>
  <c r="J41" i="34" s="1" a="1"/>
  <c r="J41" i="34" s="1"/>
  <c r="I36" i="34"/>
  <c r="J36" i="34" s="1" a="1"/>
  <c r="J36" i="34" s="1"/>
  <c r="I39" i="34"/>
  <c r="J39" i="34" s="1" a="1"/>
  <c r="J39" i="34" s="1"/>
  <c r="I57" i="34"/>
  <c r="J57" i="34" s="1" a="1"/>
  <c r="J57" i="34" s="1"/>
  <c r="I71" i="34"/>
  <c r="J71" i="34" s="1" a="1"/>
  <c r="J71" i="34" s="1"/>
  <c r="I74" i="34"/>
  <c r="J74" i="34" s="1" a="1"/>
  <c r="J74" i="34" s="1"/>
  <c r="I87" i="34"/>
  <c r="J87" i="34" s="1" a="1"/>
  <c r="J87" i="34" s="1"/>
  <c r="I48" i="34"/>
  <c r="J48" i="34" s="1" a="1"/>
  <c r="J48" i="34" s="1"/>
  <c r="I58" i="34"/>
  <c r="J58" i="34" s="1" a="1"/>
  <c r="J58" i="34" s="1"/>
  <c r="I77" i="34"/>
  <c r="J77" i="34" s="1" a="1"/>
  <c r="J77" i="34" s="1"/>
  <c r="I30" i="34"/>
  <c r="J30" i="34" s="1" a="1"/>
  <c r="J30" i="34" s="1"/>
  <c r="I88" i="34"/>
  <c r="J88" i="34" s="1" a="1"/>
  <c r="J88" i="34" s="1"/>
  <c r="I86" i="34"/>
  <c r="J86" i="34" s="1" a="1"/>
  <c r="J86" i="34" s="1"/>
  <c r="I31" i="34"/>
  <c r="J31" i="34" s="1" a="1"/>
  <c r="J31" i="34" s="1"/>
  <c r="I64" i="34"/>
  <c r="J64" i="34" s="1" a="1"/>
  <c r="J64" i="34" s="1"/>
  <c r="I68" i="34"/>
  <c r="J68" i="34" s="1" a="1"/>
  <c r="J68" i="34" s="1"/>
  <c r="I34" i="34"/>
  <c r="J34" i="34" s="1" a="1"/>
  <c r="J34" i="34" s="1"/>
  <c r="I27" i="34"/>
  <c r="J27" i="34" s="1" a="1"/>
  <c r="J27" i="34" s="1"/>
  <c r="I94" i="34"/>
  <c r="J94" i="34" s="1" a="1"/>
  <c r="J94" i="34" s="1"/>
  <c r="I19" i="34"/>
  <c r="J19" i="34" s="1" a="1"/>
  <c r="J19" i="34" s="1"/>
  <c r="I33" i="34"/>
  <c r="J33" i="34" s="1" a="1"/>
  <c r="J33" i="34" s="1"/>
  <c r="I6" i="34"/>
  <c r="I22" i="34"/>
  <c r="J22" i="34" s="1" a="1"/>
  <c r="J22" i="34" s="1"/>
  <c r="I56" i="34"/>
  <c r="J56" i="34" s="1" a="1"/>
  <c r="J56" i="34" s="1"/>
  <c r="I32" i="34"/>
  <c r="J32" i="34" s="1" a="1"/>
  <c r="J32" i="34" s="1"/>
  <c r="I23" i="34"/>
  <c r="J23" i="34" s="1" a="1"/>
  <c r="J23" i="34" s="1"/>
  <c r="I29" i="34"/>
  <c r="J29" i="34" s="1" a="1"/>
  <c r="J29" i="34" s="1"/>
  <c r="I78" i="34"/>
  <c r="J78" i="34" s="1" a="1"/>
  <c r="J78" i="34" s="1"/>
  <c r="I44" i="34"/>
  <c r="J44" i="34" s="1" a="1"/>
  <c r="J44" i="34" s="1"/>
  <c r="I11" i="34"/>
  <c r="J11" i="34" s="1" a="1"/>
  <c r="J11" i="34" s="1"/>
  <c r="I51" i="34"/>
  <c r="J51" i="34" s="1" a="1"/>
  <c r="J51" i="34" s="1"/>
  <c r="I16" i="34"/>
  <c r="J16" i="34" s="1" a="1"/>
  <c r="J16" i="34" s="1"/>
  <c r="I12" i="34"/>
  <c r="J12" i="34" s="1" a="1"/>
  <c r="J12" i="34" s="1"/>
  <c r="I91" i="34"/>
  <c r="J91" i="34" s="1" a="1"/>
  <c r="J91" i="34" s="1"/>
  <c r="I95" i="34"/>
  <c r="J95" i="34" s="1" a="1"/>
  <c r="J95" i="34" s="1"/>
  <c r="I25" i="34"/>
  <c r="J25" i="34" s="1" a="1"/>
  <c r="J25" i="34" s="1"/>
  <c r="I7" i="34"/>
  <c r="J7" i="34" s="1" a="1"/>
  <c r="J7" i="34" s="1"/>
  <c r="I55" i="34"/>
  <c r="J55" i="34" s="1" a="1"/>
  <c r="J55" i="34" s="1"/>
  <c r="I26" i="34"/>
  <c r="J26" i="34" s="1" a="1"/>
  <c r="J26" i="34" s="1"/>
  <c r="I45" i="34"/>
  <c r="J45" i="34" s="1" a="1"/>
  <c r="J45" i="34" s="1"/>
  <c r="I18" i="34"/>
  <c r="J18" i="34" s="1" a="1"/>
  <c r="J18" i="34" s="1"/>
  <c r="I67" i="34"/>
  <c r="J67" i="34" s="1" a="1"/>
  <c r="J67" i="34" s="1"/>
  <c r="I14" i="34"/>
  <c r="J14" i="34" s="1" a="1"/>
  <c r="J14" i="34" s="1"/>
  <c r="I66" i="34"/>
  <c r="J66" i="34" s="1" a="1"/>
  <c r="J66" i="34" s="1"/>
  <c r="I59" i="34"/>
  <c r="J59" i="34" s="1" a="1"/>
  <c r="J59" i="34" s="1"/>
  <c r="I28" i="34"/>
  <c r="J28" i="34" s="1" a="1"/>
  <c r="J28" i="34" s="1"/>
  <c r="I62" i="34"/>
  <c r="J62" i="34" s="1" a="1"/>
  <c r="J62" i="34" s="1"/>
  <c r="I75" i="34"/>
  <c r="J75" i="34" s="1" a="1"/>
  <c r="J75" i="34" s="1"/>
  <c r="I70" i="34"/>
  <c r="J70" i="34" s="1" a="1"/>
  <c r="J70" i="34" s="1"/>
  <c r="I13" i="34"/>
  <c r="J13" i="34" s="1" a="1"/>
  <c r="J13" i="34" s="1"/>
  <c r="I15" i="34"/>
  <c r="J15" i="34" s="1" a="1"/>
  <c r="J15" i="34" s="1"/>
  <c r="I61" i="34"/>
  <c r="J61" i="34" s="1" a="1"/>
  <c r="J61" i="34" s="1"/>
  <c r="I8" i="34"/>
  <c r="J8" i="34" s="1" a="1"/>
  <c r="J8" i="34" s="1"/>
  <c r="I52" i="34"/>
  <c r="J52" i="34" s="1" a="1"/>
  <c r="J52" i="34" s="1"/>
  <c r="I46" i="34"/>
  <c r="J46" i="34" s="1" a="1"/>
  <c r="J46" i="34" s="1"/>
  <c r="I63" i="34"/>
  <c r="J63" i="34" s="1" a="1"/>
  <c r="J63" i="34" s="1"/>
  <c r="I97" i="34"/>
  <c r="J97" i="34" s="1" a="1"/>
  <c r="J97" i="34" s="1"/>
  <c r="I9" i="34"/>
  <c r="J9" i="34" s="1" a="1"/>
  <c r="J9" i="34" s="1"/>
  <c r="I93" i="34"/>
  <c r="J93" i="34" s="1" a="1"/>
  <c r="J93" i="34" s="1"/>
  <c r="I85" i="34"/>
  <c r="J85" i="34" s="1" a="1"/>
  <c r="J85" i="34" s="1"/>
  <c r="I10" i="34"/>
  <c r="J10" i="34" s="1" a="1"/>
  <c r="J10" i="34" s="1"/>
  <c r="I83" i="34"/>
  <c r="J83" i="34" s="1" a="1"/>
  <c r="J83" i="34" s="1"/>
  <c r="I43" i="34"/>
  <c r="J43" i="34" s="1" a="1"/>
  <c r="J43" i="34" s="1"/>
  <c r="I89" i="34"/>
  <c r="J89" i="34" s="1" a="1"/>
  <c r="J89" i="34" s="1"/>
  <c r="I60" i="34"/>
  <c r="J60" i="34" s="1" a="1"/>
  <c r="J60" i="34" s="1"/>
  <c r="P6" i="34"/>
  <c r="P9" i="14"/>
  <c r="Q9" i="14" s="1"/>
  <c r="P10" i="14"/>
  <c r="Q10" i="14" s="1"/>
  <c r="P8" i="14"/>
  <c r="Q8" i="14" s="1"/>
  <c r="O6" i="14"/>
  <c r="P6" i="14" s="1"/>
  <c r="P13" i="14"/>
  <c r="Q13" i="14" s="1"/>
  <c r="P11" i="14"/>
  <c r="Q11" i="14" s="1"/>
  <c r="P7" i="14"/>
  <c r="Q7" i="14" s="1"/>
  <c r="P14" i="14"/>
  <c r="Q14" i="14" s="1"/>
  <c r="G3" i="14" a="1"/>
  <c r="G3" i="14" s="1"/>
  <c r="R15" i="41" l="1" a="1"/>
  <c r="R15" i="41" s="1"/>
  <c r="V15" i="41" s="1" a="1"/>
  <c r="V15" i="41" s="1"/>
  <c r="J6" i="41" a="1"/>
  <c r="J6" i="41" s="1"/>
  <c r="R8" i="41" a="1"/>
  <c r="R8" i="41" s="1"/>
  <c r="U8" i="41" s="1" a="1"/>
  <c r="U8" i="41" s="1"/>
  <c r="R13" i="41" a="1"/>
  <c r="R13" i="41" s="1"/>
  <c r="V13" i="41" s="1" a="1"/>
  <c r="V13" i="41" s="1"/>
  <c r="R6" i="41" a="1"/>
  <c r="R6" i="41" s="1"/>
  <c r="U6" i="41" s="1" a="1"/>
  <c r="U6" i="41" s="1"/>
  <c r="R14" i="41" a="1"/>
  <c r="R14" i="41" s="1"/>
  <c r="V14" i="41" s="1" a="1"/>
  <c r="V14" i="41" s="1"/>
  <c r="R11" i="41" a="1"/>
  <c r="R11" i="41" s="1"/>
  <c r="V11" i="41" s="1" a="1"/>
  <c r="V11" i="41" s="1"/>
  <c r="Z16" i="41" a="1"/>
  <c r="Z16" i="41" s="1"/>
  <c r="Z15" i="41" a="1"/>
  <c r="Z15" i="41" s="1"/>
  <c r="R10" i="41" a="1"/>
  <c r="R10" i="41" s="1"/>
  <c r="V10" i="41" s="1" a="1"/>
  <c r="V10" i="41" s="1"/>
  <c r="R12" i="41" a="1"/>
  <c r="R12" i="41" s="1"/>
  <c r="U12" i="41" s="1" a="1"/>
  <c r="U12" i="41" s="1"/>
  <c r="Z17" i="41" a="1"/>
  <c r="Z17" i="41" s="1"/>
  <c r="R7" i="41" a="1"/>
  <c r="R7" i="41" s="1"/>
  <c r="V7" i="41" s="1" a="1"/>
  <c r="V7" i="41" s="1"/>
  <c r="R9" i="41" a="1"/>
  <c r="R9" i="41" s="1"/>
  <c r="U9" i="41" s="1" a="1"/>
  <c r="U9" i="41" s="1"/>
  <c r="I3" i="41" a="1"/>
  <c r="I3" i="41" s="1"/>
  <c r="V8" i="41" a="1"/>
  <c r="V8" i="41" s="1"/>
  <c r="O6" i="39" a="1"/>
  <c r="R10" i="39" s="1" a="1"/>
  <c r="R10" i="39" s="1"/>
  <c r="R7" i="35" a="1"/>
  <c r="R7" i="35" s="1"/>
  <c r="R13" i="35" a="1"/>
  <c r="R13" i="35" s="1"/>
  <c r="R15" i="35" a="1"/>
  <c r="R15" i="35" s="1"/>
  <c r="U15" i="35" s="1" a="1"/>
  <c r="U15" i="35" s="1"/>
  <c r="J6" i="35" a="1"/>
  <c r="J6" i="35" s="1"/>
  <c r="R14" i="35" a="1"/>
  <c r="R14" i="35" s="1"/>
  <c r="V14" i="35" s="1" a="1"/>
  <c r="V14" i="35" s="1"/>
  <c r="R11" i="35" a="1"/>
  <c r="R11" i="35" s="1"/>
  <c r="R9" i="35" a="1"/>
  <c r="R9" i="35" s="1"/>
  <c r="U9" i="35" s="1" a="1"/>
  <c r="U9" i="35" s="1"/>
  <c r="R6" i="35" a="1"/>
  <c r="R6" i="35" s="1"/>
  <c r="R12" i="35" a="1"/>
  <c r="R12" i="35" s="1"/>
  <c r="R10" i="35" a="1"/>
  <c r="R10" i="35" s="1"/>
  <c r="U10" i="35" s="1" a="1"/>
  <c r="U10" i="35" s="1"/>
  <c r="K2" i="35" a="1"/>
  <c r="K2" i="35" s="1"/>
  <c r="R8" i="35" a="1"/>
  <c r="R8" i="35" s="1"/>
  <c r="J6" i="39" a="1"/>
  <c r="J6" i="39" s="1"/>
  <c r="K2" i="39" s="1" a="1"/>
  <c r="K2" i="39" s="1"/>
  <c r="I3" i="39" a="1"/>
  <c r="I3" i="39" s="1"/>
  <c r="I3" i="38" a="1"/>
  <c r="I3" i="38" s="1"/>
  <c r="J6" i="38" a="1"/>
  <c r="J6" i="38" s="1"/>
  <c r="K2" i="38" s="1" a="1"/>
  <c r="K2" i="38" s="1"/>
  <c r="R8" i="38" a="1"/>
  <c r="R8" i="38" s="1"/>
  <c r="T8" i="38" s="1" a="1"/>
  <c r="T8" i="38" s="1"/>
  <c r="U8" i="38" s="1" a="1"/>
  <c r="U8" i="38" s="1"/>
  <c r="R13" i="38" a="1"/>
  <c r="R13" i="38" s="1"/>
  <c r="T13" i="38" s="1" a="1"/>
  <c r="T13" i="38" s="1"/>
  <c r="U13" i="38" s="1" a="1"/>
  <c r="U13" i="38" s="1"/>
  <c r="R14" i="38" a="1"/>
  <c r="R14" i="38" s="1"/>
  <c r="T14" i="38" s="1" a="1"/>
  <c r="T14" i="38" s="1"/>
  <c r="R12" i="38" a="1"/>
  <c r="R12" i="38" s="1"/>
  <c r="T12" i="38" s="1" a="1"/>
  <c r="T12" i="38" s="1"/>
  <c r="V12" i="38" s="1" a="1"/>
  <c r="V12" i="38" s="1"/>
  <c r="R6" i="38" a="1"/>
  <c r="R6" i="38" s="1"/>
  <c r="T6" i="38" s="1" a="1"/>
  <c r="T6" i="38" s="1"/>
  <c r="V6" i="38" s="1" a="1"/>
  <c r="V6" i="38" s="1"/>
  <c r="R11" i="38" a="1"/>
  <c r="R11" i="38" s="1"/>
  <c r="T11" i="38" s="1" a="1"/>
  <c r="T11" i="38" s="1"/>
  <c r="V11" i="38" s="1" a="1"/>
  <c r="V11" i="38" s="1"/>
  <c r="R9" i="38" a="1"/>
  <c r="R9" i="38" s="1"/>
  <c r="T9" i="38" s="1" a="1"/>
  <c r="T9" i="38" s="1"/>
  <c r="T3" i="38" s="1"/>
  <c r="R7" i="38" a="1"/>
  <c r="R7" i="38" s="1"/>
  <c r="T7" i="38" s="1" a="1"/>
  <c r="T7" i="38" s="1"/>
  <c r="V7" i="38" s="1" a="1"/>
  <c r="V7" i="38" s="1"/>
  <c r="R10" i="38" a="1"/>
  <c r="R10" i="38" s="1"/>
  <c r="T10" i="38" s="1" a="1"/>
  <c r="T10" i="38" s="1"/>
  <c r="U10" i="38" s="1" a="1"/>
  <c r="U10" i="38" s="1"/>
  <c r="I3" i="35" a="1"/>
  <c r="I3" i="35" s="1"/>
  <c r="J6" i="34" a="1"/>
  <c r="J6" i="34" s="1"/>
  <c r="R11" i="34" a="1"/>
  <c r="R11" i="34" s="1"/>
  <c r="T11" i="34" s="1" a="1"/>
  <c r="T11" i="34" s="1"/>
  <c r="V11" i="34" s="1" a="1"/>
  <c r="V11" i="34" s="1"/>
  <c r="J6" i="37" a="1"/>
  <c r="J6" i="37" s="1"/>
  <c r="K2" i="37" s="1" a="1"/>
  <c r="K2" i="37" s="1"/>
  <c r="I3" i="37" a="1"/>
  <c r="I3" i="37" s="1"/>
  <c r="R9" i="37" a="1"/>
  <c r="R9" i="37" s="1"/>
  <c r="R8" i="37" a="1"/>
  <c r="R8" i="37" s="1"/>
  <c r="R13" i="37" a="1"/>
  <c r="R13" i="37" s="1"/>
  <c r="R10" i="37" a="1"/>
  <c r="R10" i="37" s="1"/>
  <c r="T10" i="37" s="1" a="1"/>
  <c r="T10" i="37" s="1"/>
  <c r="V10" i="37" s="1" a="1"/>
  <c r="V10" i="37" s="1"/>
  <c r="R7" i="37" a="1"/>
  <c r="R7" i="37" s="1"/>
  <c r="R14" i="37" a="1"/>
  <c r="R14" i="37" s="1"/>
  <c r="T14" i="37" s="1" a="1"/>
  <c r="T14" i="37" s="1"/>
  <c r="V14" i="37" s="1" a="1"/>
  <c r="V14" i="37" s="1"/>
  <c r="R11" i="37" a="1"/>
  <c r="R11" i="37" s="1"/>
  <c r="T11" i="37" s="1" a="1"/>
  <c r="T11" i="37" s="1"/>
  <c r="V11" i="37" s="1" a="1"/>
  <c r="V11" i="37" s="1"/>
  <c r="R6" i="37" a="1"/>
  <c r="R6" i="37" s="1"/>
  <c r="R12" i="37" a="1"/>
  <c r="R12" i="37" s="1"/>
  <c r="J7" i="36" a="1"/>
  <c r="J7" i="36" s="1"/>
  <c r="K2" i="36" s="1" a="1"/>
  <c r="K2" i="36" s="1"/>
  <c r="I3" i="36" a="1"/>
  <c r="I3" i="36" s="1"/>
  <c r="R10" i="36" a="1"/>
  <c r="R10" i="36" s="1"/>
  <c r="T10" i="36" s="1" a="1"/>
  <c r="T10" i="36" s="1"/>
  <c r="U10" i="36" s="1" a="1"/>
  <c r="U10" i="36" s="1"/>
  <c r="R14" i="36" a="1"/>
  <c r="R14" i="36" s="1"/>
  <c r="T14" i="36" s="1" a="1"/>
  <c r="T14" i="36" s="1"/>
  <c r="V14" i="36" s="1" a="1"/>
  <c r="V14" i="36" s="1"/>
  <c r="R6" i="36" a="1"/>
  <c r="R6" i="36" s="1"/>
  <c r="R12" i="36" a="1"/>
  <c r="R12" i="36" s="1"/>
  <c r="R8" i="36" a="1"/>
  <c r="R8" i="36" s="1"/>
  <c r="R13" i="36" a="1"/>
  <c r="R13" i="36" s="1"/>
  <c r="R9" i="36" a="1"/>
  <c r="R9" i="36" s="1"/>
  <c r="R11" i="36" a="1"/>
  <c r="R11" i="36" s="1"/>
  <c r="T11" i="36" s="1" a="1"/>
  <c r="T11" i="36" s="1"/>
  <c r="V11" i="36" s="1" a="1"/>
  <c r="V11" i="36" s="1"/>
  <c r="R7" i="36" a="1"/>
  <c r="R7" i="36" s="1"/>
  <c r="R14" i="34" a="1"/>
  <c r="R14" i="34" s="1"/>
  <c r="T14" i="34" s="1" a="1"/>
  <c r="T14" i="34" s="1"/>
  <c r="V14" i="34" s="1" a="1"/>
  <c r="V14" i="34" s="1"/>
  <c r="R7" i="34" a="1"/>
  <c r="R7" i="34" s="1"/>
  <c r="K2" i="34" a="1"/>
  <c r="K2" i="34" s="1"/>
  <c r="R8" i="34" a="1"/>
  <c r="R8" i="34" s="1"/>
  <c r="R6" i="34" a="1"/>
  <c r="R6" i="34" s="1"/>
  <c r="R9" i="34" a="1"/>
  <c r="R9" i="34" s="1"/>
  <c r="R13" i="34" a="1"/>
  <c r="R13" i="34" s="1"/>
  <c r="I3" i="34" a="1"/>
  <c r="I3" i="34" s="1"/>
  <c r="R10" i="34" a="1"/>
  <c r="R10" i="34" s="1"/>
  <c r="R12" i="34" a="1"/>
  <c r="R12" i="34" s="1"/>
  <c r="Q6" i="34"/>
  <c r="Q6" i="14"/>
  <c r="K1" i="11"/>
  <c r="B3" i="4" a="1"/>
  <c r="B3" i="4" s="1"/>
  <c r="Z6" i="41" l="1"/>
  <c r="K3" i="41" a="1"/>
  <c r="K3" i="41" s="1"/>
  <c r="U15" i="41" a="1"/>
  <c r="U15" i="41" s="1"/>
  <c r="V9" i="41" a="1"/>
  <c r="V9" i="41" s="1"/>
  <c r="U10" i="41" a="1"/>
  <c r="U10" i="41" s="1"/>
  <c r="V6" i="41" a="1"/>
  <c r="V6" i="41" s="1"/>
  <c r="M60" i="41" a="1"/>
  <c r="M60" i="41" s="1"/>
  <c r="M70" i="41" a="1"/>
  <c r="M70" i="41" s="1"/>
  <c r="M6" i="41" a="1"/>
  <c r="M6" i="41" s="1"/>
  <c r="M19" i="41" a="1"/>
  <c r="M19" i="41" s="1"/>
  <c r="M92" i="41" a="1"/>
  <c r="M92" i="41" s="1"/>
  <c r="M48" i="41" a="1"/>
  <c r="M48" i="41" s="1"/>
  <c r="M25" i="41" a="1"/>
  <c r="M25" i="41" s="1"/>
  <c r="M42" i="41" a="1"/>
  <c r="M42" i="41" s="1"/>
  <c r="M82" i="41" a="1"/>
  <c r="M82" i="41" s="1"/>
  <c r="M43" i="41" a="1"/>
  <c r="M43" i="41" s="1"/>
  <c r="M35" i="41" a="1"/>
  <c r="M35" i="41" s="1"/>
  <c r="M88" i="41" a="1"/>
  <c r="M88" i="41" s="1"/>
  <c r="M75" i="41" a="1"/>
  <c r="M75" i="41" s="1"/>
  <c r="M77" i="41" a="1"/>
  <c r="M77" i="41" s="1"/>
  <c r="M56" i="41" a="1"/>
  <c r="M56" i="41" s="1"/>
  <c r="M40" i="41" a="1"/>
  <c r="M40" i="41" s="1"/>
  <c r="M32" i="41" a="1"/>
  <c r="M32" i="41" s="1"/>
  <c r="M39" i="41" a="1"/>
  <c r="M39" i="41" s="1"/>
  <c r="M90" i="41" a="1"/>
  <c r="M90" i="41" s="1"/>
  <c r="M24" i="41" a="1"/>
  <c r="M24" i="41" s="1"/>
  <c r="M91" i="41" a="1"/>
  <c r="M91" i="41" s="1"/>
  <c r="M68" i="41" a="1"/>
  <c r="M68" i="41" s="1"/>
  <c r="M16" i="41" a="1"/>
  <c r="M16" i="41" s="1"/>
  <c r="M26" i="41" a="1"/>
  <c r="M26" i="41" s="1"/>
  <c r="M80" i="41" a="1"/>
  <c r="M80" i="41" s="1"/>
  <c r="M28" i="41" a="1"/>
  <c r="M28" i="41" s="1"/>
  <c r="M55" i="41" a="1"/>
  <c r="M55" i="41" s="1"/>
  <c r="M17" i="41" a="1"/>
  <c r="M17" i="41" s="1"/>
  <c r="M67" i="41" a="1"/>
  <c r="M67" i="41" s="1"/>
  <c r="M54" i="41" a="1"/>
  <c r="M54" i="41" s="1"/>
  <c r="M45" i="41" a="1"/>
  <c r="M45" i="41" s="1"/>
  <c r="M74" i="41" a="1"/>
  <c r="M74" i="41" s="1"/>
  <c r="M64" i="41" a="1"/>
  <c r="M64" i="41" s="1"/>
  <c r="M59" i="41" a="1"/>
  <c r="M59" i="41" s="1"/>
  <c r="M50" i="41" a="1"/>
  <c r="M50" i="41" s="1"/>
  <c r="M10" i="41" a="1"/>
  <c r="M10" i="41" s="1"/>
  <c r="M63" i="41" a="1"/>
  <c r="M63" i="41" s="1"/>
  <c r="M65" i="41" a="1"/>
  <c r="M65" i="41" s="1"/>
  <c r="M29" i="41" a="1"/>
  <c r="M29" i="41" s="1"/>
  <c r="M44" i="41" a="1"/>
  <c r="M44" i="41" s="1"/>
  <c r="M37" i="41" a="1"/>
  <c r="M37" i="41" s="1"/>
  <c r="M30" i="41" a="1"/>
  <c r="M30" i="41" s="1"/>
  <c r="M93" i="41" a="1"/>
  <c r="M93" i="41" s="1"/>
  <c r="M18" i="41" a="1"/>
  <c r="M18" i="41" s="1"/>
  <c r="M49" i="41" a="1"/>
  <c r="M49" i="41" s="1"/>
  <c r="M22" i="41" a="1"/>
  <c r="M22" i="41" s="1"/>
  <c r="M51" i="41" a="1"/>
  <c r="M51" i="41" s="1"/>
  <c r="M85" i="41" a="1"/>
  <c r="M85" i="41" s="1"/>
  <c r="M36" i="41" a="1"/>
  <c r="M36" i="41" s="1"/>
  <c r="M89" i="41" a="1"/>
  <c r="M89" i="41" s="1"/>
  <c r="M7" i="41" a="1"/>
  <c r="M7" i="41" s="1"/>
  <c r="M73" i="41" a="1"/>
  <c r="M73" i="41" s="1"/>
  <c r="M52" i="41" a="1"/>
  <c r="M52" i="41" s="1"/>
  <c r="M87" i="41" a="1"/>
  <c r="M87" i="41" s="1"/>
  <c r="M69" i="41" a="1"/>
  <c r="M69" i="41" s="1"/>
  <c r="M81" i="41" a="1"/>
  <c r="M81" i="41" s="1"/>
  <c r="M8" i="41" a="1"/>
  <c r="M8" i="41" s="1"/>
  <c r="M84" i="41" a="1"/>
  <c r="M84" i="41" s="1"/>
  <c r="M46" i="41" a="1"/>
  <c r="M46" i="41" s="1"/>
  <c r="M71" i="41" a="1"/>
  <c r="M71" i="41" s="1"/>
  <c r="M33" i="41" a="1"/>
  <c r="M33" i="41" s="1"/>
  <c r="M23" i="41" a="1"/>
  <c r="M23" i="41" s="1"/>
  <c r="M27" i="41" a="1"/>
  <c r="M27" i="41" s="1"/>
  <c r="M61" i="41" a="1"/>
  <c r="M61" i="41" s="1"/>
  <c r="M13" i="41" a="1"/>
  <c r="M13" i="41" s="1"/>
  <c r="M79" i="41" a="1"/>
  <c r="M79" i="41" s="1"/>
  <c r="M31" i="41" a="1"/>
  <c r="M31" i="41" s="1"/>
  <c r="M21" i="41" a="1"/>
  <c r="M21" i="41" s="1"/>
  <c r="M47" i="41" a="1"/>
  <c r="M47" i="41" s="1"/>
  <c r="M58" i="41" a="1"/>
  <c r="M58" i="41" s="1"/>
  <c r="M83" i="41" a="1"/>
  <c r="M83" i="41" s="1"/>
  <c r="M20" i="41" a="1"/>
  <c r="M20" i="41" s="1"/>
  <c r="M38" i="41" a="1"/>
  <c r="M38" i="41" s="1"/>
  <c r="M12" i="41" a="1"/>
  <c r="M12" i="41" s="1"/>
  <c r="M15" i="41" a="1"/>
  <c r="M15" i="41" s="1"/>
  <c r="M76" i="41" a="1"/>
  <c r="M76" i="41" s="1"/>
  <c r="M53" i="41" a="1"/>
  <c r="M53" i="41" s="1"/>
  <c r="M78" i="41" a="1"/>
  <c r="M78" i="41" s="1"/>
  <c r="M9" i="41" a="1"/>
  <c r="M9" i="41" s="1"/>
  <c r="M66" i="41" a="1"/>
  <c r="M66" i="41" s="1"/>
  <c r="M72" i="41" a="1"/>
  <c r="M72" i="41" s="1"/>
  <c r="M86" i="41" a="1"/>
  <c r="M86" i="41" s="1"/>
  <c r="M41" i="41" a="1"/>
  <c r="M41" i="41" s="1"/>
  <c r="M57" i="41" a="1"/>
  <c r="M57" i="41" s="1"/>
  <c r="M11" i="41" a="1"/>
  <c r="M11" i="41" s="1"/>
  <c r="M34" i="41" a="1"/>
  <c r="M34" i="41" s="1"/>
  <c r="M14" i="41" a="1"/>
  <c r="M14" i="41" s="1"/>
  <c r="M62" i="41" a="1"/>
  <c r="M62" i="41" s="1"/>
  <c r="V12" i="41" a="1"/>
  <c r="V12" i="41" s="1"/>
  <c r="R11" i="39" a="1"/>
  <c r="R11" i="39" s="1"/>
  <c r="R7" i="39" a="1"/>
  <c r="R7" i="39" s="1"/>
  <c r="R12" i="39" a="1"/>
  <c r="R12" i="39" s="1"/>
  <c r="S12" i="39" s="1"/>
  <c r="T12" i="39" s="1"/>
  <c r="R8" i="39" a="1"/>
  <c r="R8" i="39" s="1"/>
  <c r="R9" i="39" a="1"/>
  <c r="R9" i="39" s="1"/>
  <c r="O6" i="39"/>
  <c r="R6" i="39" s="1" a="1"/>
  <c r="R6" i="39" s="1"/>
  <c r="P9" i="39"/>
  <c r="Q9" i="39" s="1"/>
  <c r="P12" i="39"/>
  <c r="Q12" i="39" s="1"/>
  <c r="P11" i="39"/>
  <c r="Q11" i="39" s="1"/>
  <c r="P10" i="39"/>
  <c r="P7" i="39"/>
  <c r="Q7" i="39" s="1"/>
  <c r="P8" i="39"/>
  <c r="Q8" i="39" s="1"/>
  <c r="V15" i="35" a="1"/>
  <c r="V15" i="35" s="1"/>
  <c r="V11" i="35" a="1"/>
  <c r="V11" i="35" s="1"/>
  <c r="V7" i="35" a="1"/>
  <c r="V7" i="35" s="1"/>
  <c r="V10" i="35" a="1"/>
  <c r="V10" i="35" s="1"/>
  <c r="U8" i="35" a="1"/>
  <c r="U8" i="35" s="1"/>
  <c r="U6" i="35" a="1"/>
  <c r="U6" i="35" s="1"/>
  <c r="V8" i="38" a="1"/>
  <c r="V8" i="38" s="1"/>
  <c r="U7" i="38" a="1"/>
  <c r="U7" i="38" s="1"/>
  <c r="U9" i="38" a="1"/>
  <c r="U9" i="38" s="1"/>
  <c r="M9" i="38" a="1"/>
  <c r="M9" i="38" s="1"/>
  <c r="M38" i="38" a="1"/>
  <c r="M38" i="38" s="1"/>
  <c r="M69" i="38" a="1"/>
  <c r="M69" i="38" s="1"/>
  <c r="M41" i="38" a="1"/>
  <c r="M41" i="38" s="1"/>
  <c r="M33" i="38" a="1"/>
  <c r="M33" i="38" s="1"/>
  <c r="M8" i="38" a="1"/>
  <c r="M8" i="38" s="1"/>
  <c r="M66" i="38" a="1"/>
  <c r="M66" i="38" s="1"/>
  <c r="M79" i="38" a="1"/>
  <c r="M79" i="38" s="1"/>
  <c r="M12" i="38" a="1"/>
  <c r="M12" i="38" s="1"/>
  <c r="M25" i="38" a="1"/>
  <c r="M25" i="38" s="1"/>
  <c r="M21" i="38" a="1"/>
  <c r="M21" i="38" s="1"/>
  <c r="M18" i="38" a="1"/>
  <c r="M18" i="38" s="1"/>
  <c r="M10" i="38" a="1"/>
  <c r="M10" i="38" s="1"/>
  <c r="M47" i="38" a="1"/>
  <c r="M47" i="38" s="1"/>
  <c r="M80" i="38" a="1"/>
  <c r="M80" i="38" s="1"/>
  <c r="M50" i="38" a="1"/>
  <c r="M50" i="38" s="1"/>
  <c r="M42" i="38" a="1"/>
  <c r="M42" i="38" s="1"/>
  <c r="M17" i="38" a="1"/>
  <c r="M17" i="38" s="1"/>
  <c r="M76" i="38" a="1"/>
  <c r="M76" i="38" s="1"/>
  <c r="M59" i="38" a="1"/>
  <c r="M59" i="38" s="1"/>
  <c r="M16" i="38" a="1"/>
  <c r="M16" i="38" s="1"/>
  <c r="M62" i="38" a="1"/>
  <c r="M62" i="38" s="1"/>
  <c r="M72" i="38" a="1"/>
  <c r="M72" i="38" s="1"/>
  <c r="M43" i="38" a="1"/>
  <c r="M43" i="38" s="1"/>
  <c r="M19" i="38" a="1"/>
  <c r="M19" i="38" s="1"/>
  <c r="M68" i="38" a="1"/>
  <c r="M68" i="38" s="1"/>
  <c r="M13" i="38" a="1"/>
  <c r="M13" i="38" s="1"/>
  <c r="M61" i="38" a="1"/>
  <c r="M61" i="38" s="1"/>
  <c r="M51" i="38" a="1"/>
  <c r="M51" i="38" s="1"/>
  <c r="M26" i="38" a="1"/>
  <c r="M26" i="38" s="1"/>
  <c r="M54" i="38" a="1"/>
  <c r="M54" i="38" s="1"/>
  <c r="Z7" i="38" a="1"/>
  <c r="Z7" i="38" s="1"/>
  <c r="Z6" i="38" s="1"/>
  <c r="M40" i="38" a="1"/>
  <c r="M40" i="38" s="1"/>
  <c r="M53" i="38" a="1"/>
  <c r="M53" i="38" s="1"/>
  <c r="M60" i="38" a="1"/>
  <c r="M60" i="38" s="1"/>
  <c r="M28" i="38" a="1"/>
  <c r="M28" i="38" s="1"/>
  <c r="M78" i="38" a="1"/>
  <c r="M78" i="38" s="1"/>
  <c r="M22" i="38" a="1"/>
  <c r="M22" i="38" s="1"/>
  <c r="M71" i="38" a="1"/>
  <c r="M71" i="38" s="1"/>
  <c r="M73" i="38" a="1"/>
  <c r="M73" i="38" s="1"/>
  <c r="M35" i="38" a="1"/>
  <c r="M35" i="38" s="1"/>
  <c r="M65" i="38" a="1"/>
  <c r="M65" i="38" s="1"/>
  <c r="M46" i="38" a="1"/>
  <c r="M46" i="38" s="1"/>
  <c r="M49" i="38" a="1"/>
  <c r="M49" i="38" s="1"/>
  <c r="M64" i="38" a="1"/>
  <c r="M64" i="38" s="1"/>
  <c r="M34" i="38" a="1"/>
  <c r="M34" i="38" s="1"/>
  <c r="M14" i="38" a="1"/>
  <c r="M14" i="38" s="1"/>
  <c r="M37" i="38" a="1"/>
  <c r="M37" i="38" s="1"/>
  <c r="M57" i="38" a="1"/>
  <c r="M57" i="38" s="1"/>
  <c r="M31" i="38" a="1"/>
  <c r="M31" i="38" s="1"/>
  <c r="M81" i="38" a="1"/>
  <c r="M81" i="38" s="1"/>
  <c r="M7" i="38" a="1"/>
  <c r="M7" i="38" s="1"/>
  <c r="M44" i="38" a="1"/>
  <c r="M44" i="38" s="1"/>
  <c r="M75" i="38" a="1"/>
  <c r="M75" i="38" s="1"/>
  <c r="M56" i="38" a="1"/>
  <c r="M56" i="38" s="1"/>
  <c r="M67" i="38" a="1"/>
  <c r="M67" i="38" s="1"/>
  <c r="M77" i="38" a="1"/>
  <c r="M77" i="38" s="1"/>
  <c r="M30" i="38" a="1"/>
  <c r="M30" i="38" s="1"/>
  <c r="M70" i="38" a="1"/>
  <c r="M70" i="38" s="1"/>
  <c r="M27" i="38" a="1"/>
  <c r="M27" i="38" s="1"/>
  <c r="M20" i="38" a="1"/>
  <c r="M20" i="38" s="1"/>
  <c r="M48" i="38" a="1"/>
  <c r="M48" i="38" s="1"/>
  <c r="M23" i="38" a="1"/>
  <c r="M23" i="38" s="1"/>
  <c r="M15" i="38" a="1"/>
  <c r="M15" i="38" s="1"/>
  <c r="M63" i="38" a="1"/>
  <c r="M63" i="38" s="1"/>
  <c r="M45" i="38" a="1"/>
  <c r="M45" i="38" s="1"/>
  <c r="M29" i="38" a="1"/>
  <c r="M29" i="38" s="1"/>
  <c r="M58" i="38" a="1"/>
  <c r="M58" i="38" s="1"/>
  <c r="M32" i="38" a="1"/>
  <c r="M32" i="38" s="1"/>
  <c r="M24" i="38" a="1"/>
  <c r="M24" i="38" s="1"/>
  <c r="M74" i="38" a="1"/>
  <c r="M74" i="38" s="1"/>
  <c r="M55" i="38" a="1"/>
  <c r="M55" i="38" s="1"/>
  <c r="M11" i="38" a="1"/>
  <c r="M11" i="38" s="1"/>
  <c r="M6" i="38" a="1"/>
  <c r="M6" i="38" s="1"/>
  <c r="M52" i="38" a="1"/>
  <c r="M52" i="38" s="1"/>
  <c r="M82" i="38" a="1"/>
  <c r="M82" i="38" s="1"/>
  <c r="M39" i="38" a="1"/>
  <c r="M39" i="38" s="1"/>
  <c r="M36" i="38" a="1"/>
  <c r="M36" i="38" s="1"/>
  <c r="V13" i="38" a="1"/>
  <c r="V13" i="38" s="1"/>
  <c r="V14" i="38" a="1"/>
  <c r="V14" i="38" s="1"/>
  <c r="Z17" i="38" a="1"/>
  <c r="Z17" i="38" s="1"/>
  <c r="Z16" i="38" a="1"/>
  <c r="Z16" i="38" s="1"/>
  <c r="Z15" i="38" a="1"/>
  <c r="Z15" i="38" s="1"/>
  <c r="V10" i="38" a="1"/>
  <c r="V10" i="38" s="1"/>
  <c r="U6" i="38" a="1"/>
  <c r="U6" i="38" s="1"/>
  <c r="V9" i="38" a="1"/>
  <c r="V9" i="38" s="1"/>
  <c r="V10" i="36" a="1"/>
  <c r="V10" i="36" s="1"/>
  <c r="U14" i="36" a="1"/>
  <c r="U14" i="36" s="1"/>
  <c r="U14" i="34" a="1"/>
  <c r="U14" i="34" s="1"/>
  <c r="U11" i="34" a="1"/>
  <c r="U11" i="34" s="1"/>
  <c r="U11" i="36" a="1"/>
  <c r="U11" i="36" s="1"/>
  <c r="U10" i="37" a="1"/>
  <c r="U10" i="37" s="1"/>
  <c r="T8" i="36" a="1"/>
  <c r="T8" i="36" s="1"/>
  <c r="T6" i="36" a="1"/>
  <c r="T6" i="36" s="1"/>
  <c r="T12" i="36" a="1"/>
  <c r="T12" i="36" s="1"/>
  <c r="V12" i="36" s="1" a="1"/>
  <c r="V12" i="36" s="1"/>
  <c r="T9" i="36" a="1"/>
  <c r="T9" i="36" s="1"/>
  <c r="T13" i="36" a="1"/>
  <c r="T13" i="36" s="1"/>
  <c r="T7" i="36" a="1"/>
  <c r="T7" i="36" s="1"/>
  <c r="T7" i="37" a="1"/>
  <c r="T7" i="37" s="1"/>
  <c r="T12" i="37" a="1"/>
  <c r="T12" i="37" s="1"/>
  <c r="V12" i="37" s="1" a="1"/>
  <c r="V12" i="37" s="1"/>
  <c r="T13" i="37" a="1"/>
  <c r="T13" i="37" s="1"/>
  <c r="T9" i="37" a="1"/>
  <c r="T9" i="37" s="1"/>
  <c r="T8" i="37" a="1"/>
  <c r="T8" i="37" s="1"/>
  <c r="T6" i="37" a="1"/>
  <c r="T6" i="37" s="1"/>
  <c r="T12" i="34" a="1"/>
  <c r="T12" i="34" s="1"/>
  <c r="V12" i="34" s="1" a="1"/>
  <c r="V12" i="34" s="1"/>
  <c r="T13" i="34" a="1"/>
  <c r="T13" i="34" s="1"/>
  <c r="V13" i="34" s="1" a="1"/>
  <c r="V13" i="34" s="1"/>
  <c r="T9" i="34" a="1"/>
  <c r="T9" i="34" s="1"/>
  <c r="T3" i="34" s="1"/>
  <c r="T6" i="34" a="1"/>
  <c r="T6" i="34" s="1"/>
  <c r="U6" i="34" s="1" a="1"/>
  <c r="U6" i="34" s="1"/>
  <c r="T7" i="34" a="1"/>
  <c r="T7" i="34" s="1"/>
  <c r="V7" i="34" s="1" a="1"/>
  <c r="V7" i="34" s="1"/>
  <c r="T8" i="34" a="1"/>
  <c r="T8" i="34" s="1"/>
  <c r="T10" i="34" a="1"/>
  <c r="T10" i="34" s="1"/>
  <c r="V10" i="34" s="1" a="1"/>
  <c r="V10" i="34" s="1"/>
  <c r="L1" i="11" a="1"/>
  <c r="L1" i="11" s="1"/>
  <c r="G140" i="6"/>
  <c r="G139" i="6"/>
  <c r="G138" i="6"/>
  <c r="G137" i="6"/>
  <c r="G136" i="6"/>
  <c r="G135" i="6"/>
  <c r="G134" i="6"/>
  <c r="G133" i="6"/>
  <c r="G132" i="6"/>
  <c r="G131" i="6"/>
  <c r="G130" i="6"/>
  <c r="G129" i="6"/>
  <c r="G128" i="6"/>
  <c r="G127" i="6"/>
  <c r="G126" i="6"/>
  <c r="G125" i="6"/>
  <c r="G124" i="6"/>
  <c r="G123" i="6"/>
  <c r="G122" i="6"/>
  <c r="G121" i="6"/>
  <c r="G108" i="6"/>
  <c r="G107" i="6"/>
  <c r="G106" i="6"/>
  <c r="G105" i="6"/>
  <c r="G104" i="6"/>
  <c r="G103" i="6"/>
  <c r="G102" i="6"/>
  <c r="G101" i="6"/>
  <c r="G100" i="6"/>
  <c r="G99" i="6"/>
  <c r="G98" i="6"/>
  <c r="G97" i="6"/>
  <c r="G92" i="6"/>
  <c r="G91" i="6"/>
  <c r="G90" i="6"/>
  <c r="G89" i="6"/>
  <c r="G88" i="6"/>
  <c r="G87" i="6"/>
  <c r="G86" i="6"/>
  <c r="G73" i="6"/>
  <c r="G72" i="6"/>
  <c r="G71" i="6"/>
  <c r="G70" i="6"/>
  <c r="G69" i="6"/>
  <c r="G68" i="6"/>
  <c r="G67" i="6"/>
  <c r="G66" i="6"/>
  <c r="G65" i="6"/>
  <c r="G64" i="6"/>
  <c r="G63" i="6"/>
  <c r="G62" i="6"/>
  <c r="G61" i="6"/>
  <c r="G60" i="6"/>
  <c r="G44" i="6"/>
  <c r="G43" i="6"/>
  <c r="G42" i="6"/>
  <c r="G41" i="6"/>
  <c r="G40" i="6"/>
  <c r="G39" i="6"/>
  <c r="G140" i="4"/>
  <c r="G139" i="4"/>
  <c r="G138" i="4"/>
  <c r="G137" i="4"/>
  <c r="G136" i="4"/>
  <c r="G135" i="4"/>
  <c r="G134" i="4"/>
  <c r="G133" i="4"/>
  <c r="G132" i="4"/>
  <c r="G131" i="4"/>
  <c r="G130" i="4"/>
  <c r="G129" i="4"/>
  <c r="G128" i="4"/>
  <c r="G127" i="4"/>
  <c r="G126" i="4"/>
  <c r="G125" i="4"/>
  <c r="G124" i="4"/>
  <c r="G123" i="4"/>
  <c r="G122" i="4"/>
  <c r="G121" i="4"/>
  <c r="G108" i="4"/>
  <c r="G107" i="4"/>
  <c r="G106" i="4"/>
  <c r="G105" i="4"/>
  <c r="G104" i="4"/>
  <c r="G103" i="4"/>
  <c r="G102" i="4"/>
  <c r="G101" i="4"/>
  <c r="G100" i="4"/>
  <c r="G99" i="4"/>
  <c r="G98" i="4"/>
  <c r="G97" i="4"/>
  <c r="G92" i="4"/>
  <c r="G91" i="4"/>
  <c r="G90" i="4"/>
  <c r="G89" i="4"/>
  <c r="G88" i="4"/>
  <c r="G87" i="4"/>
  <c r="G86" i="4"/>
  <c r="G73" i="4"/>
  <c r="G72" i="4"/>
  <c r="G71" i="4"/>
  <c r="G70" i="4"/>
  <c r="G69" i="4"/>
  <c r="G68" i="4"/>
  <c r="G67" i="4"/>
  <c r="G66" i="4"/>
  <c r="G65" i="4"/>
  <c r="G64" i="4"/>
  <c r="G63" i="4"/>
  <c r="G62" i="4"/>
  <c r="G61" i="4"/>
  <c r="G60" i="4"/>
  <c r="G44" i="4"/>
  <c r="G43" i="4"/>
  <c r="G42" i="4"/>
  <c r="G41" i="4"/>
  <c r="G40" i="4"/>
  <c r="G39" i="4"/>
  <c r="AB6" i="41" l="1" a="1"/>
  <c r="S7" i="39"/>
  <c r="T7" i="39" s="1"/>
  <c r="S6" i="39"/>
  <c r="T6" i="39" s="1"/>
  <c r="S11" i="39"/>
  <c r="T11" i="39" s="1"/>
  <c r="S8" i="39"/>
  <c r="T8" i="39" s="1"/>
  <c r="M3" i="41" a="1"/>
  <c r="M3" i="41" s="1"/>
  <c r="V3" i="41" a="1"/>
  <c r="V3" i="41" s="1"/>
  <c r="P6" i="39"/>
  <c r="Q6" i="39" s="1"/>
  <c r="V12" i="35" a="1"/>
  <c r="V12" i="35" s="1"/>
  <c r="U12" i="35" a="1"/>
  <c r="U12" i="35" s="1"/>
  <c r="M90" i="35" a="1"/>
  <c r="M90" i="35" s="1"/>
  <c r="M78" i="35" a="1"/>
  <c r="M78" i="35" s="1"/>
  <c r="M85" i="35" a="1"/>
  <c r="M85" i="35" s="1"/>
  <c r="M88" i="35" a="1"/>
  <c r="M88" i="35" s="1"/>
  <c r="M79" i="35" a="1"/>
  <c r="M79" i="35" s="1"/>
  <c r="M81" i="35" a="1"/>
  <c r="M81" i="35" s="1"/>
  <c r="M82" i="35" a="1"/>
  <c r="M82" i="35" s="1"/>
  <c r="M83" i="35" a="1"/>
  <c r="M83" i="35" s="1"/>
  <c r="M80" i="35" a="1"/>
  <c r="M80" i="35" s="1"/>
  <c r="M89" i="35" a="1"/>
  <c r="M89" i="35" s="1"/>
  <c r="M87" i="35" a="1"/>
  <c r="M87" i="35" s="1"/>
  <c r="M84" i="35" a="1"/>
  <c r="M84" i="35" s="1"/>
  <c r="M86" i="35" a="1"/>
  <c r="M86" i="35" s="1"/>
  <c r="M36" i="35" a="1"/>
  <c r="M36" i="35" s="1"/>
  <c r="M26" i="35" a="1"/>
  <c r="M26" i="35" s="1"/>
  <c r="M9" i="35" a="1"/>
  <c r="M9" i="35" s="1"/>
  <c r="V8" i="35" a="1"/>
  <c r="V8" i="35" s="1"/>
  <c r="V6" i="35" a="1"/>
  <c r="V6" i="35" s="1"/>
  <c r="V9" i="35" a="1"/>
  <c r="V9" i="35" s="1"/>
  <c r="Z17" i="35" a="1"/>
  <c r="Z17" i="35" s="1"/>
  <c r="V13" i="35" a="1"/>
  <c r="V13" i="35" s="1"/>
  <c r="M37" i="35" a="1"/>
  <c r="M37" i="35" s="1"/>
  <c r="M29" i="35" a="1"/>
  <c r="M29" i="35" s="1"/>
  <c r="M52" i="35" a="1"/>
  <c r="M52" i="35" s="1"/>
  <c r="M60" i="35" a="1"/>
  <c r="M60" i="35" s="1"/>
  <c r="M53" i="35" a="1"/>
  <c r="M53" i="35" s="1"/>
  <c r="M30" i="35" a="1"/>
  <c r="M30" i="35" s="1"/>
  <c r="M10" i="35" a="1"/>
  <c r="M10" i="35" s="1"/>
  <c r="M15" i="35" a="1"/>
  <c r="M15" i="35" s="1"/>
  <c r="M45" i="35" a="1"/>
  <c r="M45" i="35" s="1"/>
  <c r="M22" i="35" a="1"/>
  <c r="M22" i="35" s="1"/>
  <c r="M93" i="35" a="1"/>
  <c r="M93" i="35" s="1"/>
  <c r="M38" i="35" a="1"/>
  <c r="M38" i="35" s="1"/>
  <c r="M24" i="35" a="1"/>
  <c r="M24" i="35" s="1"/>
  <c r="M72" i="35" a="1"/>
  <c r="M72" i="35" s="1"/>
  <c r="M70" i="35" a="1"/>
  <c r="M70" i="35" s="1"/>
  <c r="M12" i="35" a="1"/>
  <c r="M12" i="35" s="1"/>
  <c r="M7" i="35" a="1"/>
  <c r="M7" i="35" s="1"/>
  <c r="M35" i="35" a="1"/>
  <c r="M35" i="35" s="1"/>
  <c r="M47" i="35" a="1"/>
  <c r="M47" i="35" s="1"/>
  <c r="M63" i="35" a="1"/>
  <c r="M63" i="35" s="1"/>
  <c r="Z16" i="35" a="1"/>
  <c r="Z16" i="35" s="1"/>
  <c r="M46" i="35" a="1"/>
  <c r="M46" i="35" s="1"/>
  <c r="M71" i="35" a="1"/>
  <c r="M71" i="35" s="1"/>
  <c r="M50" i="35" a="1"/>
  <c r="M50" i="35" s="1"/>
  <c r="M68" i="35" a="1"/>
  <c r="M68" i="35" s="1"/>
  <c r="M18" i="35" a="1"/>
  <c r="M18" i="35" s="1"/>
  <c r="M21" i="35" a="1"/>
  <c r="M21" i="35" s="1"/>
  <c r="M17" i="35" a="1"/>
  <c r="M17" i="35" s="1"/>
  <c r="M25" i="35" a="1"/>
  <c r="M25" i="35" s="1"/>
  <c r="M61" i="35" a="1"/>
  <c r="M61" i="35" s="1"/>
  <c r="M92" i="35" a="1"/>
  <c r="M92" i="35" s="1"/>
  <c r="M75" i="35" a="1"/>
  <c r="M75" i="35" s="1"/>
  <c r="M19" i="35" a="1"/>
  <c r="M19" i="35" s="1"/>
  <c r="M67" i="35" a="1"/>
  <c r="M67" i="35" s="1"/>
  <c r="M39" i="35" a="1"/>
  <c r="M39" i="35" s="1"/>
  <c r="M57" i="35" a="1"/>
  <c r="M57" i="35" s="1"/>
  <c r="M59" i="35" a="1"/>
  <c r="M59" i="35" s="1"/>
  <c r="M43" i="35" a="1"/>
  <c r="M43" i="35" s="1"/>
  <c r="M27" i="35" a="1"/>
  <c r="M27" i="35" s="1"/>
  <c r="M91" i="35" a="1"/>
  <c r="M91" i="35" s="1"/>
  <c r="M55" i="35" a="1"/>
  <c r="M55" i="35" s="1"/>
  <c r="Z15" i="35" a="1"/>
  <c r="Z15" i="35" s="1"/>
  <c r="M13" i="35" a="1"/>
  <c r="M13" i="35" s="1"/>
  <c r="M42" i="35" a="1"/>
  <c r="M42" i="35" s="1"/>
  <c r="M48" i="35" a="1"/>
  <c r="M48" i="35" s="1"/>
  <c r="M33" i="35" a="1"/>
  <c r="M33" i="35" s="1"/>
  <c r="M20" i="35" a="1"/>
  <c r="M20" i="35" s="1"/>
  <c r="M64" i="35" a="1"/>
  <c r="M64" i="35" s="1"/>
  <c r="M73" i="35" a="1"/>
  <c r="M73" i="35" s="1"/>
  <c r="M40" i="35" a="1"/>
  <c r="M40" i="35" s="1"/>
  <c r="M76" i="35" a="1"/>
  <c r="M76" i="35" s="1"/>
  <c r="M51" i="35" a="1"/>
  <c r="M51" i="35" s="1"/>
  <c r="M77" i="35" a="1"/>
  <c r="M77" i="35" s="1"/>
  <c r="M11" i="35" a="1"/>
  <c r="M11" i="35" s="1"/>
  <c r="M6" i="35" a="1"/>
  <c r="M6" i="35" s="1"/>
  <c r="Z7" i="35" a="1"/>
  <c r="Z7" i="35" s="1"/>
  <c r="Z6" i="35" s="1"/>
  <c r="M23" i="35" a="1"/>
  <c r="M23" i="35" s="1"/>
  <c r="M16" i="35" a="1"/>
  <c r="M16" i="35" s="1"/>
  <c r="M62" i="35" a="1"/>
  <c r="M62" i="35" s="1"/>
  <c r="M49" i="35" a="1"/>
  <c r="M49" i="35" s="1"/>
  <c r="M74" i="35" a="1"/>
  <c r="M74" i="35" s="1"/>
  <c r="M44" i="35" a="1"/>
  <c r="M44" i="35" s="1"/>
  <c r="M69" i="35" a="1"/>
  <c r="M69" i="35" s="1"/>
  <c r="M65" i="35" a="1"/>
  <c r="M65" i="35" s="1"/>
  <c r="M41" i="35" a="1"/>
  <c r="M41" i="35" s="1"/>
  <c r="M31" i="35" a="1"/>
  <c r="M31" i="35" s="1"/>
  <c r="M54" i="35" a="1"/>
  <c r="M54" i="35" s="1"/>
  <c r="M14" i="35" a="1"/>
  <c r="M14" i="35" s="1"/>
  <c r="M32" i="35" a="1"/>
  <c r="M32" i="35" s="1"/>
  <c r="M56" i="35" a="1"/>
  <c r="M56" i="35" s="1"/>
  <c r="M66" i="35" a="1"/>
  <c r="M66" i="35" s="1"/>
  <c r="M28" i="35" a="1"/>
  <c r="M28" i="35" s="1"/>
  <c r="M34" i="35" a="1"/>
  <c r="M34" i="35" s="1"/>
  <c r="M8" i="35" a="1"/>
  <c r="M8" i="35" s="1"/>
  <c r="M58" i="35" a="1"/>
  <c r="M58" i="35" s="1"/>
  <c r="AB6" i="38" a="1"/>
  <c r="AB6" i="38" s="1"/>
  <c r="V3" i="38" a="1"/>
  <c r="V3" i="38" s="1"/>
  <c r="U9" i="34" a="1"/>
  <c r="U9" i="34" s="1"/>
  <c r="V9" i="34" a="1"/>
  <c r="V9" i="34" s="1"/>
  <c r="L3" i="38" a="1"/>
  <c r="L3" i="38" s="1"/>
  <c r="V6" i="34" a="1"/>
  <c r="V6" i="34" s="1"/>
  <c r="Z17" i="34" a="1"/>
  <c r="Z17" i="34" s="1"/>
  <c r="Z16" i="34" a="1"/>
  <c r="Z16" i="34" s="1"/>
  <c r="V8" i="37" a="1"/>
  <c r="V8" i="37" s="1"/>
  <c r="U8" i="37" a="1"/>
  <c r="U8" i="37" s="1"/>
  <c r="V13" i="37" a="1"/>
  <c r="V13" i="37" s="1"/>
  <c r="Z16" i="37" a="1"/>
  <c r="Z16" i="37" s="1"/>
  <c r="Z17" i="37" a="1"/>
  <c r="Z17" i="37" s="1"/>
  <c r="Z15" i="37" a="1"/>
  <c r="Z15" i="37" s="1"/>
  <c r="U7" i="37" a="1"/>
  <c r="U7" i="37" s="1"/>
  <c r="V7" i="37" a="1"/>
  <c r="V7" i="37" s="1"/>
  <c r="U9" i="37" a="1"/>
  <c r="U9" i="37" s="1"/>
  <c r="V9" i="37" a="1"/>
  <c r="V9" i="37" s="1"/>
  <c r="Z15" i="34" a="1"/>
  <c r="Z15" i="34" s="1"/>
  <c r="V7" i="36" a="1"/>
  <c r="V7" i="36" s="1"/>
  <c r="U7" i="36" a="1"/>
  <c r="U7" i="36" s="1"/>
  <c r="Z16" i="36" a="1"/>
  <c r="Z16" i="36" s="1"/>
  <c r="Z17" i="36" a="1"/>
  <c r="Z17" i="36" s="1"/>
  <c r="Z15" i="36" a="1"/>
  <c r="Z15" i="36" s="1"/>
  <c r="V13" i="36" a="1"/>
  <c r="V13" i="36" s="1"/>
  <c r="U9" i="36" a="1"/>
  <c r="U9" i="36" s="1"/>
  <c r="V9" i="36" a="1"/>
  <c r="V9" i="36" s="1"/>
  <c r="M90" i="36" a="1"/>
  <c r="M90" i="36" s="1"/>
  <c r="Z7" i="36" a="1"/>
  <c r="Z7" i="36" s="1"/>
  <c r="Z6" i="36" s="1"/>
  <c r="M75" i="36" a="1"/>
  <c r="M75" i="36" s="1"/>
  <c r="M60" i="36" a="1"/>
  <c r="M60" i="36" s="1"/>
  <c r="M98" i="36" a="1"/>
  <c r="M98" i="36" s="1"/>
  <c r="M34" i="36" a="1"/>
  <c r="M34" i="36" s="1"/>
  <c r="M18" i="36" a="1"/>
  <c r="M18" i="36" s="1"/>
  <c r="M28" i="36" a="1"/>
  <c r="M28" i="36" s="1"/>
  <c r="M8" i="36" a="1"/>
  <c r="M8" i="36" s="1"/>
  <c r="M82" i="36" a="1"/>
  <c r="M82" i="36" s="1"/>
  <c r="M37" i="36" a="1"/>
  <c r="M37" i="36" s="1"/>
  <c r="M38" i="36" a="1"/>
  <c r="M38" i="36" s="1"/>
  <c r="M65" i="36" a="1"/>
  <c r="M65" i="36" s="1"/>
  <c r="M95" i="36" a="1"/>
  <c r="M95" i="36" s="1"/>
  <c r="M41" i="36" a="1"/>
  <c r="M41" i="36" s="1"/>
  <c r="M69" i="36" a="1"/>
  <c r="M69" i="36" s="1"/>
  <c r="M94" i="36" a="1"/>
  <c r="M94" i="36" s="1"/>
  <c r="M83" i="36" a="1"/>
  <c r="M83" i="36" s="1"/>
  <c r="M7" i="36" a="1"/>
  <c r="M7" i="36" s="1"/>
  <c r="M91" i="36" a="1"/>
  <c r="M91" i="36" s="1"/>
  <c r="M72" i="36" a="1"/>
  <c r="M72" i="36" s="1"/>
  <c r="M86" i="36" a="1"/>
  <c r="M86" i="36" s="1"/>
  <c r="M30" i="36" a="1"/>
  <c r="M30" i="36" s="1"/>
  <c r="M15" i="36" a="1"/>
  <c r="M15" i="36" s="1"/>
  <c r="M43" i="36" a="1"/>
  <c r="M43" i="36" s="1"/>
  <c r="M68" i="36" a="1"/>
  <c r="M68" i="36" s="1"/>
  <c r="M66" i="36" a="1"/>
  <c r="M66" i="36" s="1"/>
  <c r="M54" i="36" a="1"/>
  <c r="M54" i="36" s="1"/>
  <c r="M45" i="36" a="1"/>
  <c r="M45" i="36" s="1"/>
  <c r="M33" i="36" a="1"/>
  <c r="M33" i="36" s="1"/>
  <c r="M85" i="36" a="1"/>
  <c r="M85" i="36" s="1"/>
  <c r="M12" i="36" a="1"/>
  <c r="M12" i="36" s="1"/>
  <c r="M11" i="36" a="1"/>
  <c r="M11" i="36" s="1"/>
  <c r="M42" i="36" a="1"/>
  <c r="M42" i="36" s="1"/>
  <c r="M74" i="36" a="1"/>
  <c r="M74" i="36" s="1"/>
  <c r="M6" i="36" a="1"/>
  <c r="M6" i="36" s="1"/>
  <c r="M17" i="36" a="1"/>
  <c r="M17" i="36" s="1"/>
  <c r="M19" i="36" a="1"/>
  <c r="M19" i="36" s="1"/>
  <c r="M32" i="36" a="1"/>
  <c r="M32" i="36" s="1"/>
  <c r="M35" i="36" a="1"/>
  <c r="M35" i="36" s="1"/>
  <c r="M77" i="36" a="1"/>
  <c r="M77" i="36" s="1"/>
  <c r="M25" i="36" a="1"/>
  <c r="M25" i="36" s="1"/>
  <c r="M44" i="36" a="1"/>
  <c r="M44" i="36" s="1"/>
  <c r="M81" i="36" a="1"/>
  <c r="M81" i="36" s="1"/>
  <c r="M79" i="36" a="1"/>
  <c r="M79" i="36" s="1"/>
  <c r="M80" i="36" a="1"/>
  <c r="M80" i="36" s="1"/>
  <c r="M46" i="36" a="1"/>
  <c r="M46" i="36" s="1"/>
  <c r="M40" i="36" a="1"/>
  <c r="M40" i="36" s="1"/>
  <c r="M31" i="36" a="1"/>
  <c r="M31" i="36" s="1"/>
  <c r="M63" i="36" a="1"/>
  <c r="M63" i="36" s="1"/>
  <c r="M26" i="36" a="1"/>
  <c r="M26" i="36" s="1"/>
  <c r="M21" i="36" a="1"/>
  <c r="M21" i="36" s="1"/>
  <c r="M96" i="36" a="1"/>
  <c r="M96" i="36" s="1"/>
  <c r="M29" i="36" a="1"/>
  <c r="M29" i="36" s="1"/>
  <c r="M53" i="36" a="1"/>
  <c r="M53" i="36" s="1"/>
  <c r="M88" i="36" a="1"/>
  <c r="M88" i="36" s="1"/>
  <c r="M78" i="36" a="1"/>
  <c r="M78" i="36" s="1"/>
  <c r="M55" i="36" a="1"/>
  <c r="M55" i="36" s="1"/>
  <c r="M9" i="36" a="1"/>
  <c r="M9" i="36" s="1"/>
  <c r="M20" i="36" a="1"/>
  <c r="M20" i="36" s="1"/>
  <c r="M48" i="36" a="1"/>
  <c r="M48" i="36" s="1"/>
  <c r="M47" i="36" a="1"/>
  <c r="M47" i="36" s="1"/>
  <c r="M39" i="36" a="1"/>
  <c r="M39" i="36" s="1"/>
  <c r="M62" i="36" a="1"/>
  <c r="M62" i="36" s="1"/>
  <c r="M61" i="36" a="1"/>
  <c r="M61" i="36" s="1"/>
  <c r="M22" i="36" a="1"/>
  <c r="M22" i="36" s="1"/>
  <c r="M24" i="36" a="1"/>
  <c r="M24" i="36" s="1"/>
  <c r="M92" i="36" a="1"/>
  <c r="M92" i="36" s="1"/>
  <c r="M50" i="36" a="1"/>
  <c r="M50" i="36" s="1"/>
  <c r="M71" i="36" a="1"/>
  <c r="M71" i="36" s="1"/>
  <c r="M16" i="36" a="1"/>
  <c r="M16" i="36" s="1"/>
  <c r="M27" i="36" a="1"/>
  <c r="M27" i="36" s="1"/>
  <c r="M52" i="36" a="1"/>
  <c r="M52" i="36" s="1"/>
  <c r="M13" i="36" a="1"/>
  <c r="M13" i="36" s="1"/>
  <c r="M58" i="36" a="1"/>
  <c r="M58" i="36" s="1"/>
  <c r="M56" i="36" a="1"/>
  <c r="M56" i="36" s="1"/>
  <c r="M36" i="36" a="1"/>
  <c r="M36" i="36" s="1"/>
  <c r="M84" i="36" a="1"/>
  <c r="M84" i="36" s="1"/>
  <c r="M67" i="36" a="1"/>
  <c r="M67" i="36" s="1"/>
  <c r="M57" i="36" a="1"/>
  <c r="M57" i="36" s="1"/>
  <c r="M49" i="36" a="1"/>
  <c r="M49" i="36" s="1"/>
  <c r="M87" i="36" a="1"/>
  <c r="M87" i="36" s="1"/>
  <c r="M89" i="36" a="1"/>
  <c r="M89" i="36" s="1"/>
  <c r="M73" i="36" a="1"/>
  <c r="M73" i="36" s="1"/>
  <c r="M51" i="36" a="1"/>
  <c r="M51" i="36" s="1"/>
  <c r="M70" i="36" a="1"/>
  <c r="M70" i="36" s="1"/>
  <c r="M59" i="36" a="1"/>
  <c r="M59" i="36" s="1"/>
  <c r="M76" i="36" a="1"/>
  <c r="M76" i="36" s="1"/>
  <c r="M23" i="36" a="1"/>
  <c r="M23" i="36" s="1"/>
  <c r="M64" i="36" a="1"/>
  <c r="M64" i="36" s="1"/>
  <c r="M97" i="36" a="1"/>
  <c r="M97" i="36" s="1"/>
  <c r="M14" i="36" a="1"/>
  <c r="M14" i="36" s="1"/>
  <c r="M93" i="36" a="1"/>
  <c r="M93" i="36" s="1"/>
  <c r="M10" i="36" a="1"/>
  <c r="M10" i="36" s="1"/>
  <c r="V6" i="36" a="1"/>
  <c r="V6" i="36" s="1"/>
  <c r="U6" i="36" a="1"/>
  <c r="U6" i="36" s="1"/>
  <c r="V8" i="36" a="1"/>
  <c r="V8" i="36" s="1"/>
  <c r="U8" i="36" a="1"/>
  <c r="U8" i="36" s="1"/>
  <c r="M96" i="37" a="1"/>
  <c r="M96" i="37" s="1"/>
  <c r="M92" i="37" a="1"/>
  <c r="M92" i="37" s="1"/>
  <c r="M66" i="37" a="1"/>
  <c r="M66" i="37" s="1"/>
  <c r="M58" i="37" a="1"/>
  <c r="M58" i="37" s="1"/>
  <c r="M53" i="37" a="1"/>
  <c r="M53" i="37" s="1"/>
  <c r="M63" i="37" a="1"/>
  <c r="M63" i="37" s="1"/>
  <c r="M69" i="37" a="1"/>
  <c r="M69" i="37" s="1"/>
  <c r="M68" i="37" a="1"/>
  <c r="M68" i="37" s="1"/>
  <c r="M84" i="37" a="1"/>
  <c r="M84" i="37" s="1"/>
  <c r="M79" i="37" a="1"/>
  <c r="M79" i="37" s="1"/>
  <c r="Z7" i="37" a="1"/>
  <c r="Z7" i="37" s="1"/>
  <c r="Z6" i="37" s="1"/>
  <c r="M22" i="37" a="1"/>
  <c r="M22" i="37" s="1"/>
  <c r="M93" i="37" a="1"/>
  <c r="M93" i="37" s="1"/>
  <c r="M31" i="37" a="1"/>
  <c r="M31" i="37" s="1"/>
  <c r="M38" i="37" a="1"/>
  <c r="M38" i="37" s="1"/>
  <c r="M18" i="37" a="1"/>
  <c r="M18" i="37" s="1"/>
  <c r="M43" i="37" a="1"/>
  <c r="M43" i="37" s="1"/>
  <c r="M41" i="37" a="1"/>
  <c r="M41" i="37" s="1"/>
  <c r="M16" i="37" a="1"/>
  <c r="M16" i="37" s="1"/>
  <c r="M11" i="37" a="1"/>
  <c r="M11" i="37" s="1"/>
  <c r="M51" i="37" a="1"/>
  <c r="M51" i="37" s="1"/>
  <c r="M39" i="37" a="1"/>
  <c r="M39" i="37" s="1"/>
  <c r="M17" i="37" a="1"/>
  <c r="M17" i="37" s="1"/>
  <c r="M23" i="37" a="1"/>
  <c r="M23" i="37" s="1"/>
  <c r="M7" i="37" a="1"/>
  <c r="M7" i="37" s="1"/>
  <c r="M85" i="37" a="1"/>
  <c r="M85" i="37" s="1"/>
  <c r="M90" i="37" a="1"/>
  <c r="M90" i="37" s="1"/>
  <c r="M45" i="37" a="1"/>
  <c r="M45" i="37" s="1"/>
  <c r="M80" i="37" a="1"/>
  <c r="M80" i="37" s="1"/>
  <c r="M50" i="37" a="1"/>
  <c r="M50" i="37" s="1"/>
  <c r="M57" i="37" a="1"/>
  <c r="M57" i="37" s="1"/>
  <c r="M29" i="37" a="1"/>
  <c r="M29" i="37" s="1"/>
  <c r="M97" i="37" a="1"/>
  <c r="M97" i="37" s="1"/>
  <c r="M82" i="37" a="1"/>
  <c r="M82" i="37" s="1"/>
  <c r="M61" i="37" a="1"/>
  <c r="M61" i="37" s="1"/>
  <c r="M40" i="37" a="1"/>
  <c r="M40" i="37" s="1"/>
  <c r="M76" i="37" a="1"/>
  <c r="M76" i="37" s="1"/>
  <c r="M8" i="37" a="1"/>
  <c r="M8" i="37" s="1"/>
  <c r="M73" i="37" a="1"/>
  <c r="M73" i="37" s="1"/>
  <c r="M26" i="37" a="1"/>
  <c r="M26" i="37" s="1"/>
  <c r="M62" i="37" a="1"/>
  <c r="M62" i="37" s="1"/>
  <c r="M9" i="37" a="1"/>
  <c r="M9" i="37" s="1"/>
  <c r="M15" i="37" a="1"/>
  <c r="M15" i="37" s="1"/>
  <c r="M48" i="37" a="1"/>
  <c r="M48" i="37" s="1"/>
  <c r="M34" i="37" a="1"/>
  <c r="M34" i="37" s="1"/>
  <c r="M14" i="37" a="1"/>
  <c r="M14" i="37" s="1"/>
  <c r="M91" i="37" a="1"/>
  <c r="M91" i="37" s="1"/>
  <c r="M46" i="37" a="1"/>
  <c r="M46" i="37" s="1"/>
  <c r="M87" i="37" a="1"/>
  <c r="M87" i="37" s="1"/>
  <c r="M36" i="37" a="1"/>
  <c r="M36" i="37" s="1"/>
  <c r="M28" i="37" a="1"/>
  <c r="M28" i="37" s="1"/>
  <c r="M13" i="37" a="1"/>
  <c r="M13" i="37" s="1"/>
  <c r="M12" i="37" a="1"/>
  <c r="M12" i="37" s="1"/>
  <c r="M72" i="37" a="1"/>
  <c r="M72" i="37" s="1"/>
  <c r="M44" i="37" a="1"/>
  <c r="M44" i="37" s="1"/>
  <c r="M49" i="37" a="1"/>
  <c r="M49" i="37" s="1"/>
  <c r="M54" i="37" a="1"/>
  <c r="M54" i="37" s="1"/>
  <c r="M52" i="37" a="1"/>
  <c r="M52" i="37" s="1"/>
  <c r="M81" i="37" a="1"/>
  <c r="M81" i="37" s="1"/>
  <c r="M67" i="37" a="1"/>
  <c r="M67" i="37" s="1"/>
  <c r="M94" i="37" a="1"/>
  <c r="M94" i="37" s="1"/>
  <c r="M55" i="37" a="1"/>
  <c r="M55" i="37" s="1"/>
  <c r="M59" i="37" a="1"/>
  <c r="M59" i="37" s="1"/>
  <c r="M88" i="37" a="1"/>
  <c r="M88" i="37" s="1"/>
  <c r="M71" i="37" a="1"/>
  <c r="M71" i="37" s="1"/>
  <c r="M65" i="37" a="1"/>
  <c r="M65" i="37" s="1"/>
  <c r="M42" i="37" a="1"/>
  <c r="M42" i="37" s="1"/>
  <c r="M78" i="37" a="1"/>
  <c r="M78" i="37" s="1"/>
  <c r="M37" i="37" a="1"/>
  <c r="M37" i="37" s="1"/>
  <c r="M32" i="37" a="1"/>
  <c r="M32" i="37" s="1"/>
  <c r="M10" i="37" a="1"/>
  <c r="M10" i="37" s="1"/>
  <c r="M47" i="37" a="1"/>
  <c r="M47" i="37" s="1"/>
  <c r="M60" i="37" a="1"/>
  <c r="M60" i="37" s="1"/>
  <c r="M95" i="37" a="1"/>
  <c r="M95" i="37" s="1"/>
  <c r="M24" i="37" a="1"/>
  <c r="M24" i="37" s="1"/>
  <c r="M75" i="37" a="1"/>
  <c r="M75" i="37" s="1"/>
  <c r="M20" i="37" a="1"/>
  <c r="M20" i="37" s="1"/>
  <c r="M74" i="37" a="1"/>
  <c r="M74" i="37" s="1"/>
  <c r="M21" i="37" a="1"/>
  <c r="M21" i="37" s="1"/>
  <c r="M56" i="37" a="1"/>
  <c r="M56" i="37" s="1"/>
  <c r="M83" i="37" a="1"/>
  <c r="M83" i="37" s="1"/>
  <c r="M30" i="37" a="1"/>
  <c r="M30" i="37" s="1"/>
  <c r="M19" i="37" a="1"/>
  <c r="M19" i="37" s="1"/>
  <c r="M86" i="37" a="1"/>
  <c r="M86" i="37" s="1"/>
  <c r="M89" i="37" a="1"/>
  <c r="M89" i="37" s="1"/>
  <c r="M64" i="37" a="1"/>
  <c r="M64" i="37" s="1"/>
  <c r="M77" i="37" a="1"/>
  <c r="M77" i="37" s="1"/>
  <c r="M33" i="37" a="1"/>
  <c r="M33" i="37" s="1"/>
  <c r="M27" i="37" a="1"/>
  <c r="M27" i="37" s="1"/>
  <c r="M35" i="37" a="1"/>
  <c r="M35" i="37" s="1"/>
  <c r="M70" i="37" a="1"/>
  <c r="M70" i="37" s="1"/>
  <c r="M6" i="37" a="1"/>
  <c r="M6" i="37" s="1"/>
  <c r="M25" i="37" a="1"/>
  <c r="M25" i="37" s="1"/>
  <c r="U6" i="37" a="1"/>
  <c r="U6" i="37" s="1"/>
  <c r="V6" i="37" a="1"/>
  <c r="V6" i="37" s="1"/>
  <c r="M67" i="34" a="1"/>
  <c r="M67" i="34" s="1"/>
  <c r="M78" i="34" a="1"/>
  <c r="M78" i="34" s="1"/>
  <c r="M88" i="34" a="1"/>
  <c r="M88" i="34" s="1"/>
  <c r="M29" i="34" a="1"/>
  <c r="M29" i="34" s="1"/>
  <c r="M9" i="34" a="1"/>
  <c r="M9" i="34" s="1"/>
  <c r="M6" i="34" a="1"/>
  <c r="M6" i="34" s="1"/>
  <c r="M47" i="34" a="1"/>
  <c r="M47" i="34" s="1"/>
  <c r="U7" i="34" a="1"/>
  <c r="U7" i="34" s="1"/>
  <c r="M84" i="34" a="1"/>
  <c r="M84" i="34" s="1"/>
  <c r="V8" i="34" a="1"/>
  <c r="V8" i="34" s="1"/>
  <c r="M81" i="34" a="1"/>
  <c r="M81" i="34" s="1"/>
  <c r="M74" i="34" a="1"/>
  <c r="M74" i="34" s="1"/>
  <c r="M75" i="34" a="1"/>
  <c r="M75" i="34" s="1"/>
  <c r="M95" i="34" a="1"/>
  <c r="M95" i="34" s="1"/>
  <c r="M96" i="34" a="1"/>
  <c r="M96" i="34" s="1"/>
  <c r="M93" i="34" a="1"/>
  <c r="M93" i="34" s="1"/>
  <c r="M36" i="34" a="1"/>
  <c r="M36" i="34" s="1"/>
  <c r="M44" i="34" a="1"/>
  <c r="M44" i="34" s="1"/>
  <c r="M51" i="34" a="1"/>
  <c r="M51" i="34" s="1"/>
  <c r="M12" i="34" a="1"/>
  <c r="M12" i="34" s="1"/>
  <c r="M70" i="34" a="1"/>
  <c r="M70" i="34" s="1"/>
  <c r="M66" i="34" a="1"/>
  <c r="M66" i="34" s="1"/>
  <c r="M18" i="34" a="1"/>
  <c r="M18" i="34" s="1"/>
  <c r="M55" i="34" a="1"/>
  <c r="M55" i="34" s="1"/>
  <c r="M23" i="34" a="1"/>
  <c r="M23" i="34" s="1"/>
  <c r="M97" i="34" a="1"/>
  <c r="M97" i="34" s="1"/>
  <c r="M50" i="34" a="1"/>
  <c r="M50" i="34" s="1"/>
  <c r="M54" i="34" a="1"/>
  <c r="M54" i="34" s="1"/>
  <c r="M35" i="34" a="1"/>
  <c r="M35" i="34" s="1"/>
  <c r="M80" i="34" a="1"/>
  <c r="M80" i="34" s="1"/>
  <c r="M22" i="34" a="1"/>
  <c r="M22" i="34" s="1"/>
  <c r="M46" i="34" a="1"/>
  <c r="M46" i="34" s="1"/>
  <c r="M87" i="34" a="1"/>
  <c r="M87" i="34" s="1"/>
  <c r="M59" i="34" a="1"/>
  <c r="M59" i="34" s="1"/>
  <c r="M53" i="34" a="1"/>
  <c r="M53" i="34" s="1"/>
  <c r="M63" i="34" a="1"/>
  <c r="M63" i="34" s="1"/>
  <c r="M24" i="34" a="1"/>
  <c r="M24" i="34" s="1"/>
  <c r="M7" i="34" a="1"/>
  <c r="M7" i="34" s="1"/>
  <c r="M64" i="34" a="1"/>
  <c r="M64" i="34" s="1"/>
  <c r="M61" i="34" a="1"/>
  <c r="M61" i="34" s="1"/>
  <c r="M45" i="34" a="1"/>
  <c r="M45" i="34" s="1"/>
  <c r="M8" i="34" a="1"/>
  <c r="M8" i="34" s="1"/>
  <c r="M82" i="34" a="1"/>
  <c r="M82" i="34" s="1"/>
  <c r="M16" i="34" a="1"/>
  <c r="M16" i="34" s="1"/>
  <c r="M49" i="34" a="1"/>
  <c r="M49" i="34" s="1"/>
  <c r="M11" i="34" a="1"/>
  <c r="M11" i="34" s="1"/>
  <c r="M62" i="34" a="1"/>
  <c r="M62" i="34" s="1"/>
  <c r="M90" i="34" a="1"/>
  <c r="M90" i="34" s="1"/>
  <c r="M83" i="34" a="1"/>
  <c r="M83" i="34" s="1"/>
  <c r="M21" i="34" a="1"/>
  <c r="M21" i="34" s="1"/>
  <c r="M17" i="34" a="1"/>
  <c r="M17" i="34" s="1"/>
  <c r="M71" i="34" a="1"/>
  <c r="M71" i="34" s="1"/>
  <c r="M38" i="34" a="1"/>
  <c r="M38" i="34" s="1"/>
  <c r="M41" i="34" a="1"/>
  <c r="M41" i="34" s="1"/>
  <c r="M28" i="34" a="1"/>
  <c r="M28" i="34" s="1"/>
  <c r="M65" i="34" a="1"/>
  <c r="M65" i="34" s="1"/>
  <c r="M52" i="34" a="1"/>
  <c r="M52" i="34" s="1"/>
  <c r="M79" i="34" a="1"/>
  <c r="M79" i="34" s="1"/>
  <c r="U10" i="34" a="1"/>
  <c r="U10" i="34" s="1"/>
  <c r="M15" i="34" a="1"/>
  <c r="M15" i="34" s="1"/>
  <c r="M86" i="34" a="1"/>
  <c r="M86" i="34" s="1"/>
  <c r="M57" i="34" a="1"/>
  <c r="M57" i="34" s="1"/>
  <c r="M32" i="34" a="1"/>
  <c r="M32" i="34" s="1"/>
  <c r="M77" i="34" a="1"/>
  <c r="M77" i="34" s="1"/>
  <c r="M92" i="34" a="1"/>
  <c r="M92" i="34" s="1"/>
  <c r="M39" i="34" a="1"/>
  <c r="M39" i="34" s="1"/>
  <c r="M69" i="34" a="1"/>
  <c r="M69" i="34" s="1"/>
  <c r="M34" i="34" a="1"/>
  <c r="M34" i="34" s="1"/>
  <c r="M40" i="34" a="1"/>
  <c r="M40" i="34" s="1"/>
  <c r="M89" i="34" a="1"/>
  <c r="M89" i="34" s="1"/>
  <c r="M73" i="34" a="1"/>
  <c r="M73" i="34" s="1"/>
  <c r="M10" i="34" a="1"/>
  <c r="M10" i="34" s="1"/>
  <c r="M91" i="34" a="1"/>
  <c r="M91" i="34" s="1"/>
  <c r="M85" i="34" a="1"/>
  <c r="M85" i="34" s="1"/>
  <c r="M72" i="34" a="1"/>
  <c r="M72" i="34" s="1"/>
  <c r="M94" i="34" a="1"/>
  <c r="M94" i="34" s="1"/>
  <c r="M31" i="34" a="1"/>
  <c r="M31" i="34" s="1"/>
  <c r="M20" i="34" a="1"/>
  <c r="M20" i="34" s="1"/>
  <c r="M19" i="34" a="1"/>
  <c r="M19" i="34" s="1"/>
  <c r="M27" i="34" a="1"/>
  <c r="M27" i="34" s="1"/>
  <c r="M68" i="34" a="1"/>
  <c r="M68" i="34" s="1"/>
  <c r="M14" i="34" a="1"/>
  <c r="M14" i="34" s="1"/>
  <c r="Z7" i="34" a="1"/>
  <c r="Z7" i="34" s="1"/>
  <c r="Z6" i="34" s="1"/>
  <c r="U8" i="34" a="1"/>
  <c r="U8" i="34" s="1"/>
  <c r="M25" i="34" a="1"/>
  <c r="M25" i="34" s="1"/>
  <c r="M76" i="34" a="1"/>
  <c r="M76" i="34" s="1"/>
  <c r="M43" i="34" a="1"/>
  <c r="M43" i="34" s="1"/>
  <c r="M33" i="34" a="1"/>
  <c r="M33" i="34" s="1"/>
  <c r="M58" i="34" a="1"/>
  <c r="M58" i="34" s="1"/>
  <c r="M56" i="34" a="1"/>
  <c r="M56" i="34" s="1"/>
  <c r="M26" i="34" a="1"/>
  <c r="M26" i="34" s="1"/>
  <c r="M48" i="34" a="1"/>
  <c r="M48" i="34" s="1"/>
  <c r="M42" i="34" a="1"/>
  <c r="M42" i="34" s="1"/>
  <c r="M37" i="34" a="1"/>
  <c r="M37" i="34" s="1"/>
  <c r="M30" i="34" a="1"/>
  <c r="M30" i="34" s="1"/>
  <c r="M13" i="34" a="1"/>
  <c r="M13" i="34" s="1"/>
  <c r="M60" i="34" a="1"/>
  <c r="M60" i="34" s="1"/>
  <c r="C8" i="4"/>
  <c r="E8" i="4" s="1"/>
  <c r="AD8" i="4"/>
  <c r="B25" i="4"/>
  <c r="AB6" i="41" l="1"/>
  <c r="AE6" i="41" a="1"/>
  <c r="AE6" i="41" s="1"/>
  <c r="M76" i="39" a="1"/>
  <c r="M76" i="39" s="1"/>
  <c r="M69" i="39" a="1"/>
  <c r="M69" i="39" s="1"/>
  <c r="M73" i="39" a="1"/>
  <c r="M73" i="39" s="1"/>
  <c r="M74" i="39" a="1"/>
  <c r="M74" i="39" s="1"/>
  <c r="M70" i="39" a="1"/>
  <c r="M70" i="39" s="1"/>
  <c r="M72" i="39" a="1"/>
  <c r="M72" i="39" s="1"/>
  <c r="M68" i="39" a="1"/>
  <c r="M68" i="39" s="1"/>
  <c r="M71" i="39" a="1"/>
  <c r="M71" i="39" s="1"/>
  <c r="M75" i="39" a="1"/>
  <c r="M75" i="39" s="1"/>
  <c r="W12" i="39" a="1"/>
  <c r="W12" i="39" s="1"/>
  <c r="W8" i="39" a="1"/>
  <c r="W8" i="39" s="1"/>
  <c r="U8" i="39" a="1"/>
  <c r="U8" i="39" s="1"/>
  <c r="V8" i="39" a="1"/>
  <c r="V8" i="39" s="1"/>
  <c r="V11" i="39" a="1"/>
  <c r="V11" i="39" s="1"/>
  <c r="W11" i="39" a="1"/>
  <c r="W11" i="39" s="1"/>
  <c r="Z15" i="39" s="1"/>
  <c r="U7" i="39" a="1"/>
  <c r="U7" i="39" s="1"/>
  <c r="W7" i="39" a="1"/>
  <c r="W7" i="39" s="1"/>
  <c r="V7" i="39" a="1"/>
  <c r="V7" i="39" s="1"/>
  <c r="M55" i="39" a="1"/>
  <c r="M55" i="39" s="1"/>
  <c r="U12" i="39" a="1"/>
  <c r="U12" i="39" s="1"/>
  <c r="V12" i="39" a="1"/>
  <c r="V12" i="39" s="1"/>
  <c r="M12" i="39" a="1"/>
  <c r="M12" i="39" s="1"/>
  <c r="M51" i="39" a="1"/>
  <c r="M51" i="39" s="1"/>
  <c r="M80" i="39" a="1"/>
  <c r="M80" i="39" s="1"/>
  <c r="U6" i="39" a="1"/>
  <c r="U6" i="39" s="1"/>
  <c r="V6" i="39" a="1"/>
  <c r="V6" i="39" s="1"/>
  <c r="Z7" i="39" a="1"/>
  <c r="Z7" i="39" s="1"/>
  <c r="Z6" i="39" s="1"/>
  <c r="AB6" i="35" a="1"/>
  <c r="AB6" i="35" s="1"/>
  <c r="V3" i="35" a="1"/>
  <c r="V3" i="35" s="1"/>
  <c r="M3" i="35" a="1"/>
  <c r="M3" i="35" s="1"/>
  <c r="V3" i="34" a="1"/>
  <c r="V3" i="34" s="1"/>
  <c r="AB6" i="37" a="1"/>
  <c r="AB6" i="37" s="1"/>
  <c r="AB6" i="34" a="1"/>
  <c r="AB6" i="34" s="1"/>
  <c r="AB6" i="36" a="1"/>
  <c r="AB6" i="36" s="1"/>
  <c r="V3" i="37" a="1"/>
  <c r="V3" i="37" s="1"/>
  <c r="V3" i="36" a="1"/>
  <c r="V3" i="36" s="1"/>
  <c r="M3" i="37" a="1"/>
  <c r="M3" i="37" s="1"/>
  <c r="M3" i="36" a="1"/>
  <c r="M3" i="36" s="1"/>
  <c r="M3" i="34" a="1"/>
  <c r="M3" i="34" s="1"/>
  <c r="M1" i="11"/>
  <c r="A8" i="1" a="1"/>
  <c r="A8" i="1" s="1"/>
  <c r="B27" i="4"/>
  <c r="A27" i="4" s="1"/>
  <c r="B26" i="4"/>
  <c r="A26" i="4" s="1"/>
  <c r="B121" i="4"/>
  <c r="H121" i="4"/>
  <c r="B122" i="4"/>
  <c r="H122" i="4"/>
  <c r="B123" i="4"/>
  <c r="H123" i="4"/>
  <c r="B124" i="4"/>
  <c r="H124" i="4"/>
  <c r="B125" i="4"/>
  <c r="H125" i="4"/>
  <c r="B126" i="4"/>
  <c r="H126" i="4"/>
  <c r="B127" i="4"/>
  <c r="H127" i="4"/>
  <c r="B128" i="4"/>
  <c r="H128" i="4"/>
  <c r="B129" i="4"/>
  <c r="H129" i="4"/>
  <c r="B130" i="4"/>
  <c r="H130" i="4"/>
  <c r="B131" i="4"/>
  <c r="H131" i="4"/>
  <c r="B132" i="4"/>
  <c r="H132" i="4"/>
  <c r="B133" i="4"/>
  <c r="H133" i="4"/>
  <c r="B134" i="4"/>
  <c r="H134" i="4"/>
  <c r="B135" i="4"/>
  <c r="H135" i="4"/>
  <c r="B136" i="4"/>
  <c r="H136" i="4"/>
  <c r="B137" i="4"/>
  <c r="H137" i="4"/>
  <c r="B138" i="4"/>
  <c r="H138" i="4"/>
  <c r="B139" i="4"/>
  <c r="H139" i="4"/>
  <c r="B140" i="4"/>
  <c r="H140" i="4"/>
  <c r="B121" i="6"/>
  <c r="H121" i="6"/>
  <c r="B122" i="6"/>
  <c r="H122" i="6"/>
  <c r="B123" i="6"/>
  <c r="H123" i="6"/>
  <c r="B124" i="6"/>
  <c r="H124" i="6"/>
  <c r="B125" i="6"/>
  <c r="H125" i="6"/>
  <c r="B126" i="6"/>
  <c r="H126" i="6"/>
  <c r="B127" i="6"/>
  <c r="H127" i="6"/>
  <c r="B128" i="6"/>
  <c r="H128" i="6"/>
  <c r="B129" i="6"/>
  <c r="H129" i="6"/>
  <c r="B130" i="6"/>
  <c r="H130" i="6"/>
  <c r="B131" i="6"/>
  <c r="H131" i="6"/>
  <c r="B132" i="6"/>
  <c r="H132" i="6"/>
  <c r="B133" i="6"/>
  <c r="H133" i="6"/>
  <c r="B134" i="6"/>
  <c r="H134" i="6"/>
  <c r="B135" i="6"/>
  <c r="H135" i="6"/>
  <c r="B136" i="6"/>
  <c r="H136" i="6"/>
  <c r="B137" i="6"/>
  <c r="H137" i="6"/>
  <c r="B138" i="6"/>
  <c r="H138" i="6"/>
  <c r="B139" i="6"/>
  <c r="H139" i="6"/>
  <c r="B140" i="6"/>
  <c r="H140" i="6"/>
  <c r="M19" i="39" l="1" a="1"/>
  <c r="M19" i="39" s="1"/>
  <c r="M79" i="39" a="1"/>
  <c r="M79" i="39" s="1"/>
  <c r="M34" i="39" a="1"/>
  <c r="M34" i="39" s="1"/>
  <c r="M63" i="39" a="1"/>
  <c r="M63" i="39" s="1"/>
  <c r="M27" i="39" a="1"/>
  <c r="M27" i="39" s="1"/>
  <c r="M26" i="39" a="1"/>
  <c r="M26" i="39" s="1"/>
  <c r="Z17" i="39"/>
  <c r="M59" i="39" a="1"/>
  <c r="M59" i="39" s="1"/>
  <c r="M48" i="39" a="1"/>
  <c r="M48" i="39" s="1"/>
  <c r="M61" i="39" a="1"/>
  <c r="M61" i="39" s="1"/>
  <c r="M50" i="39" a="1"/>
  <c r="M50" i="39" s="1"/>
  <c r="M81" i="39" a="1"/>
  <c r="M81" i="39" s="1"/>
  <c r="M52" i="39" a="1"/>
  <c r="M52" i="39" s="1"/>
  <c r="M17" i="39" a="1"/>
  <c r="M17" i="39" s="1"/>
  <c r="M43" i="39" a="1"/>
  <c r="M43" i="39" s="1"/>
  <c r="M31" i="39" a="1"/>
  <c r="M31" i="39" s="1"/>
  <c r="M77" i="39" a="1"/>
  <c r="M77" i="39" s="1"/>
  <c r="M54" i="39" a="1"/>
  <c r="M54" i="39" s="1"/>
  <c r="M83" i="39" a="1"/>
  <c r="M83" i="39" s="1"/>
  <c r="M46" i="39" a="1"/>
  <c r="M46" i="39" s="1"/>
  <c r="M28" i="39" a="1"/>
  <c r="M28" i="39" s="1"/>
  <c r="M40" i="39" a="1"/>
  <c r="M40" i="39" s="1"/>
  <c r="M30" i="39" a="1"/>
  <c r="M30" i="39" s="1"/>
  <c r="M32" i="39" a="1"/>
  <c r="M32" i="39" s="1"/>
  <c r="M18" i="39" a="1"/>
  <c r="M18" i="39" s="1"/>
  <c r="M15" i="39" a="1"/>
  <c r="M15" i="39" s="1"/>
  <c r="M53" i="39" a="1"/>
  <c r="M53" i="39" s="1"/>
  <c r="M82" i="39" a="1"/>
  <c r="M82" i="39" s="1"/>
  <c r="M38" i="39" a="1"/>
  <c r="M38" i="39" s="1"/>
  <c r="M22" i="39" a="1"/>
  <c r="M22" i="39" s="1"/>
  <c r="M66" i="39" a="1"/>
  <c r="M66" i="39" s="1"/>
  <c r="M35" i="39" a="1"/>
  <c r="M35" i="39" s="1"/>
  <c r="M37" i="39" a="1"/>
  <c r="M37" i="39" s="1"/>
  <c r="M78" i="39" a="1"/>
  <c r="M78" i="39" s="1"/>
  <c r="M29" i="39" a="1"/>
  <c r="M29" i="39" s="1"/>
  <c r="W10" i="39" a="1"/>
  <c r="W10" i="39" s="1"/>
  <c r="V10" i="39" a="1"/>
  <c r="V10" i="39" s="1"/>
  <c r="M44" i="39" a="1"/>
  <c r="M44" i="39" s="1"/>
  <c r="M42" i="39" a="1"/>
  <c r="M42" i="39" s="1"/>
  <c r="M57" i="39" a="1"/>
  <c r="M57" i="39" s="1"/>
  <c r="M60" i="39" a="1"/>
  <c r="M60" i="39" s="1"/>
  <c r="M47" i="39" a="1"/>
  <c r="M47" i="39" s="1"/>
  <c r="M24" i="39" a="1"/>
  <c r="M24" i="39" s="1"/>
  <c r="M7" i="39" a="1"/>
  <c r="M7" i="39" s="1"/>
  <c r="U9" i="39" a="1"/>
  <c r="U9" i="39" s="1"/>
  <c r="AB6" i="39" s="1" a="1"/>
  <c r="AB6" i="39" s="1"/>
  <c r="V9" i="39" a="1"/>
  <c r="V9" i="39" s="1"/>
  <c r="W9" i="39" a="1"/>
  <c r="W9" i="39" s="1"/>
  <c r="M9" i="39" a="1"/>
  <c r="M9" i="39" s="1"/>
  <c r="M8" i="39" a="1"/>
  <c r="M8" i="39" s="1"/>
  <c r="M39" i="39" a="1"/>
  <c r="M39" i="39" s="1"/>
  <c r="M41" i="39" a="1"/>
  <c r="M41" i="39" s="1"/>
  <c r="M10" i="39" a="1"/>
  <c r="M10" i="39" s="1"/>
  <c r="M49" i="39" a="1"/>
  <c r="M49" i="39" s="1"/>
  <c r="M6" i="39" a="1"/>
  <c r="M6" i="39" s="1"/>
  <c r="M14" i="39" a="1"/>
  <c r="M14" i="39" s="1"/>
  <c r="W6" i="39" a="1"/>
  <c r="W6" i="39" s="1"/>
  <c r="M45" i="39" a="1"/>
  <c r="M45" i="39" s="1"/>
  <c r="M33" i="39" a="1"/>
  <c r="M33" i="39" s="1"/>
  <c r="M64" i="39" a="1"/>
  <c r="M64" i="39" s="1"/>
  <c r="Z16" i="39"/>
  <c r="M36" i="39" a="1"/>
  <c r="M36" i="39" s="1"/>
  <c r="M62" i="39" a="1"/>
  <c r="M62" i="39" s="1"/>
  <c r="M23" i="39" a="1"/>
  <c r="M23" i="39" s="1"/>
  <c r="M58" i="39" a="1"/>
  <c r="M58" i="39" s="1"/>
  <c r="M13" i="39" a="1"/>
  <c r="M13" i="39" s="1"/>
  <c r="M16" i="39" a="1"/>
  <c r="M16" i="39" s="1"/>
  <c r="M65" i="39" a="1"/>
  <c r="M65" i="39" s="1"/>
  <c r="M56" i="39" a="1"/>
  <c r="M56" i="39" s="1"/>
  <c r="M20" i="39" a="1"/>
  <c r="M20" i="39" s="1"/>
  <c r="M21" i="39" a="1"/>
  <c r="M21" i="39" s="1"/>
  <c r="M11" i="39" a="1"/>
  <c r="M11" i="39" s="1"/>
  <c r="M67" i="39" a="1"/>
  <c r="M67" i="39" s="1"/>
  <c r="M25" i="39" a="1"/>
  <c r="M25" i="39" s="1"/>
  <c r="B119" i="4"/>
  <c r="B119" i="6"/>
  <c r="V3" i="39" l="1" a="1"/>
  <c r="V3" i="39" s="1"/>
  <c r="M3" i="39" a="1"/>
  <c r="M3" i="39" s="1"/>
  <c r="B107" i="4"/>
  <c r="H107" i="4"/>
  <c r="C16" i="6"/>
  <c r="E16" i="6" s="1"/>
  <c r="C15" i="6"/>
  <c r="E15" i="6" s="1"/>
  <c r="C14" i="6"/>
  <c r="E14" i="6" s="1"/>
  <c r="C13" i="6"/>
  <c r="E13" i="6" s="1"/>
  <c r="C11" i="6"/>
  <c r="E11" i="6" s="1"/>
  <c r="C9" i="6"/>
  <c r="E9" i="6" s="1"/>
  <c r="C8" i="6"/>
  <c r="E8" i="6" s="1"/>
  <c r="C16" i="4"/>
  <c r="C15" i="4"/>
  <c r="C14" i="4"/>
  <c r="C13" i="4"/>
  <c r="C11" i="4"/>
  <c r="C9" i="4"/>
  <c r="B116" i="6"/>
  <c r="B112" i="6"/>
  <c r="H108" i="6"/>
  <c r="B108" i="6"/>
  <c r="H107" i="6"/>
  <c r="B107" i="6"/>
  <c r="H106" i="6"/>
  <c r="B106" i="6"/>
  <c r="H105" i="6"/>
  <c r="B105" i="6"/>
  <c r="H104" i="6"/>
  <c r="B104" i="6"/>
  <c r="H103" i="6"/>
  <c r="B103" i="6"/>
  <c r="H102" i="6"/>
  <c r="B102" i="6"/>
  <c r="H101" i="6"/>
  <c r="B101" i="6"/>
  <c r="H100" i="6"/>
  <c r="B100" i="6"/>
  <c r="H99" i="6"/>
  <c r="B99" i="6"/>
  <c r="H98" i="6"/>
  <c r="B98" i="6"/>
  <c r="H97" i="6"/>
  <c r="B97" i="6"/>
  <c r="H92" i="6"/>
  <c r="B92" i="6"/>
  <c r="H91" i="6"/>
  <c r="B91" i="6"/>
  <c r="H90" i="6"/>
  <c r="B90" i="6"/>
  <c r="H89" i="6"/>
  <c r="B89" i="6"/>
  <c r="H88" i="6"/>
  <c r="B88" i="6"/>
  <c r="H87" i="6"/>
  <c r="B87" i="6"/>
  <c r="H86" i="6"/>
  <c r="B86" i="6"/>
  <c r="I81" i="6"/>
  <c r="B81" i="6" s="1"/>
  <c r="I80" i="6"/>
  <c r="I79" i="6"/>
  <c r="B79" i="6" s="1"/>
  <c r="I78" i="6"/>
  <c r="B78" i="6" s="1"/>
  <c r="H73" i="6"/>
  <c r="B73" i="6"/>
  <c r="H72" i="6"/>
  <c r="B72" i="6"/>
  <c r="AD71" i="6"/>
  <c r="H71" i="6"/>
  <c r="B71" i="6"/>
  <c r="AD70" i="6"/>
  <c r="H70" i="6"/>
  <c r="B70" i="6"/>
  <c r="AD69" i="6"/>
  <c r="H69" i="6"/>
  <c r="B69" i="6"/>
  <c r="AD68" i="6"/>
  <c r="H68" i="6"/>
  <c r="B68" i="6"/>
  <c r="AD67" i="6"/>
  <c r="H67" i="6"/>
  <c r="B67" i="6"/>
  <c r="AD66" i="6"/>
  <c r="H66" i="6"/>
  <c r="B66" i="6"/>
  <c r="AD65" i="6"/>
  <c r="H65" i="6"/>
  <c r="B65" i="6"/>
  <c r="AD64" i="6"/>
  <c r="H64" i="6"/>
  <c r="B64" i="6"/>
  <c r="AD63" i="6"/>
  <c r="H63" i="6"/>
  <c r="B63" i="6"/>
  <c r="AD62" i="6"/>
  <c r="H62" i="6"/>
  <c r="B62" i="6"/>
  <c r="AD61" i="6"/>
  <c r="H61" i="6"/>
  <c r="B61" i="6"/>
  <c r="AD60" i="6"/>
  <c r="H60" i="6"/>
  <c r="B60" i="6"/>
  <c r="AD59" i="6"/>
  <c r="AD58" i="6"/>
  <c r="AD57" i="6"/>
  <c r="AD56" i="6"/>
  <c r="AD55" i="6"/>
  <c r="AD54" i="6"/>
  <c r="AD53" i="6"/>
  <c r="AD52" i="6"/>
  <c r="I52" i="6"/>
  <c r="B52" i="6" s="1"/>
  <c r="AD51" i="6"/>
  <c r="I51" i="6"/>
  <c r="B51" i="6" s="1"/>
  <c r="AD50" i="6"/>
  <c r="I50" i="6"/>
  <c r="AD49" i="6"/>
  <c r="I49" i="6"/>
  <c r="AD48" i="6"/>
  <c r="AD47" i="6"/>
  <c r="AD46" i="6"/>
  <c r="AD45" i="6"/>
  <c r="AD44" i="6"/>
  <c r="H44" i="6"/>
  <c r="B44" i="6"/>
  <c r="AD43" i="6"/>
  <c r="H43" i="6"/>
  <c r="B43" i="6"/>
  <c r="AD42" i="6"/>
  <c r="H42" i="6"/>
  <c r="B42" i="6"/>
  <c r="AD41" i="6"/>
  <c r="H41" i="6"/>
  <c r="B41" i="6"/>
  <c r="AD40" i="6"/>
  <c r="H40" i="6"/>
  <c r="B40" i="6"/>
  <c r="AD39" i="6"/>
  <c r="H39" i="6"/>
  <c r="B39" i="6"/>
  <c r="AD38" i="6"/>
  <c r="AD37" i="6"/>
  <c r="AD36" i="6"/>
  <c r="AD35" i="6"/>
  <c r="AD34" i="6"/>
  <c r="AD33" i="6"/>
  <c r="AD32" i="6"/>
  <c r="AD31" i="6"/>
  <c r="AD30" i="6"/>
  <c r="AD29" i="6"/>
  <c r="AD28" i="6"/>
  <c r="AD27" i="6"/>
  <c r="B27" i="6"/>
  <c r="AD26" i="6"/>
  <c r="B26" i="6"/>
  <c r="AD25" i="6"/>
  <c r="B25" i="6"/>
  <c r="AD24" i="6"/>
  <c r="AD23" i="6"/>
  <c r="AD22" i="6"/>
  <c r="AD21" i="6"/>
  <c r="J21" i="6"/>
  <c r="AD20" i="6"/>
  <c r="J20" i="6"/>
  <c r="AD19" i="6"/>
  <c r="J19" i="6"/>
  <c r="AD18" i="6"/>
  <c r="J18" i="6"/>
  <c r="C18" i="6" s="1"/>
  <c r="AD17" i="6"/>
  <c r="AD16" i="6"/>
  <c r="AD15" i="6"/>
  <c r="AD14" i="6"/>
  <c r="AD13" i="6"/>
  <c r="AD12" i="6"/>
  <c r="AD11" i="6"/>
  <c r="AD10" i="6"/>
  <c r="AD9" i="6"/>
  <c r="AD8" i="6"/>
  <c r="AD7" i="6"/>
  <c r="AD6" i="6"/>
  <c r="AD5" i="6"/>
  <c r="AD4" i="6"/>
  <c r="AD3" i="6"/>
  <c r="AD2" i="6"/>
  <c r="H2" i="6" a="1"/>
  <c r="H2" i="6" s="1"/>
  <c r="AD1" i="6"/>
  <c r="H1" i="6" a="1"/>
  <c r="H1" i="6" s="1"/>
  <c r="H2" i="4" a="1"/>
  <c r="H2" i="4" s="1"/>
  <c r="G50" i="6" l="1"/>
  <c r="H50" i="6" s="1"/>
  <c r="C12" i="6"/>
  <c r="E12" i="6" s="1"/>
  <c r="G81" i="6"/>
  <c r="H81" i="6" s="1"/>
  <c r="C10" i="6"/>
  <c r="E10" i="6" s="1"/>
  <c r="G80" i="6"/>
  <c r="H80" i="6" s="1"/>
  <c r="G51" i="6"/>
  <c r="H51" i="6" s="1"/>
  <c r="G52" i="6"/>
  <c r="H52" i="6" s="1"/>
  <c r="G78" i="6"/>
  <c r="H78" i="6" s="1"/>
  <c r="G49" i="6"/>
  <c r="H49" i="6" s="1"/>
  <c r="G79" i="6"/>
  <c r="H79" i="6" s="1"/>
  <c r="B50" i="6"/>
  <c r="B80" i="6"/>
  <c r="B37" i="6"/>
  <c r="B58" i="6"/>
  <c r="E18" i="6"/>
  <c r="C22" i="6"/>
  <c r="E22" i="6" s="1"/>
  <c r="C21" i="6"/>
  <c r="E21" i="6" s="1"/>
  <c r="C20" i="6"/>
  <c r="E20" i="6" s="1"/>
  <c r="C19" i="6"/>
  <c r="E19" i="6" s="1"/>
  <c r="B84" i="6"/>
  <c r="B95" i="6"/>
  <c r="B49" i="6"/>
  <c r="B6" i="6" l="1"/>
  <c r="B76" i="6"/>
  <c r="B54" i="6"/>
  <c r="B55" i="6"/>
  <c r="B53" i="6"/>
  <c r="E9" i="4" l="1"/>
  <c r="AD10" i="4"/>
  <c r="B116" i="4"/>
  <c r="B112" i="4"/>
  <c r="H108" i="4"/>
  <c r="B108" i="4"/>
  <c r="H106" i="4"/>
  <c r="B106" i="4"/>
  <c r="H105" i="4"/>
  <c r="B105" i="4"/>
  <c r="H104" i="4"/>
  <c r="B104" i="4"/>
  <c r="H103" i="4"/>
  <c r="B103" i="4"/>
  <c r="H102" i="4"/>
  <c r="B102" i="4"/>
  <c r="H101" i="4"/>
  <c r="B101" i="4"/>
  <c r="H100" i="4"/>
  <c r="B100" i="4"/>
  <c r="H99" i="4"/>
  <c r="B99" i="4"/>
  <c r="H98" i="4"/>
  <c r="B98" i="4"/>
  <c r="H97" i="4"/>
  <c r="B97" i="4"/>
  <c r="H92" i="4"/>
  <c r="B92" i="4"/>
  <c r="H91" i="4"/>
  <c r="B91" i="4"/>
  <c r="H90" i="4"/>
  <c r="B90" i="4"/>
  <c r="H89" i="4"/>
  <c r="B89" i="4"/>
  <c r="H88" i="4"/>
  <c r="B88" i="4"/>
  <c r="H87" i="4"/>
  <c r="B87" i="4"/>
  <c r="H86" i="4"/>
  <c r="B86" i="4"/>
  <c r="I81" i="4"/>
  <c r="I80" i="4"/>
  <c r="I79" i="4"/>
  <c r="I78" i="4"/>
  <c r="H73" i="4"/>
  <c r="B73" i="4"/>
  <c r="H72" i="4"/>
  <c r="B72" i="4"/>
  <c r="AD71" i="4"/>
  <c r="H71" i="4"/>
  <c r="B71" i="4"/>
  <c r="AD70" i="4"/>
  <c r="H70" i="4"/>
  <c r="B70" i="4"/>
  <c r="AD69" i="4"/>
  <c r="H69" i="4"/>
  <c r="B69" i="4"/>
  <c r="AD68" i="4"/>
  <c r="H68" i="4"/>
  <c r="B68" i="4"/>
  <c r="AD67" i="4"/>
  <c r="H67" i="4"/>
  <c r="B67" i="4"/>
  <c r="AD66" i="4"/>
  <c r="H66" i="4"/>
  <c r="B66" i="4"/>
  <c r="AD65" i="4"/>
  <c r="H65" i="4"/>
  <c r="B65" i="4"/>
  <c r="AD64" i="4"/>
  <c r="H64" i="4"/>
  <c r="B64" i="4"/>
  <c r="AD63" i="4"/>
  <c r="H63" i="4"/>
  <c r="B63" i="4"/>
  <c r="AD62" i="4"/>
  <c r="H62" i="4"/>
  <c r="B62" i="4"/>
  <c r="AD61" i="4"/>
  <c r="H61" i="4"/>
  <c r="B61" i="4"/>
  <c r="AD60" i="4"/>
  <c r="H60" i="4"/>
  <c r="B60" i="4"/>
  <c r="AD59" i="4"/>
  <c r="AD58" i="4"/>
  <c r="AD57" i="4"/>
  <c r="AD56" i="4"/>
  <c r="AD55" i="4"/>
  <c r="AD54" i="4"/>
  <c r="AD53" i="4"/>
  <c r="AD52" i="4"/>
  <c r="I52" i="4"/>
  <c r="AD51" i="4"/>
  <c r="I51" i="4"/>
  <c r="AD50" i="4"/>
  <c r="I50" i="4"/>
  <c r="AD49" i="4"/>
  <c r="I49" i="4"/>
  <c r="AD48" i="4"/>
  <c r="AD47" i="4"/>
  <c r="AD46" i="4"/>
  <c r="AD45" i="4"/>
  <c r="AD44" i="4"/>
  <c r="H44" i="4"/>
  <c r="B44" i="4"/>
  <c r="AD43" i="4"/>
  <c r="H43" i="4"/>
  <c r="B43" i="4"/>
  <c r="AD42" i="4"/>
  <c r="H42" i="4"/>
  <c r="B42" i="4"/>
  <c r="AD41" i="4"/>
  <c r="H41" i="4"/>
  <c r="B41" i="4"/>
  <c r="AD40" i="4"/>
  <c r="H40" i="4"/>
  <c r="B40" i="4"/>
  <c r="AD39" i="4"/>
  <c r="H39" i="4"/>
  <c r="B39" i="4"/>
  <c r="AD38" i="4"/>
  <c r="AD37" i="4"/>
  <c r="AD36" i="4"/>
  <c r="AD35" i="4"/>
  <c r="AD34" i="4"/>
  <c r="AD33" i="4"/>
  <c r="AD32" i="4"/>
  <c r="AD31" i="4"/>
  <c r="AD30" i="4"/>
  <c r="AD29" i="4"/>
  <c r="AD28" i="4"/>
  <c r="AD27" i="4"/>
  <c r="AD26" i="4"/>
  <c r="AD25" i="4"/>
  <c r="AD24" i="4"/>
  <c r="AD23" i="4"/>
  <c r="AD22" i="4"/>
  <c r="AD21" i="4"/>
  <c r="J21" i="4"/>
  <c r="AD20" i="4"/>
  <c r="J20" i="4"/>
  <c r="AD19" i="4"/>
  <c r="J19" i="4"/>
  <c r="AD18" i="4"/>
  <c r="J18" i="4"/>
  <c r="C18" i="4" s="1"/>
  <c r="AD17" i="4"/>
  <c r="AD16" i="4"/>
  <c r="E16" i="4"/>
  <c r="AD15" i="4"/>
  <c r="E15" i="4"/>
  <c r="AD14" i="4"/>
  <c r="E14" i="4"/>
  <c r="AD13" i="4"/>
  <c r="E13" i="4"/>
  <c r="AD12" i="4"/>
  <c r="AD11" i="4"/>
  <c r="E11" i="4"/>
  <c r="AD9" i="4"/>
  <c r="AD7" i="4"/>
  <c r="AD6" i="4"/>
  <c r="AD5" i="4"/>
  <c r="AD4" i="4"/>
  <c r="AD3" i="4"/>
  <c r="AD2" i="4"/>
  <c r="AD1" i="4"/>
  <c r="G51" i="4" l="1"/>
  <c r="H51" i="4" s="1"/>
  <c r="B78" i="4"/>
  <c r="G78" i="4"/>
  <c r="H78" i="4" s="1"/>
  <c r="G80" i="4"/>
  <c r="H80" i="4" s="1"/>
  <c r="B81" i="4"/>
  <c r="G81" i="4"/>
  <c r="H81" i="4" s="1"/>
  <c r="G79" i="4"/>
  <c r="H79" i="4" s="1"/>
  <c r="B52" i="4"/>
  <c r="G52" i="4"/>
  <c r="H52" i="4" s="1"/>
  <c r="G49" i="4"/>
  <c r="H49" i="4" s="1"/>
  <c r="G50" i="4"/>
  <c r="H50" i="4" s="1"/>
  <c r="C10" i="4"/>
  <c r="C12" i="4"/>
  <c r="E12" i="4" s="1"/>
  <c r="B79" i="4"/>
  <c r="H1" i="4" a="1"/>
  <c r="H1" i="4" s="1"/>
  <c r="B51" i="4"/>
  <c r="B95" i="4"/>
  <c r="B37" i="4"/>
  <c r="B58" i="4"/>
  <c r="B80" i="4"/>
  <c r="B84" i="4"/>
  <c r="E18" i="4"/>
  <c r="C22" i="4"/>
  <c r="E22" i="4" s="1"/>
  <c r="C21" i="4"/>
  <c r="E21" i="4" s="1"/>
  <c r="C20" i="4"/>
  <c r="E20" i="4" s="1"/>
  <c r="C19" i="4"/>
  <c r="E19" i="4" s="1"/>
  <c r="B49" i="4"/>
  <c r="B50" i="4"/>
  <c r="E10" i="4" l="1"/>
  <c r="B6" i="4" s="1"/>
  <c r="B76" i="4"/>
  <c r="B54" i="4"/>
  <c r="B55" i="4"/>
  <c r="B53" i="4"/>
  <c r="H3" i="14" l="1" a="1"/>
  <c r="H3" i="14" s="1"/>
  <c r="I72" i="14" l="1"/>
  <c r="I39" i="14"/>
  <c r="I95" i="14"/>
  <c r="I71" i="14"/>
  <c r="I22" i="14"/>
  <c r="I87" i="14"/>
  <c r="I54" i="14"/>
  <c r="I98" i="14"/>
  <c r="I66" i="14"/>
  <c r="I62" i="14"/>
  <c r="I74" i="14"/>
  <c r="I15" i="14"/>
  <c r="I6" i="14"/>
  <c r="I13" i="14"/>
  <c r="I44" i="14"/>
  <c r="I35" i="14"/>
  <c r="I59" i="14"/>
  <c r="I25" i="14"/>
  <c r="I58" i="14"/>
  <c r="I67" i="14"/>
  <c r="I73" i="14"/>
  <c r="I10" i="14"/>
  <c r="I78" i="14"/>
  <c r="I55" i="14"/>
  <c r="I51" i="14"/>
  <c r="I46" i="14"/>
  <c r="I83" i="14"/>
  <c r="I68" i="14"/>
  <c r="I92" i="14"/>
  <c r="I93" i="14"/>
  <c r="I86" i="14"/>
  <c r="I60" i="14"/>
  <c r="I49" i="14"/>
  <c r="I11" i="14"/>
  <c r="I36" i="14"/>
  <c r="I91" i="14"/>
  <c r="I52" i="14"/>
  <c r="I33" i="14"/>
  <c r="I41" i="14"/>
  <c r="I20" i="14"/>
  <c r="I69" i="14"/>
  <c r="I61" i="14"/>
  <c r="I82" i="14"/>
  <c r="I9" i="14"/>
  <c r="I42" i="14"/>
  <c r="I75" i="14"/>
  <c r="I70" i="14"/>
  <c r="I48" i="14"/>
  <c r="I76" i="14"/>
  <c r="I27" i="14"/>
  <c r="I53" i="14"/>
  <c r="I30" i="14"/>
  <c r="I24" i="14"/>
  <c r="I14" i="14"/>
  <c r="I12" i="14"/>
  <c r="I96" i="14"/>
  <c r="I85" i="14"/>
  <c r="I50" i="14"/>
  <c r="I37" i="14"/>
  <c r="I77" i="14"/>
  <c r="I28" i="14"/>
  <c r="I8" i="14"/>
  <c r="I94" i="14"/>
  <c r="I40" i="14"/>
  <c r="I45" i="14"/>
  <c r="I31" i="14"/>
  <c r="I64" i="14"/>
  <c r="I97" i="14"/>
  <c r="I21" i="14"/>
  <c r="I57" i="14"/>
  <c r="I16" i="14"/>
  <c r="I81" i="14"/>
  <c r="I19" i="14"/>
  <c r="I29" i="14"/>
  <c r="I32" i="14"/>
  <c r="I65" i="14"/>
  <c r="I38" i="14"/>
  <c r="I79" i="14"/>
  <c r="I88" i="14"/>
  <c r="I80" i="14"/>
  <c r="I34" i="14"/>
  <c r="I17" i="14"/>
  <c r="I63" i="14"/>
  <c r="I47" i="14"/>
  <c r="I56" i="14"/>
  <c r="I18" i="14"/>
  <c r="I23" i="14"/>
  <c r="I43" i="14"/>
  <c r="I7" i="14"/>
  <c r="I89" i="14"/>
  <c r="I84" i="14"/>
  <c r="I26" i="14"/>
  <c r="I90" i="14"/>
  <c r="J15" i="14" l="1" a="1"/>
  <c r="J15" i="14" s="1"/>
  <c r="J70" i="14" a="1"/>
  <c r="J70" i="14" s="1"/>
  <c r="J74" i="14" a="1"/>
  <c r="J74" i="14" s="1"/>
  <c r="J50" i="14" a="1"/>
  <c r="J50" i="14" s="1"/>
  <c r="J10" i="14" a="1"/>
  <c r="J10" i="14" s="1"/>
  <c r="J42" i="14" a="1"/>
  <c r="J42" i="14" s="1"/>
  <c r="J97" i="14" a="1"/>
  <c r="J97" i="14" s="1"/>
  <c r="J98" i="14" a="1"/>
  <c r="J98" i="14" s="1"/>
  <c r="J12" i="14" a="1"/>
  <c r="J12" i="14" s="1"/>
  <c r="J86" i="14" a="1"/>
  <c r="J86" i="14" s="1"/>
  <c r="J79" i="14" a="1"/>
  <c r="J79" i="14" s="1"/>
  <c r="J93" i="14" a="1"/>
  <c r="J93" i="14" s="1"/>
  <c r="J38" i="14" a="1"/>
  <c r="J38" i="14" s="1"/>
  <c r="J24" i="14" a="1"/>
  <c r="J24" i="14" s="1"/>
  <c r="J69" i="14" a="1"/>
  <c r="J69" i="14" s="1"/>
  <c r="J92" i="14" a="1"/>
  <c r="J92" i="14" s="1"/>
  <c r="J59" i="14" a="1"/>
  <c r="J59" i="14" s="1"/>
  <c r="J22" i="14" a="1"/>
  <c r="J22" i="14" s="1"/>
  <c r="J91" i="14" a="1"/>
  <c r="J91" i="14" s="1"/>
  <c r="J37" i="14" a="1"/>
  <c r="J37" i="14" s="1"/>
  <c r="J36" i="14" a="1"/>
  <c r="J36" i="14" s="1"/>
  <c r="J75" i="14" a="1"/>
  <c r="J75" i="14" s="1"/>
  <c r="J85" i="14" a="1"/>
  <c r="J85" i="14" s="1"/>
  <c r="J73" i="14" a="1"/>
  <c r="J73" i="14" s="1"/>
  <c r="J60" i="14" a="1"/>
  <c r="J60" i="14" s="1"/>
  <c r="J88" i="14" a="1"/>
  <c r="J88" i="14" s="1"/>
  <c r="J58" i="14" a="1"/>
  <c r="J58" i="14" s="1"/>
  <c r="J89" i="14" a="1"/>
  <c r="J89" i="14" s="1"/>
  <c r="J61" i="14" a="1"/>
  <c r="J61" i="14" s="1"/>
  <c r="J43" i="14" a="1"/>
  <c r="J43" i="14" s="1"/>
  <c r="J30" i="14" a="1"/>
  <c r="J30" i="14" s="1"/>
  <c r="J20" i="14" a="1"/>
  <c r="J20" i="14" s="1"/>
  <c r="J68" i="14" a="1"/>
  <c r="J68" i="14" s="1"/>
  <c r="J35" i="14" a="1"/>
  <c r="J35" i="14" s="1"/>
  <c r="J71" i="14" a="1"/>
  <c r="J71" i="14" s="1"/>
  <c r="J81" i="14" a="1"/>
  <c r="J81" i="14" s="1"/>
  <c r="J48" i="14" a="1"/>
  <c r="J48" i="14" s="1"/>
  <c r="J16" i="14" a="1"/>
  <c r="J16" i="14" s="1"/>
  <c r="J17" i="14" a="1"/>
  <c r="J17" i="14" s="1"/>
  <c r="J62" i="14" a="1"/>
  <c r="J62" i="14" s="1"/>
  <c r="J90" i="14" a="1"/>
  <c r="J90" i="14" s="1"/>
  <c r="J21" i="14" a="1"/>
  <c r="J21" i="14" s="1"/>
  <c r="J26" i="14" a="1"/>
  <c r="J26" i="14" s="1"/>
  <c r="J9" i="14" a="1"/>
  <c r="J9" i="14" s="1"/>
  <c r="J84" i="14" a="1"/>
  <c r="J84" i="14" s="1"/>
  <c r="J54" i="14" a="1"/>
  <c r="J54" i="14" s="1"/>
  <c r="J14" i="14" a="1"/>
  <c r="J14" i="14" s="1"/>
  <c r="J25" i="14" a="1"/>
  <c r="J25" i="14" s="1"/>
  <c r="J32" i="14" a="1"/>
  <c r="J32" i="14" s="1"/>
  <c r="J41" i="14" a="1"/>
  <c r="J41" i="14" s="1"/>
  <c r="J83" i="14" a="1"/>
  <c r="J83" i="14" s="1"/>
  <c r="J44" i="14" a="1"/>
  <c r="J44" i="14" s="1"/>
  <c r="J95" i="14" a="1"/>
  <c r="J95" i="14" s="1"/>
  <c r="J55" i="14" a="1"/>
  <c r="J55" i="14" s="1"/>
  <c r="J29" i="14" a="1"/>
  <c r="J29" i="14" s="1"/>
  <c r="J33" i="14" a="1"/>
  <c r="J33" i="14" s="1"/>
  <c r="J46" i="14" a="1"/>
  <c r="J46" i="14" s="1"/>
  <c r="J13" i="14" a="1"/>
  <c r="J13" i="14" s="1"/>
  <c r="J39" i="14" a="1"/>
  <c r="J39" i="14" s="1"/>
  <c r="J47" i="14" a="1"/>
  <c r="J47" i="14" s="1"/>
  <c r="J77" i="14" a="1"/>
  <c r="J77" i="14" s="1"/>
  <c r="J63" i="14" a="1"/>
  <c r="J63" i="14" s="1"/>
  <c r="J78" i="14" a="1"/>
  <c r="J78" i="14" s="1"/>
  <c r="J57" i="14" a="1"/>
  <c r="J57" i="14" s="1"/>
  <c r="J11" i="14" a="1"/>
  <c r="J11" i="14" s="1"/>
  <c r="J34" i="14" a="1"/>
  <c r="J34" i="14" s="1"/>
  <c r="J49" i="14" a="1"/>
  <c r="J49" i="14" s="1"/>
  <c r="J66" i="14" a="1"/>
  <c r="J66" i="14" s="1"/>
  <c r="J80" i="14" a="1"/>
  <c r="J80" i="14" s="1"/>
  <c r="J96" i="14" a="1"/>
  <c r="J96" i="14" s="1"/>
  <c r="J67" i="14" a="1"/>
  <c r="J67" i="14" s="1"/>
  <c r="J64" i="14" a="1"/>
  <c r="J64" i="14" s="1"/>
  <c r="J82" i="14" a="1"/>
  <c r="J82" i="14" s="1"/>
  <c r="J31" i="14" a="1"/>
  <c r="J31" i="14" s="1"/>
  <c r="J87" i="14" a="1"/>
  <c r="J87" i="14" s="1"/>
  <c r="J45" i="14" a="1"/>
  <c r="J45" i="14" s="1"/>
  <c r="J65" i="14" a="1"/>
  <c r="J65" i="14" s="1"/>
  <c r="J40" i="14" a="1"/>
  <c r="J40" i="14" s="1"/>
  <c r="J23" i="14" a="1"/>
  <c r="J23" i="14" s="1"/>
  <c r="J94" i="14" a="1"/>
  <c r="J94" i="14" s="1"/>
  <c r="J53" i="14" a="1"/>
  <c r="J53" i="14" s="1"/>
  <c r="J18" i="14" a="1"/>
  <c r="J18" i="14" s="1"/>
  <c r="J8" i="14" a="1"/>
  <c r="J8" i="14" s="1"/>
  <c r="J27" i="14" a="1"/>
  <c r="J27" i="14" s="1"/>
  <c r="J56" i="14" a="1"/>
  <c r="J56" i="14" s="1"/>
  <c r="J19" i="14" a="1"/>
  <c r="J19" i="14" s="1"/>
  <c r="J28" i="14" a="1"/>
  <c r="J28" i="14" s="1"/>
  <c r="J76" i="14" a="1"/>
  <c r="J76" i="14" s="1"/>
  <c r="J52" i="14" a="1"/>
  <c r="J52" i="14" s="1"/>
  <c r="J51" i="14" a="1"/>
  <c r="J51" i="14" s="1"/>
  <c r="J72" i="14" a="1"/>
  <c r="J72" i="14" s="1"/>
  <c r="J6" i="14" a="1"/>
  <c r="J6" i="14" s="1"/>
  <c r="R11" i="14" a="1"/>
  <c r="R11" i="14" s="1"/>
  <c r="R10" i="14" a="1"/>
  <c r="R10" i="14" s="1"/>
  <c r="R12" i="14" a="1"/>
  <c r="R12" i="14" s="1"/>
  <c r="R8" i="14" a="1"/>
  <c r="R8" i="14" s="1"/>
  <c r="J7" i="14" a="1"/>
  <c r="J7" i="14" s="1"/>
  <c r="R13" i="14" a="1"/>
  <c r="R13" i="14" s="1"/>
  <c r="R7" i="14" a="1"/>
  <c r="R7" i="14" s="1"/>
  <c r="R9" i="14" a="1"/>
  <c r="R9" i="14" s="1"/>
  <c r="I3" i="14" a="1"/>
  <c r="I3" i="14" s="1"/>
  <c r="R14" i="14" a="1"/>
  <c r="R14" i="14" s="1"/>
  <c r="R6" i="14" a="1"/>
  <c r="R6" i="14" s="1"/>
  <c r="T10" i="14" l="1" a="1"/>
  <c r="T10" i="14" s="1"/>
  <c r="U10" i="14" s="1" a="1"/>
  <c r="U10" i="14" s="1"/>
  <c r="T14" i="14" a="1"/>
  <c r="T14" i="14" s="1"/>
  <c r="V14" i="14" s="1" a="1"/>
  <c r="V14" i="14" s="1"/>
  <c r="T11" i="14" a="1"/>
  <c r="T11" i="14" s="1"/>
  <c r="V11" i="14" s="1" a="1"/>
  <c r="V11" i="14" s="1"/>
  <c r="T8" i="14" a="1"/>
  <c r="T8" i="14" s="1"/>
  <c r="T12" i="14" a="1"/>
  <c r="T12" i="14" s="1"/>
  <c r="T13" i="14" a="1"/>
  <c r="T13" i="14" s="1"/>
  <c r="T6" i="14" a="1"/>
  <c r="T6" i="14" s="1"/>
  <c r="T7" i="14" a="1"/>
  <c r="T7" i="14" s="1"/>
  <c r="T9" i="14" a="1"/>
  <c r="T9" i="14" s="1"/>
  <c r="K2" i="14" a="1"/>
  <c r="K2" i="14" s="1"/>
  <c r="V10" i="14" a="1"/>
  <c r="V10" i="14" s="1"/>
  <c r="M7" i="14" l="1" a="1"/>
  <c r="M7" i="14" s="1"/>
  <c r="M17" i="14" a="1"/>
  <c r="M17" i="14" s="1"/>
  <c r="M27" i="14" a="1"/>
  <c r="M27" i="14" s="1"/>
  <c r="M38" i="14" a="1"/>
  <c r="M38" i="14" s="1"/>
  <c r="M48" i="14" a="1"/>
  <c r="M48" i="14" s="1"/>
  <c r="M58" i="14" a="1"/>
  <c r="M58" i="14" s="1"/>
  <c r="M79" i="14" a="1"/>
  <c r="M79" i="14" s="1"/>
  <c r="M89" i="14" a="1"/>
  <c r="M89" i="14" s="1"/>
  <c r="M60" i="14" a="1"/>
  <c r="M60" i="14" s="1"/>
  <c r="M9" i="14" a="1"/>
  <c r="M9" i="14" s="1"/>
  <c r="M20" i="14" a="1"/>
  <c r="M20" i="14" s="1"/>
  <c r="M30" i="14" a="1"/>
  <c r="M30" i="14" s="1"/>
  <c r="M40" i="14" a="1"/>
  <c r="M40" i="14" s="1"/>
  <c r="M61" i="14" a="1"/>
  <c r="M61" i="14" s="1"/>
  <c r="M71" i="14" a="1"/>
  <c r="M71" i="14" s="1"/>
  <c r="M81" i="14" a="1"/>
  <c r="M81" i="14" s="1"/>
  <c r="M92" i="14" a="1"/>
  <c r="M92" i="14" s="1"/>
  <c r="M8" i="14" a="1"/>
  <c r="M8" i="14" s="1"/>
  <c r="M18" i="14" a="1"/>
  <c r="M18" i="14" s="1"/>
  <c r="M28" i="14" a="1"/>
  <c r="M28" i="14" s="1"/>
  <c r="M49" i="14" a="1"/>
  <c r="M49" i="14" s="1"/>
  <c r="M59" i="14" a="1"/>
  <c r="M59" i="14" s="1"/>
  <c r="M69" i="14" a="1"/>
  <c r="M69" i="14" s="1"/>
  <c r="M80" i="14" a="1"/>
  <c r="M80" i="14" s="1"/>
  <c r="M90" i="14" a="1"/>
  <c r="M90" i="14" s="1"/>
  <c r="M19" i="14" a="1"/>
  <c r="M19" i="14" s="1"/>
  <c r="M29" i="14" a="1"/>
  <c r="M29" i="14" s="1"/>
  <c r="M39" i="14" a="1"/>
  <c r="M39" i="14" s="1"/>
  <c r="M50" i="14" a="1"/>
  <c r="M50" i="14" s="1"/>
  <c r="M70" i="14" a="1"/>
  <c r="M70" i="14" s="1"/>
  <c r="M91" i="14" a="1"/>
  <c r="M91" i="14" s="1"/>
  <c r="M10" i="14" a="1"/>
  <c r="M10" i="14" s="1"/>
  <c r="M31" i="14" a="1"/>
  <c r="M31" i="14" s="1"/>
  <c r="M41" i="14" a="1"/>
  <c r="M41" i="14" s="1"/>
  <c r="M51" i="14" a="1"/>
  <c r="M51" i="14" s="1"/>
  <c r="M62" i="14" a="1"/>
  <c r="M62" i="14" s="1"/>
  <c r="M72" i="14" a="1"/>
  <c r="M72" i="14" s="1"/>
  <c r="M82" i="14" a="1"/>
  <c r="M82" i="14" s="1"/>
  <c r="M21" i="14" a="1"/>
  <c r="M21" i="14" s="1"/>
  <c r="M32" i="14" a="1"/>
  <c r="M32" i="14" s="1"/>
  <c r="M42" i="14" a="1"/>
  <c r="M42" i="14" s="1"/>
  <c r="M52" i="14" a="1"/>
  <c r="M52" i="14" s="1"/>
  <c r="M73" i="14" a="1"/>
  <c r="M73" i="14" s="1"/>
  <c r="M83" i="14" a="1"/>
  <c r="M83" i="14" s="1"/>
  <c r="M93" i="14" a="1"/>
  <c r="M93" i="14" s="1"/>
  <c r="M11" i="14" a="1"/>
  <c r="M11" i="14" s="1"/>
  <c r="M12" i="14" a="1"/>
  <c r="M12" i="14" s="1"/>
  <c r="M22" i="14" a="1"/>
  <c r="M22" i="14" s="1"/>
  <c r="M43" i="14" a="1"/>
  <c r="M43" i="14" s="1"/>
  <c r="M53" i="14" a="1"/>
  <c r="M53" i="14" s="1"/>
  <c r="M63" i="14" a="1"/>
  <c r="M63" i="14" s="1"/>
  <c r="M74" i="14" a="1"/>
  <c r="M74" i="14" s="1"/>
  <c r="M84" i="14" a="1"/>
  <c r="M84" i="14" s="1"/>
  <c r="M94" i="14" a="1"/>
  <c r="M94" i="14" s="1"/>
  <c r="M13" i="14" a="1"/>
  <c r="M13" i="14" s="1"/>
  <c r="M23" i="14" a="1"/>
  <c r="M23" i="14" s="1"/>
  <c r="M33" i="14" a="1"/>
  <c r="M33" i="14" s="1"/>
  <c r="M44" i="14" a="1"/>
  <c r="M44" i="14" s="1"/>
  <c r="M54" i="14" a="1"/>
  <c r="M54" i="14" s="1"/>
  <c r="M64" i="14" a="1"/>
  <c r="M64" i="14" s="1"/>
  <c r="M85" i="14" a="1"/>
  <c r="M85" i="14" s="1"/>
  <c r="M95" i="14" a="1"/>
  <c r="M95" i="14" s="1"/>
  <c r="M25" i="14" a="1"/>
  <c r="M25" i="14" s="1"/>
  <c r="M14" i="14" a="1"/>
  <c r="M14" i="14" s="1"/>
  <c r="M24" i="14" a="1"/>
  <c r="M24" i="14" s="1"/>
  <c r="M34" i="14" a="1"/>
  <c r="M34" i="14" s="1"/>
  <c r="M55" i="14" a="1"/>
  <c r="M55" i="14" s="1"/>
  <c r="M65" i="14" a="1"/>
  <c r="M65" i="14" s="1"/>
  <c r="M75" i="14" a="1"/>
  <c r="M75" i="14" s="1"/>
  <c r="M86" i="14" a="1"/>
  <c r="M86" i="14" s="1"/>
  <c r="M96" i="14" a="1"/>
  <c r="M96" i="14" s="1"/>
  <c r="M35" i="14" a="1"/>
  <c r="M35" i="14" s="1"/>
  <c r="M45" i="14" a="1"/>
  <c r="M45" i="14" s="1"/>
  <c r="M56" i="14" a="1"/>
  <c r="M56" i="14" s="1"/>
  <c r="M66" i="14" a="1"/>
  <c r="M66" i="14" s="1"/>
  <c r="M76" i="14" a="1"/>
  <c r="M76" i="14" s="1"/>
  <c r="M97" i="14" a="1"/>
  <c r="M97" i="14" s="1"/>
  <c r="M15" i="14" a="1"/>
  <c r="M15" i="14" s="1"/>
  <c r="M26" i="14" a="1"/>
  <c r="M26" i="14" s="1"/>
  <c r="M36" i="14" a="1"/>
  <c r="M36" i="14" s="1"/>
  <c r="M46" i="14" a="1"/>
  <c r="M46" i="14" s="1"/>
  <c r="M67" i="14" a="1"/>
  <c r="M67" i="14" s="1"/>
  <c r="M77" i="14" a="1"/>
  <c r="M77" i="14" s="1"/>
  <c r="M87" i="14" a="1"/>
  <c r="M87" i="14" s="1"/>
  <c r="M98" i="14" a="1"/>
  <c r="M98" i="14" s="1"/>
  <c r="M6" i="14" a="1"/>
  <c r="M6" i="14" s="1"/>
  <c r="M16" i="14" a="1"/>
  <c r="M16" i="14" s="1"/>
  <c r="M37" i="14" a="1"/>
  <c r="M37" i="14" s="1"/>
  <c r="M47" i="14" a="1"/>
  <c r="M47" i="14" s="1"/>
  <c r="M57" i="14" a="1"/>
  <c r="M57" i="14" s="1"/>
  <c r="M68" i="14" a="1"/>
  <c r="M68" i="14" s="1"/>
  <c r="M78" i="14" a="1"/>
  <c r="M78" i="14" s="1"/>
  <c r="M88" i="14" a="1"/>
  <c r="M88" i="14" s="1"/>
  <c r="V12" i="14" a="1"/>
  <c r="V12" i="14" s="1"/>
  <c r="V13" i="14" a="1"/>
  <c r="V13" i="14" s="1"/>
  <c r="U7" i="14" a="1"/>
  <c r="U7" i="14" s="1"/>
  <c r="V9" i="14" a="1"/>
  <c r="V9" i="14" s="1"/>
  <c r="U9" i="14" a="1"/>
  <c r="U9" i="14" s="1"/>
  <c r="V6" i="14" a="1"/>
  <c r="V6" i="14" s="1"/>
  <c r="U6" i="14" a="1"/>
  <c r="U6" i="14" s="1"/>
  <c r="V8" i="14" a="1"/>
  <c r="V8" i="14" s="1"/>
  <c r="U8" i="14" a="1"/>
  <c r="U8" i="14" s="1"/>
  <c r="V7" i="14" a="1"/>
  <c r="V7" i="14" s="1"/>
  <c r="Z7" i="14" a="1"/>
  <c r="Z7" i="14" s="1"/>
  <c r="Z6" i="14" s="1"/>
  <c r="Z17" i="14" a="1"/>
  <c r="Z17" i="14" s="1"/>
  <c r="Z16" i="14" a="1"/>
  <c r="Z16" i="14" s="1"/>
  <c r="Z15" i="14" a="1"/>
  <c r="Z15" i="14" s="1"/>
  <c r="M3" i="14" l="1" a="1"/>
  <c r="M3" i="14" s="1"/>
  <c r="V3" i="14" a="1"/>
  <c r="V3" i="14" s="1"/>
  <c r="AB6" i="14" a="1"/>
  <c r="AB6"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tc={83AF65BA-0329-A740-9A21-DB773FBCEB39}</author>
    <author>tc={B75AAA8E-D6BD-EB4A-B3F7-0458980F25BB}</author>
    <author>tc={5FEC585E-804B-E743-8B00-6526D31100FB}</author>
    <author>tc={EFCFE04D-3101-6F4B-B9E0-D492203CFC19}</author>
  </authors>
  <commentList>
    <comment ref="B17" authorId="0" shapeId="0" xr:uid="{83AF65BA-0329-A740-9A21-DB773FBCEB39}">
      <text>
        <t>[Threaded comment]
Your version of Excel allows you to read this threaded comment; however, any edits to it will get removed if the file is opened in a newer version of Excel. Learn more: https://go.microsoft.com/fwlink/?linkid=870924
Comment:
    ATP maintenance parts only</t>
      </text>
    </comment>
    <comment ref="I18" authorId="1" shapeId="0" xr:uid="{B75AAA8E-D6BD-EB4A-B3F7-0458980F25BB}">
      <text>
        <t>[Threaded comment]
Your version of Excel allows you to read this threaded comment; however, any edits to it will get removed if the file is opened in a newer version of Excel. Learn more: https://go.microsoft.com/fwlink/?linkid=870924
Comment:
    adp_c coeff in biomass rxn</t>
      </text>
    </comment>
    <comment ref="D38" authorId="2" shapeId="0" xr:uid="{5FEC585E-804B-E743-8B00-6526D31100FB}">
      <text>
        <t>[Threaded comment]
Your version of Excel allows you to read this threaded comment; however, any edits to it will get removed if the file is opened in a newer version of Excel. Learn more: https://go.microsoft.com/fwlink/?linkid=870924
Comment:
    The coefficient is in mmol / gDW, which is used in the genome-scale metabolic model.</t>
      </text>
    </comment>
    <comment ref="G38" authorId="3" shapeId="0" xr:uid="{EFCFE04D-3101-6F4B-B9E0-D492203CFC19}">
      <text>
        <t>[Threaded comment]
Your version of Excel allows you to read this threaded comment; however, any edits to it will get removed if the file is opened in a newer version of Excel. Learn more: https://go.microsoft.com/fwlink/?linkid=870924
Comment:
    %wt. in macro means the mass fraction of that metabolite in the macromolecule group. It could be calculated from all coefficients of all metabolites in a group, with inputs of MW too.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tc={588E26EE-2783-0C4D-AB15-53230D2D9F7B}</author>
    <author>tc={2064E868-9671-F94B-9AE7-8597BB9D5473}</author>
    <author>tc={5C11CA82-5194-7B40-B644-8D1E2B97793B}</author>
  </authors>
  <commentList>
    <comment ref="B17" authorId="0" shapeId="0" xr:uid="{588E26EE-2783-0C4D-AB15-53230D2D9F7B}">
      <text>
        <t>[Threaded comment]
Your version of Excel allows you to read this threaded comment; however, any edits to it will get removed if the file is opened in a newer version of Excel. Learn more: https://go.microsoft.com/fwlink/?linkid=870924
Comment:
    ATP maintenance parts only</t>
      </text>
    </comment>
    <comment ref="D38" authorId="1" shapeId="0" xr:uid="{2064E868-9671-F94B-9AE7-8597BB9D5473}">
      <text>
        <t>[Threaded comment]
Your version of Excel allows you to read this threaded comment; however, any edits to it will get removed if the file is opened in a newer version of Excel. Learn more: https://go.microsoft.com/fwlink/?linkid=870924
Comment:
    The coefficient is in mmol / gDW, which is used in the genome-scale metabolic model.</t>
      </text>
    </comment>
    <comment ref="G38" authorId="2" shapeId="0" xr:uid="{5C11CA82-5194-7B40-B644-8D1E2B97793B}">
      <text>
        <t>[Threaded comment]
Your version of Excel allows you to read this threaded comment; however, any edits to it will get removed if the file is opened in a newer version of Excel. Learn more: https://go.microsoft.com/fwlink/?linkid=870924
Comment:
    %wt. in macro means the mass fraction of that metabolite in the macromolecule group. It could be calculated from all coefficients of all metabolites in a group, with inputs of MW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tc={BED0DDA7-5EAB-944A-BFB2-D069D2613689}</author>
  </authors>
  <commentList>
    <comment ref="L5" authorId="0" shapeId="0" xr:uid="{BED0DDA7-5EAB-944A-BFB2-D069D2613689}">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tc={88232FAF-A497-1D45-8E1A-FD7F11E99DA3}</author>
    <author>tc={BE4BCEFB-C21C-3346-8A41-7178BAAC9AD4}</author>
  </authors>
  <commentList>
    <comment ref="L5" authorId="0" shapeId="0" xr:uid="{88232FAF-A497-1D45-8E1A-FD7F11E99DA3}">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 ref="S5" authorId="1" shapeId="0" xr:uid="{BE4BCEFB-C21C-3346-8A41-7178BAAC9AD4}">
      <text>
        <t>[Threaded comment]
Your version of Excel allows you to read this threaded comment; however, any edits to it will get removed if the file is opened in a newer version of Excel. Learn more: https://go.microsoft.com/fwlink/?linkid=870924
Comment:
    Assume same as C-lim since no data provided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tc={1E1ABFE0-B41F-7B44-B976-0FA69C8AF4A3}</author>
    <author>tc={8873CB51-46BE-A140-B01C-415554D867F9}</author>
  </authors>
  <commentList>
    <comment ref="L5" authorId="0" shapeId="0" xr:uid="{1E1ABFE0-B41F-7B44-B976-0FA69C8AF4A3}">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 ref="S5" authorId="1" shapeId="0" xr:uid="{8873CB51-46BE-A140-B01C-415554D867F9}">
      <text>
        <t>[Threaded comment]
Your version of Excel allows you to read this threaded comment; however, any edits to it will get removed if the file is opened in a newer version of Excel. Learn more: https://go.microsoft.com/fwlink/?linkid=870924
Comment:
    Assume same as C-lim since no data provided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tc={2BE2D0D0-FEAB-9848-BDD0-4B6074FF5C80}</author>
    <author>tc={00F33E93-90F7-2343-9D01-5E03D7C6E3E4}</author>
  </authors>
  <commentList>
    <comment ref="L5" authorId="0" shapeId="0" xr:uid="{2BE2D0D0-FEAB-9848-BDD0-4B6074FF5C80}">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 ref="S5" authorId="1" shapeId="0" xr:uid="{00F33E93-90F7-2343-9D01-5E03D7C6E3E4}">
      <text>
        <t>[Threaded comment]
Your version of Excel allows you to read this threaded comment; however, any edits to it will get removed if the file is opened in a newer version of Excel. Learn more: https://go.microsoft.com/fwlink/?linkid=870924
Comment:
    Assume same as C-lim since no data provided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tc={09592385-E8CD-E74E-A0A1-45A26AAE9FA0}</author>
    <author>tc={9D72716E-09CD-314C-BB06-EC46B246D419}</author>
  </authors>
  <commentList>
    <comment ref="L5" authorId="0" shapeId="0" xr:uid="{09592385-E8CD-E74E-A0A1-45A26AAE9FA0}">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 ref="S5" authorId="1" shapeId="0" xr:uid="{9D72716E-09CD-314C-BB06-EC46B246D419}">
      <text>
        <t>[Threaded comment]
Your version of Excel allows you to read this threaded comment; however, any edits to it will get removed if the file is opened in a newer version of Excel. Learn more: https://go.microsoft.com/fwlink/?linkid=870924
Comment:
    Assume same as C-lim since no data provided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tc={9B3379A3-2198-7844-A33A-0C4AF7BC4E0A}</author>
  </authors>
  <commentList>
    <comment ref="L5" authorId="0" shapeId="0" xr:uid="{9B3379A3-2198-7844-A33A-0C4AF7BC4E0A}">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tc={513F4EDE-85E5-6C4C-8008-768DE5C82000}</author>
  </authors>
  <commentList>
    <comment ref="L5" authorId="0" shapeId="0" xr:uid="{513F4EDE-85E5-6C4C-8008-768DE5C82000}">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tc={81A9A942-1CA0-5647-A884-A45A85CD4B1B}</author>
  </authors>
  <commentList>
    <comment ref="L5" authorId="0" shapeId="0" xr:uid="{81A9A942-1CA0-5647-A884-A45A85CD4B1B}">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tc={BF075CAA-AF75-B34F-98F6-534DF04F3D7B}</author>
  </authors>
  <commentList>
    <comment ref="L5" authorId="0" shapeId="0" xr:uid="{BF075CAA-AF75-B34F-98F6-534DF04F3D7B}">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tc={A831B267-E64B-EC41-B266-6FAA8ACB1D42}</author>
  </authors>
  <commentList>
    <comment ref="L5" authorId="0" shapeId="0" xr:uid="{A831B267-E64B-EC41-B266-6FAA8ACB1D42}">
      <text>
        <t>[Threaded comment]
Your version of Excel allows you to read this threaded comment; however, any edits to it will get removed if the file is opened in a newer version of Excel. Learn more: https://go.microsoft.com/fwlink/?linkid=870924
Comment:
    Currently rounds all coefficients to 6 decimals; in the future, could consider scientific notation (e.g., 1E-6) if I get extra time, since GAMS does support it.</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tc={D434AE95-52A3-BD44-AA7B-698B1BBB8E4A}</author>
    <author>tc={5DA37DFF-6DAA-254D-AAE7-EC948B8011AE}</author>
    <author>tc={92D48551-15D6-3F4C-90A9-36643CCF3316}</author>
    <author>tc={240C8D44-5D16-1D40-A0E7-92DB42E51A66}</author>
    <author>tc={0EB19BD5-0CEF-F542-BB62-B44EE77CA4C8}</author>
  </authors>
  <commentList>
    <comment ref="A3" authorId="0" shapeId="0" xr:uid="{D434AE95-52A3-BD44-AA7B-698B1BBB8E4A}">
      <text>
        <t>[Threaded comment]
Your version of Excel allows you to read this threaded comment; however, any edits to it will get removed if the file is opened in a newer version of Excel. Learn more: https://go.microsoft.com/fwlink/?linkid=870924
Comment:
    Calculated from sheet below</t>
      </text>
    </comment>
    <comment ref="B18" authorId="1" shapeId="0" xr:uid="{5DA37DFF-6DAA-254D-AAE7-EC948B8011AE}">
      <text>
        <t>[Threaded comment]
Your version of Excel allows you to read this threaded comment; however, any edits to it will get removed if the file is opened in a newer version of Excel. Learn more: https://go.microsoft.com/fwlink/?linkid=870924
Comment:
    ATP maintenance parts only</t>
      </text>
    </comment>
    <comment ref="I19" authorId="2" shapeId="0" xr:uid="{92D48551-15D6-3F4C-90A9-36643CCF3316}">
      <text>
        <t>[Threaded comment]
Your version of Excel allows you to read this threaded comment; however, any edits to it will get removed if the file is opened in a newer version of Excel. Learn more: https://go.microsoft.com/fwlink/?linkid=870924
Comment:
    adp_c coeff in biomass rxn</t>
      </text>
    </comment>
    <comment ref="D38" authorId="3" shapeId="0" xr:uid="{240C8D44-5D16-1D40-A0E7-92DB42E51A66}">
      <text>
        <t>[Threaded comment]
Your version of Excel allows you to read this threaded comment; however, any edits to it will get removed if the file is opened in a newer version of Excel. Learn more: https://go.microsoft.com/fwlink/?linkid=870924
Comment:
    The coefficient is in mmol / gDW, which is used in the genome-scale metabolic model.</t>
      </text>
    </comment>
    <comment ref="G38" authorId="4" shapeId="0" xr:uid="{0EB19BD5-0CEF-F542-BB62-B44EE77CA4C8}">
      <text>
        <t>[Threaded comment]
Your version of Excel allows you to read this threaded comment; however, any edits to it will get removed if the file is opened in a newer version of Excel. Learn more: https://go.microsoft.com/fwlink/?linkid=870924
Comment:
    %wt. in macro means the mass fraction of that metabolite in the macromolecule group. It could be calculated from all coefficients of all metabolites in a group, with inputs of MW too.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DBAE19-543F-1E4B-B58B-FE344D00819F}"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<sst xmlns="http://schemas.openxmlformats.org/spreadsheetml/2006/main" count="3764" uniqueCount="1707">
  <si>
    <t>rxn_id</t>
  </si>
  <si>
    <t>rxn_equation</t>
  </si>
  <si>
    <t>BIOSYN-COFACTORANAEROBIC</t>
  </si>
  <si>
    <t>0.030019 BIO-coa_c + 0.001619 BIO-fad_c + 0.363258 BIO-nad_c + 0.020593 BIO-nadh_c + 0.087331 BIO-nadp_c + 0.414236 BIO-nadph_c + 0.076898 BIO-ribflv_c + 0.005781 BIO-thf_c + 0.000087 BIO-thmpp_c --&gt; BIO-cofactor</t>
  </si>
  <si>
    <t>BIOSYN-compCERANAEROBIC</t>
  </si>
  <si>
    <t>0.5 MET-cer1_24_r + 0.5 MET-cer1_26_r --&gt; MET-cer_r</t>
  </si>
  <si>
    <t>BIOSYN-BIODILBATCHANAERO</t>
  </si>
  <si>
    <t>0.8831 BIO-varbiom + 0.0697 BIO-lipid + 0.0039 BIO-dna + 0.0254 BIO-metal + 0.0048 BIO-cofactor + 0.003 BIO-so4 + 0.0101 BIO-pi + 39.3 MET-atp_c + 39.3 MET-h2o_c --&gt; 39.3 MET-adp_c + 39.3 MET-pi_c + 39.3 MET-h_c</t>
  </si>
  <si>
    <t>BIOSYN-BIODILCHEMOANAERO</t>
  </si>
  <si>
    <t>0.8831 BIO-varbiom + 0.0697 BIO-lipid + 0.0039 BIO-dna + 0.0254 BIO-metal + 0.0048 BIO-cofactor + 0.003 BIO-so4 + 0.0101 BIO-pi + 68.4 MET-atp_c + 68.4 MET-h2o_c --&gt; 68.4 MET-adp_c + 68.4 MET-pi_c + 68.4 MET-h_c</t>
  </si>
  <si>
    <t>BIOSYN-BIODILSTARVE</t>
  </si>
  <si>
    <t>0.8831 BIO-varbiom + 0.0697 BIO-lipid + 0.0039 BIO-dna + 0.0254 BIO-metal + 0.0048 BIO-cofactor + 0.003 BIO-so4 + 0.0101 BIO-pi + 129.1 MET-atp_c + 129.1 MET-h2o_c --&gt; 129.1 MET-adp_c + 129.1 MET-pi_c + 129.1 MET-h_c</t>
  </si>
  <si>
    <t>BIOSYN-BIODILNOGAM</t>
  </si>
  <si>
    <t xml:space="preserve">0.8831 BIO-varbiom + 0.0697 BIO-lipid + 0.0039 BIO-dna + 0.0254 BIO-metal + 0.0048 BIO-cofactor + 0.003 BIO-so4 + 0.0101 BIO-pi --&gt; </t>
  </si>
  <si>
    <t>Deriving RBA yeast-biomass synthesis network</t>
  </si>
  <si>
    <t>Biomass reaction network</t>
  </si>
  <si>
    <t>Biomass dilution and molecular weight constraint</t>
  </si>
  <si>
    <t>BIOSYN-BIODILAERO</t>
  </si>
  <si>
    <t>Metabolite</t>
  </si>
  <si>
    <t>Coeff (g/gDW)</t>
  </si>
  <si>
    <t>Remarks</t>
  </si>
  <si>
    <t>BIO-varbiom</t>
  </si>
  <si>
    <t>BIO-lipid</t>
  </si>
  <si>
    <t>Lipid</t>
  </si>
  <si>
    <t>BIO-dna</t>
  </si>
  <si>
    <t>DNA</t>
  </si>
  <si>
    <t>BIO-metal</t>
  </si>
  <si>
    <t>Metals</t>
  </si>
  <si>
    <t>BIO-cofactor</t>
  </si>
  <si>
    <t>Trace</t>
  </si>
  <si>
    <t>BIO-so4</t>
  </si>
  <si>
    <t>Sulphate</t>
  </si>
  <si>
    <t>BIO-pi</t>
  </si>
  <si>
    <t>Phosphate</t>
  </si>
  <si>
    <t>Protein polymerization cost</t>
  </si>
  <si>
    <t>Coeff (mmol/gDW/h)</t>
  </si>
  <si>
    <t>FBA</t>
  </si>
  <si>
    <t>RBA</t>
  </si>
  <si>
    <t>MET-atp_c</t>
  </si>
  <si>
    <t>GAM</t>
  </si>
  <si>
    <t>Aerobic</t>
  </si>
  <si>
    <t>MET-h2o_c</t>
  </si>
  <si>
    <t>Batch, anaerobic</t>
  </si>
  <si>
    <t>MET-adp_c</t>
  </si>
  <si>
    <t>Chemostats, anaerobic</t>
  </si>
  <si>
    <t>MET-pi_c</t>
  </si>
  <si>
    <t>N-limited</t>
  </si>
  <si>
    <t>MET-h_c</t>
  </si>
  <si>
    <t>Mass contribution of total protein, total RNA, and total carbohydrate to biomass. The proportion can be controlled by flux bounds</t>
  </si>
  <si>
    <t>BIOSYN-PROTTOBIO</t>
  </si>
  <si>
    <t>BIOSYN-RNATOBIO</t>
  </si>
  <si>
    <t>BIOSYN-CARBTOBIO</t>
  </si>
  <si>
    <t>Mass contribution of cytoplasmic and mitochondrial proteins to total protein. The proportion can be controlled by flux bounds</t>
  </si>
  <si>
    <t>BIOSYN-PROTMODELED</t>
  </si>
  <si>
    <t>BIO-protmodeled --&gt; BIO-prot</t>
  </si>
  <si>
    <t>BIOSYN-PROTDUMMY</t>
  </si>
  <si>
    <t>BIO-protdummy --&gt; BIO-prot</t>
  </si>
  <si>
    <t>BIOSYN-PROTDUMMY2</t>
  </si>
  <si>
    <t>BIO-protdummy --&gt; BIO-protmodeled</t>
  </si>
  <si>
    <t>BIOSYN-PROTCYT</t>
  </si>
  <si>
    <t>BIO-protcyt --&gt; BIO-protmodeled</t>
  </si>
  <si>
    <t>BIOSYN-PROTMITO</t>
  </si>
  <si>
    <t>BIO-protmito --&gt; BIO-protmodeled</t>
  </si>
  <si>
    <t>Carbohydrate synthesis (coefficients in gram per gDW)</t>
  </si>
  <si>
    <t>BIOSYN-CARB</t>
  </si>
  <si>
    <t>Coeff</t>
  </si>
  <si>
    <t>Formula</t>
  </si>
  <si>
    <t>MW</t>
  </si>
  <si>
    <t>%wt. in macro</t>
  </si>
  <si>
    <t>BIOSYN-CARB1</t>
  </si>
  <si>
    <t>BIOSYN-CARB2</t>
  </si>
  <si>
    <t>C6H10O5</t>
  </si>
  <si>
    <t>BIOSYN-CARB3</t>
  </si>
  <si>
    <t>16BDglucan_en</t>
  </si>
  <si>
    <t>BIOSYN-CARB4</t>
  </si>
  <si>
    <t>chtn_c</t>
  </si>
  <si>
    <t>C8H13NO5</t>
  </si>
  <si>
    <t>BIOSYN-CARB5</t>
  </si>
  <si>
    <t>BIOSYN-CARB6</t>
  </si>
  <si>
    <t>RNA synthesis (coefficients in gram per gDW)</t>
  </si>
  <si>
    <t>BIOSYN-RNA</t>
  </si>
  <si>
    <t>0.15 BIO-trna + 0.05 BIO-mrna + 0.80 BIO-rrna --&gt; BIO-rna</t>
  </si>
  <si>
    <t>MW without pyrophosphate</t>
  </si>
  <si>
    <t>BIOSYN-RNA1</t>
  </si>
  <si>
    <t>atp_c</t>
  </si>
  <si>
    <t>C10H12N5O13P3</t>
  </si>
  <si>
    <t>BIOSYN-RNA2</t>
  </si>
  <si>
    <t>ctp_c</t>
  </si>
  <si>
    <t>C9H12N3O14P3</t>
  </si>
  <si>
    <t>BIOSYN-RNA3</t>
  </si>
  <si>
    <t>gtp_c</t>
  </si>
  <si>
    <t>C10H12N5O14P3</t>
  </si>
  <si>
    <t>BIOSYN-RNA4</t>
  </si>
  <si>
    <t>utp_c</t>
  </si>
  <si>
    <t>C9H11N2O15P3</t>
  </si>
  <si>
    <t>BIOSYN-RNA5</t>
  </si>
  <si>
    <t>BIOSYN-RNA6</t>
  </si>
  <si>
    <t>BIOSYN-RNA7</t>
  </si>
  <si>
    <t>Lipid synthesis (coefficients in gram per gDW)</t>
  </si>
  <si>
    <t>BIOSYN-LIPID</t>
  </si>
  <si>
    <t>BIOSYN-LIPID1</t>
  </si>
  <si>
    <t>BIOSYN-LIPID2</t>
  </si>
  <si>
    <t>BIOSYN-LIPID3</t>
  </si>
  <si>
    <t>BIOSYN-LIPID4</t>
  </si>
  <si>
    <t>hdca_c</t>
  </si>
  <si>
    <t>C16H31O2</t>
  </si>
  <si>
    <t>BIOSYN-LIPID5</t>
  </si>
  <si>
    <t>BIOSYN-LIPID6</t>
  </si>
  <si>
    <t>ocdca_c</t>
  </si>
  <si>
    <t>C18H35O2</t>
  </si>
  <si>
    <t>BIOSYN-LIPID7</t>
  </si>
  <si>
    <t>ocdcea_c</t>
  </si>
  <si>
    <t>C18H33O2</t>
  </si>
  <si>
    <t>BIOSYN-LIPID8</t>
  </si>
  <si>
    <t>pail_c</t>
  </si>
  <si>
    <t>BIOSYN-LIPID9</t>
  </si>
  <si>
    <t>pc_c</t>
  </si>
  <si>
    <t>BIOSYN-LIPID10</t>
  </si>
  <si>
    <t>pe_c</t>
  </si>
  <si>
    <t>BIOSYN-LIPID11</t>
  </si>
  <si>
    <t>ps_c</t>
  </si>
  <si>
    <t>BIOSYN-LIPID12</t>
  </si>
  <si>
    <t>tag_c</t>
  </si>
  <si>
    <t>C3H5O3Acyl3</t>
  </si>
  <si>
    <t>BIOSYN-LIPID13</t>
  </si>
  <si>
    <t>ipc_g</t>
  </si>
  <si>
    <t>C6H10O8P1Cer</t>
  </si>
  <si>
    <t>DNA synthesis (coefficients in gram per gDW)</t>
  </si>
  <si>
    <t>BIOSYN-DNA</t>
  </si>
  <si>
    <t>BIOSYN-DNA1</t>
  </si>
  <si>
    <t>datp_c</t>
  </si>
  <si>
    <t>C10H12N5O12P3</t>
  </si>
  <si>
    <t>BIOSYN-DNA2</t>
  </si>
  <si>
    <t>dctp_c</t>
  </si>
  <si>
    <t>C9H12N3O13P3</t>
  </si>
  <si>
    <t>BIOSYN-DNA3</t>
  </si>
  <si>
    <t>dgtp_c</t>
  </si>
  <si>
    <t>BIOSYN-DNA4</t>
  </si>
  <si>
    <t>dttp_c</t>
  </si>
  <si>
    <t>C10H13N2O14P3</t>
  </si>
  <si>
    <t>Metals synthesis (coefficients in gram per gDW)</t>
  </si>
  <si>
    <t>BIOSYN-METAL</t>
  </si>
  <si>
    <t>BIOSYN-METAL1</t>
  </si>
  <si>
    <t>ca2_c</t>
  </si>
  <si>
    <t>Ca</t>
  </si>
  <si>
    <t>BIOSYN-METAL2</t>
  </si>
  <si>
    <t>cu2_c</t>
  </si>
  <si>
    <t>Cu</t>
  </si>
  <si>
    <t>BIOSYN-METAL3</t>
  </si>
  <si>
    <t>fe2_c</t>
  </si>
  <si>
    <t>Fe</t>
  </si>
  <si>
    <t>BIOSYN-METAL4</t>
  </si>
  <si>
    <t>k_c</t>
  </si>
  <si>
    <t>K</t>
  </si>
  <si>
    <t>BIOSYN-METAL5</t>
  </si>
  <si>
    <t>mg2_c</t>
  </si>
  <si>
    <t>Mg</t>
  </si>
  <si>
    <t>BIOSYN-METAL6</t>
  </si>
  <si>
    <t>mn2_c</t>
  </si>
  <si>
    <t>Mn</t>
  </si>
  <si>
    <t>BIOSYN-METAL7</t>
  </si>
  <si>
    <t>zn2_c</t>
  </si>
  <si>
    <t>Zn</t>
  </si>
  <si>
    <t>Cofactors synthesis (coefficients in gram per gDW)</t>
  </si>
  <si>
    <t>BIOSYN-COFACTOR</t>
  </si>
  <si>
    <t>BIOSYN-COFACTOR1</t>
  </si>
  <si>
    <t>coa_c</t>
  </si>
  <si>
    <t>BIOSYN-COFACTOR2</t>
  </si>
  <si>
    <t>fad_c</t>
  </si>
  <si>
    <t>C27H30N9O15P2</t>
  </si>
  <si>
    <t>BIOSYN-COFACTOR3</t>
  </si>
  <si>
    <t>hemeA_c</t>
  </si>
  <si>
    <t>BIOSYN-COFACTOR4</t>
  </si>
  <si>
    <t>nad_c</t>
  </si>
  <si>
    <t>C21H26N7O14P2</t>
  </si>
  <si>
    <t>BIOSYN-COFACTOR5</t>
  </si>
  <si>
    <t>BIOSYN-COFACTOR6</t>
  </si>
  <si>
    <t>nadp_c</t>
  </si>
  <si>
    <t>C21H25N7O17P3</t>
  </si>
  <si>
    <t>BIOSYN-COFACTOR7</t>
  </si>
  <si>
    <t>BIOSYN-COFACTOR8</t>
  </si>
  <si>
    <t>ribflv_c</t>
  </si>
  <si>
    <t>C17H19N4O6</t>
  </si>
  <si>
    <t>BIOSYN-COFACTOR9</t>
  </si>
  <si>
    <t>thf_c</t>
  </si>
  <si>
    <t>BIOSYN-COFACTOR10</t>
  </si>
  <si>
    <t>thmpp_c</t>
  </si>
  <si>
    <t>Sulphate synthesis (coefficients in gram per gDW)</t>
  </si>
  <si>
    <t>BIOSYN-SO4</t>
  </si>
  <si>
    <t>so4_c</t>
  </si>
  <si>
    <t>O4S1</t>
  </si>
  <si>
    <t>Phosphate synthesis (coefficients in gram per gDW)</t>
  </si>
  <si>
    <t>BIOSYN-PI</t>
  </si>
  <si>
    <t>pi_c</t>
  </si>
  <si>
    <t>H1O4P1</t>
  </si>
  <si>
    <t>Eric Mooney</t>
  </si>
  <si>
    <t>gpianchorSC_r</t>
  </si>
  <si>
    <t>G00006_c</t>
  </si>
  <si>
    <t>oglycanSC_g</t>
  </si>
  <si>
    <t>13BDglucan_c</t>
  </si>
  <si>
    <t>C61H116O45N4P4Acyl2</t>
  </si>
  <si>
    <t>C46H78N2O42P2Polyprenyl</t>
  </si>
  <si>
    <t>C30H50O25</t>
  </si>
  <si>
    <t>epist_c</t>
  </si>
  <si>
    <t>linoea_c</t>
  </si>
  <si>
    <t>linolen_c</t>
  </si>
  <si>
    <t>docosa_c</t>
  </si>
  <si>
    <t>ttcosa_c</t>
  </si>
  <si>
    <t>C28H46O1</t>
  </si>
  <si>
    <t>C18H31O2</t>
  </si>
  <si>
    <t>C18H29O2</t>
  </si>
  <si>
    <t>C22H43O2</t>
  </si>
  <si>
    <t>C24H47O2</t>
  </si>
  <si>
    <t>C9H16O11P1Acyl2</t>
  </si>
  <si>
    <t>C8H18N1O6P1Acyl2</t>
  </si>
  <si>
    <t>C5H12N1O6P1Acyl2</t>
  </si>
  <si>
    <t>C6H10N1O8P1Acyl2</t>
  </si>
  <si>
    <t>BIOSYN-LIPID14</t>
  </si>
  <si>
    <t>amet_c</t>
  </si>
  <si>
    <t>btn_c</t>
  </si>
  <si>
    <t>spmd_c</t>
  </si>
  <si>
    <t>BIOSYN-COFACTOR11</t>
  </si>
  <si>
    <t>C12H16N4O7P2S1</t>
  </si>
  <si>
    <t>C21H32N7O16P3S1</t>
  </si>
  <si>
    <t>C19H21N7O6</t>
  </si>
  <si>
    <t>C15H23N6O5S</t>
  </si>
  <si>
    <t>C49H54FeN4O6</t>
  </si>
  <si>
    <t>C10H15N2O3S1</t>
  </si>
  <si>
    <t>C7H22N3</t>
  </si>
  <si>
    <t>BIOSYN-COFACTOR12</t>
  </si>
  <si>
    <t>pydx5p_c</t>
  </si>
  <si>
    <t>C8H8N1O6P1</t>
  </si>
  <si>
    <t>ppi_c</t>
  </si>
  <si>
    <t>C3H6NO</t>
  </si>
  <si>
    <t>C6H14N4O</t>
  </si>
  <si>
    <t>C4H7N2O2</t>
  </si>
  <si>
    <t>C4H5NO3</t>
  </si>
  <si>
    <t>C3H6NOS</t>
  </si>
  <si>
    <t>C5H9N2O2</t>
  </si>
  <si>
    <t>C5H7NO3</t>
  </si>
  <si>
    <t>C2H4NO</t>
  </si>
  <si>
    <t>C6H8N3O</t>
  </si>
  <si>
    <t>C6H12NO</t>
  </si>
  <si>
    <t>C6H14N2O</t>
  </si>
  <si>
    <t>C5H10NOS</t>
  </si>
  <si>
    <t>C9H10NO</t>
  </si>
  <si>
    <t>C5H7NO</t>
  </si>
  <si>
    <t>C3H6NO2</t>
  </si>
  <si>
    <t>C4H8NO2</t>
  </si>
  <si>
    <t>C11H11N2O</t>
  </si>
  <si>
    <t>C9H10NO2</t>
  </si>
  <si>
    <t>C5H10NO</t>
  </si>
  <si>
    <t>alatrna_c</t>
  </si>
  <si>
    <t>argtrna_c</t>
  </si>
  <si>
    <t>asntrna_c</t>
  </si>
  <si>
    <t>asptrna_c</t>
  </si>
  <si>
    <t>cystrna_c</t>
  </si>
  <si>
    <t>glntrna_c</t>
  </si>
  <si>
    <t>glutrna_c</t>
  </si>
  <si>
    <t>glytrna_c</t>
  </si>
  <si>
    <t>histrna_c</t>
  </si>
  <si>
    <t>iletrna_c</t>
  </si>
  <si>
    <t>leutrna_c</t>
  </si>
  <si>
    <t>lystrna_c</t>
  </si>
  <si>
    <t>mettrna_c</t>
  </si>
  <si>
    <t>phetrna_c</t>
  </si>
  <si>
    <t>protrna_c</t>
  </si>
  <si>
    <t>sertrna_c</t>
  </si>
  <si>
    <t>thrtrna_c</t>
  </si>
  <si>
    <t>trptrna_c</t>
  </si>
  <si>
    <t>tyrtrna_c</t>
  </si>
  <si>
    <t>valtrna_c</t>
  </si>
  <si>
    <t>BIO-prot</t>
  </si>
  <si>
    <t>BIO-rna</t>
  </si>
  <si>
    <t>BIO-carb</t>
  </si>
  <si>
    <t>RNA</t>
  </si>
  <si>
    <t>Protein</t>
  </si>
  <si>
    <t>Carbohydrate</t>
  </si>
  <si>
    <t>BIOSYN-PROT1</t>
  </si>
  <si>
    <t>BIOSYN-PROT2</t>
  </si>
  <si>
    <t>BIOSYN-PROT3</t>
  </si>
  <si>
    <t>BIOSYN-PROT4</t>
  </si>
  <si>
    <t>BIOSYN-PROT5</t>
  </si>
  <si>
    <t>BIOSYN-PROT6</t>
  </si>
  <si>
    <t>BIOSYN-PROT7</t>
  </si>
  <si>
    <t>BIOSYN-PROT8</t>
  </si>
  <si>
    <t>BIOSYN-PROT9</t>
  </si>
  <si>
    <t>BIOSYN-PROT10</t>
  </si>
  <si>
    <t>BIOSYN-PROT11</t>
  </si>
  <si>
    <t>BIOSYN-PROT12</t>
  </si>
  <si>
    <t>BIOSYN-PROT13</t>
  </si>
  <si>
    <t>BIOSYN-PROT14</t>
  </si>
  <si>
    <t>BIOSYN-PROT15</t>
  </si>
  <si>
    <t>BIOSYN-PROT16</t>
  </si>
  <si>
    <t>BIOSYN-PROT17</t>
  </si>
  <si>
    <t>BIOSYN-PROT18</t>
  </si>
  <si>
    <t>BIOSYN-PROT19</t>
  </si>
  <si>
    <t>BIOSYN-PROT20</t>
  </si>
  <si>
    <t>BIOSYN-PROT</t>
  </si>
  <si>
    <t>Protein synthesis (coefficients in gram per gDW)</t>
  </si>
  <si>
    <t>Biomass MW using MWs without ppi_c formed by biomass rxn (if available, total MW should be 1000):</t>
  </si>
  <si>
    <t>Biomass MW subtracting ppi_c formed by biomass rxn (if available, total MW should be 1000):</t>
  </si>
  <si>
    <t/>
  </si>
  <si>
    <t>BIOSYN-nlimBIODILAERO</t>
  </si>
  <si>
    <t>Protein synthesis (coefficients in gram per gDW) (Accounted for via dummy protein but used for MW calculations)</t>
  </si>
  <si>
    <t>GSM stoichiometric coefficients</t>
  </si>
  <si>
    <t>GSM stoichiometric coefficients:</t>
  </si>
  <si>
    <t>Kim</t>
  </si>
  <si>
    <t>rtRBA-C</t>
  </si>
  <si>
    <t>"13BDglcn_c"</t>
  </si>
  <si>
    <t>"16BDglcn_c"</t>
  </si>
  <si>
    <t>"5mthf_c"</t>
  </si>
  <si>
    <t>"adp_c"</t>
  </si>
  <si>
    <t>"alatrna_c"</t>
  </si>
  <si>
    <t>"argtrna_c"</t>
  </si>
  <si>
    <t>"asntrna_c"</t>
  </si>
  <si>
    <t>"asptrna_c"</t>
  </si>
  <si>
    <t>"atp_c"</t>
  </si>
  <si>
    <t>"btn_m"</t>
  </si>
  <si>
    <t>"ca2_c"</t>
  </si>
  <si>
    <t>"camp_c"</t>
  </si>
  <si>
    <t>"chitin_c"</t>
  </si>
  <si>
    <t>"clpn_RT_m"</t>
  </si>
  <si>
    <t>"coa_c"</t>
  </si>
  <si>
    <t>"ctp_c"</t>
  </si>
  <si>
    <t>"cu2_c"</t>
  </si>
  <si>
    <t>"cystrna_c"</t>
  </si>
  <si>
    <t>"datp_c"</t>
  </si>
  <si>
    <t>"dctp_c"</t>
  </si>
  <si>
    <t>"dgtp_c"</t>
  </si>
  <si>
    <t>"dttp_c"</t>
  </si>
  <si>
    <t>"ergst_r"</t>
  </si>
  <si>
    <t>"ergstest_RT_r"</t>
  </si>
  <si>
    <t>"fad_c"</t>
  </si>
  <si>
    <t>"fe2_c"</t>
  </si>
  <si>
    <t>"fe3_c"</t>
  </si>
  <si>
    <t>"glntrna_c"</t>
  </si>
  <si>
    <t>"glutrna_c"</t>
  </si>
  <si>
    <t>"glycogen_c"</t>
  </si>
  <si>
    <t>"glytrna_c"</t>
  </si>
  <si>
    <t>"gthrd_c"</t>
  </si>
  <si>
    <t>"gtp_c"</t>
  </si>
  <si>
    <t>"h2o_c"</t>
  </si>
  <si>
    <t>"h_c"</t>
  </si>
  <si>
    <t>"hemeA_m"</t>
  </si>
  <si>
    <t>"histrna_c"</t>
  </si>
  <si>
    <t>"iletrna_c"</t>
  </si>
  <si>
    <t>"k_c"</t>
  </si>
  <si>
    <t>"leutrna_c"</t>
  </si>
  <si>
    <t>"lipopb_m"</t>
  </si>
  <si>
    <t>"lystrna_c"</t>
  </si>
  <si>
    <t>"mannan_r"</t>
  </si>
  <si>
    <t>"mettrna_c"</t>
  </si>
  <si>
    <t>"mg2_c"</t>
  </si>
  <si>
    <t>"mlthf_c"</t>
  </si>
  <si>
    <t>"mn2_c"</t>
  </si>
  <si>
    <t>"na1_c"</t>
  </si>
  <si>
    <t>"nad_c"</t>
  </si>
  <si>
    <t>"nadp_c"</t>
  </si>
  <si>
    <t>"pa_RT_r"</t>
  </si>
  <si>
    <t>"pc_RT_r"</t>
  </si>
  <si>
    <t>"pe_RT_r"</t>
  </si>
  <si>
    <t>"phetrna_c"</t>
  </si>
  <si>
    <t>"pi_c"</t>
  </si>
  <si>
    <t>"ppi_c"</t>
  </si>
  <si>
    <t>"protrna_c"</t>
  </si>
  <si>
    <t>"ps_RT_r"</t>
  </si>
  <si>
    <t>"psphings_r"</t>
  </si>
  <si>
    <t>"ptd1ino_RT_r"</t>
  </si>
  <si>
    <t>"ptrc_c"</t>
  </si>
  <si>
    <t>"pydx5p_c"</t>
  </si>
  <si>
    <t>"q9_m"</t>
  </si>
  <si>
    <t>"ribflv_c"</t>
  </si>
  <si>
    <t>"sertrna_c"</t>
  </si>
  <si>
    <t>"spmd_c"</t>
  </si>
  <si>
    <t>"thf_c"</t>
  </si>
  <si>
    <t>"thmpp_c"</t>
  </si>
  <si>
    <t>"thrtrna_c"</t>
  </si>
  <si>
    <t>"tre_c"</t>
  </si>
  <si>
    <t>"triglyc_RT_r"</t>
  </si>
  <si>
    <t>"trptrna_c"</t>
  </si>
  <si>
    <t>"tyrtrna_c"</t>
  </si>
  <si>
    <t>"utp_c"</t>
  </si>
  <si>
    <t>"valtrna_c"</t>
  </si>
  <si>
    <t>"zn2_c"</t>
  </si>
  <si>
    <t>"zymst_r"</t>
  </si>
  <si>
    <t>"zymstest_RT_d"</t>
  </si>
  <si>
    <t>"13BDglucan_c"</t>
  </si>
  <si>
    <t>"16BDglucan_en"</t>
  </si>
  <si>
    <t>"G00006_c"</t>
  </si>
  <si>
    <t>"amet_c"</t>
  </si>
  <si>
    <t>"btn_c"</t>
  </si>
  <si>
    <t>"chtn_c"</t>
  </si>
  <si>
    <t>"docosa_c"</t>
  </si>
  <si>
    <t>"epist_c"</t>
  </si>
  <si>
    <t>"gpianchorSC_r"</t>
  </si>
  <si>
    <t>"hdca_c"</t>
  </si>
  <si>
    <t>"hemeA_c"</t>
  </si>
  <si>
    <t>"ipc_g"</t>
  </si>
  <si>
    <t>"linoea_c"</t>
  </si>
  <si>
    <t>"linolen_c"</t>
  </si>
  <si>
    <t>"ocdca_c"</t>
  </si>
  <si>
    <t>"ocdcea_c"</t>
  </si>
  <si>
    <t>"oglycanSC_g"</t>
  </si>
  <si>
    <t>"pail_c"</t>
  </si>
  <si>
    <t>"pc_c"</t>
  </si>
  <si>
    <t>"pe_c"</t>
  </si>
  <si>
    <t>"ps_c"</t>
  </si>
  <si>
    <t>"so4_c"</t>
  </si>
  <si>
    <t>"tag_c"</t>
  </si>
  <si>
    <t>"trnaala_c"</t>
  </si>
  <si>
    <t>"trnaarg_c"</t>
  </si>
  <si>
    <t>"trnaasn_c"</t>
  </si>
  <si>
    <t>"trnaasp_c"</t>
  </si>
  <si>
    <t>"trnacys_c"</t>
  </si>
  <si>
    <t>"trnagln_c"</t>
  </si>
  <si>
    <t>"trnaglu_c"</t>
  </si>
  <si>
    <t>"trnagly_c"</t>
  </si>
  <si>
    <t>"trnahis_c"</t>
  </si>
  <si>
    <t>"trnaile_c"</t>
  </si>
  <si>
    <t>"trnaleu_c"</t>
  </si>
  <si>
    <t>"trnalys_c"</t>
  </si>
  <si>
    <t>"trnamet_c"</t>
  </si>
  <si>
    <t>"trnaphe_c"</t>
  </si>
  <si>
    <t>"trnapro_c"</t>
  </si>
  <si>
    <t>"trnaser_c"</t>
  </si>
  <si>
    <t>"trnathr_c"</t>
  </si>
  <si>
    <t>"trnatrp_c"</t>
  </si>
  <si>
    <t>"trnatyr_c"</t>
  </si>
  <si>
    <t>"trnaval_c"</t>
  </si>
  <si>
    <t>"ttcosa_c"</t>
  </si>
  <si>
    <t>Kim in rtRBA-C?</t>
  </si>
  <si>
    <t>name</t>
  </si>
  <si>
    <t>adp_c</t>
  </si>
  <si>
    <t>ADP C10H12N5O10P2</t>
  </si>
  <si>
    <t>ATP C10H12N5O13P3</t>
  </si>
  <si>
    <t>h_c</t>
  </si>
  <si>
    <t>H+</t>
  </si>
  <si>
    <t>Nicotinamide adenine dinucleotide phosphate</t>
  </si>
  <si>
    <t>H2O H2O</t>
  </si>
  <si>
    <t>H2O</t>
  </si>
  <si>
    <t>h2o_c</t>
  </si>
  <si>
    <t>Nicotinamide adenine dinucleotide</t>
  </si>
  <si>
    <t>Diphosphate</t>
  </si>
  <si>
    <t>Coenzyme A</t>
  </si>
  <si>
    <t>ADP</t>
  </si>
  <si>
    <t>ATP</t>
  </si>
  <si>
    <t>GTP C10H12N5O14P3</t>
  </si>
  <si>
    <t>Biotin</t>
  </si>
  <si>
    <t>Chitin  monomer  C8H13NO5</t>
  </si>
  <si>
    <t>DATP C10H12N5O12P3</t>
  </si>
  <si>
    <t>Zymosterol C27H44O</t>
  </si>
  <si>
    <t>Phosphatidylcholine  yeast specific C4040H7844N100O800P100</t>
  </si>
  <si>
    <t>gthrd_c</t>
  </si>
  <si>
    <t>Glutathione</t>
  </si>
  <si>
    <t>DCTP C9H12N3O13P3</t>
  </si>
  <si>
    <t>Glycyl-tRNA(Gly)</t>
  </si>
  <si>
    <t>CTP C9H12N3O14P3</t>
  </si>
  <si>
    <t>Flavin adenine dinucleotide oxidized</t>
  </si>
  <si>
    <t>Phosphatidylethanolamine</t>
  </si>
  <si>
    <t>Fe2+ mitochondria</t>
  </si>
  <si>
    <t>L-Glutamyl-tRNA(Glu)</t>
  </si>
  <si>
    <t>5,6,7,8-Tetrahydrofolate</t>
  </si>
  <si>
    <t>Spermidine</t>
  </si>
  <si>
    <t>L-Histidyl-tRNA(His)</t>
  </si>
  <si>
    <t>L-Phenylalanyl-tRNA(Phe)</t>
  </si>
  <si>
    <t>Thiamin diphosphate</t>
  </si>
  <si>
    <t>UTP C9H11N2O15P3</t>
  </si>
  <si>
    <t>L-Tryptophanyl-tRNA(Trp)</t>
  </si>
  <si>
    <t>Ergosterol C28H44O</t>
  </si>
  <si>
    <t>mlthf_c</t>
  </si>
  <si>
    <t>5,10-Methylenetetrahydrofolate</t>
  </si>
  <si>
    <t>L-Methionyl-tRNA (Met)</t>
  </si>
  <si>
    <t>Riboflavin C17H20N4O6</t>
  </si>
  <si>
    <t>na1_c</t>
  </si>
  <si>
    <t>Sodium</t>
  </si>
  <si>
    <t>ptrc_c</t>
  </si>
  <si>
    <t>Putrescine</t>
  </si>
  <si>
    <t>L-Tyrosyl-tRNA(Tyr)</t>
  </si>
  <si>
    <t>L-Isoleucyl-tRNA(Ile)</t>
  </si>
  <si>
    <t>L-Aspartyl-tRNA(Asp)</t>
  </si>
  <si>
    <t>Phosphatidylserine  yeast specific C3840H7144N100O1000P100</t>
  </si>
  <si>
    <t>DGTP C10H12N5O13P3</t>
  </si>
  <si>
    <t>mannan_r</t>
  </si>
  <si>
    <t>Mannan C6H10O5</t>
  </si>
  <si>
    <t>DTTP C10H13N2O14P3</t>
  </si>
  <si>
    <t>camp_c</t>
  </si>
  <si>
    <t>CAMP C10H11N5O6P</t>
  </si>
  <si>
    <t>L-Cysteinyl-tRNA(Cys)</t>
  </si>
  <si>
    <t>1 6 beta D Glucan C6H10O5</t>
  </si>
  <si>
    <t>L-Leucyl-tRNA(Leu)</t>
  </si>
  <si>
    <t>glycogen_c</t>
  </si>
  <si>
    <t>Glycogen C6H10O5</t>
  </si>
  <si>
    <t>CTP</t>
  </si>
  <si>
    <t>L-Seryl-tRNA(Ser)</t>
  </si>
  <si>
    <t>1 3 beta D Glucan C6H10O5</t>
  </si>
  <si>
    <t>5mthf_c</t>
  </si>
  <si>
    <t>5-Methyltetrahydrofolate</t>
  </si>
  <si>
    <t>ergst_r</t>
  </si>
  <si>
    <t>psphings_r</t>
  </si>
  <si>
    <t>Phytosphingosine</t>
  </si>
  <si>
    <t>L-Alanyl-tRNA(Ala)</t>
  </si>
  <si>
    <t>L-Glutaminyl-tRNA(Gln)</t>
  </si>
  <si>
    <t>tre_c</t>
  </si>
  <si>
    <t>Trehalose</t>
  </si>
  <si>
    <t>Phosphatidyl 1D myo inositol  yeast specific C4140H7644O1300P100</t>
  </si>
  <si>
    <t>L-Arginyl-tRNA(Arg)</t>
  </si>
  <si>
    <t>L-Asparaginyl-tRNA(Asn)</t>
  </si>
  <si>
    <t>L-Valyl-tRNA(Val)</t>
  </si>
  <si>
    <t>Pyridoxal 5'-phosphate</t>
  </si>
  <si>
    <t>Cardiolipin  yeast specific C7380H13688O1700P200</t>
  </si>
  <si>
    <t>L-Prolyl-tRNA(Pro)</t>
  </si>
  <si>
    <t>L-Lysine-tRNA (Lys)</t>
  </si>
  <si>
    <t>Phosphatidate  yeast specific C3540H6544O800P100</t>
  </si>
  <si>
    <t>L-Threonyl-tRNA(Thr)</t>
  </si>
  <si>
    <t>hemeA_m</t>
  </si>
  <si>
    <t>Heme A C49H55FeN4O6</t>
  </si>
  <si>
    <t>Potassium</t>
  </si>
  <si>
    <t>Copper</t>
  </si>
  <si>
    <t>fe3_c</t>
  </si>
  <si>
    <t>Iron (Fe3+)</t>
  </si>
  <si>
    <t>Calcium</t>
  </si>
  <si>
    <t>btn_m</t>
  </si>
  <si>
    <t>q9_m</t>
  </si>
  <si>
    <t>Ubiquinone-9</t>
  </si>
  <si>
    <t>Lipoate (protein bound)</t>
  </si>
  <si>
    <t>Triglyceride  yeast specific C5160H9566O600</t>
  </si>
  <si>
    <t>Ergosterol ester  yeast specific C1695H2993O101</t>
  </si>
  <si>
    <t>Zymosterol ester  yeast specific C1694H2993O101</t>
  </si>
  <si>
    <t>Magnesium</t>
  </si>
  <si>
    <t>Manganese</t>
  </si>
  <si>
    <t>Zinc</t>
  </si>
  <si>
    <t>kim name</t>
  </si>
  <si>
    <t>rtRBA name</t>
  </si>
  <si>
    <t>auto or manually found?</t>
  </si>
  <si>
    <t>clpn_RT_m and clpn_mm are the best possible matches but w/ different charges</t>
  </si>
  <si>
    <t>ergstest_rm</t>
  </si>
  <si>
    <t>pa_rm</t>
  </si>
  <si>
    <t>pc_rm</t>
  </si>
  <si>
    <t>ps_rm</t>
  </si>
  <si>
    <t>pe_rm</t>
  </si>
  <si>
    <t>pail_rm</t>
  </si>
  <si>
    <t>tag_rm</t>
  </si>
  <si>
    <t>zymst_rm</t>
  </si>
  <si>
    <t>coeff</t>
  </si>
  <si>
    <t>category</t>
  </si>
  <si>
    <t>Kim (raw)</t>
  </si>
  <si>
    <t>zymstest_RT_rm</t>
  </si>
  <si>
    <r>
      <t>"13BDglcn_c"</t>
    </r>
    <r>
      <rPr>
        <sz val="12"/>
        <color rgb="FF3B3B3B"/>
        <rFont val="Menlo"/>
        <family val="2"/>
      </rPr>
      <t>:</t>
    </r>
    <r>
      <rPr>
        <sz val="12"/>
        <color rgb="FF098658"/>
        <rFont val="Menlo"/>
        <family val="2"/>
      </rPr>
      <t>-0.957502</t>
    </r>
    <r>
      <rPr>
        <sz val="12"/>
        <color rgb="FF3B3B3B"/>
        <rFont val="Menlo"/>
        <family val="2"/>
      </rPr>
      <t>,</t>
    </r>
  </si>
  <si>
    <r>
      <t>"16BDglcn_c"</t>
    </r>
    <r>
      <rPr>
        <sz val="12"/>
        <color rgb="FF3B3B3B"/>
        <rFont val="Menlo"/>
        <family val="2"/>
      </rPr>
      <t>:</t>
    </r>
    <r>
      <rPr>
        <sz val="12"/>
        <color rgb="FF098658"/>
        <rFont val="Menlo"/>
        <family val="2"/>
      </rPr>
      <t>-0.177315</t>
    </r>
    <r>
      <rPr>
        <sz val="12"/>
        <color rgb="FF3B3B3B"/>
        <rFont val="Menlo"/>
        <family val="2"/>
      </rPr>
      <t>,</t>
    </r>
  </si>
  <si>
    <r>
      <t>"5mthf_c"</t>
    </r>
    <r>
      <rPr>
        <sz val="12"/>
        <color rgb="FF3B3B3B"/>
        <rFont val="Menlo"/>
        <family val="2"/>
      </rPr>
      <t>:</t>
    </r>
    <r>
      <rPr>
        <sz val="12"/>
        <color rgb="FF098658"/>
        <rFont val="Menlo"/>
        <family val="2"/>
      </rPr>
      <t>-0.001283</t>
    </r>
    <r>
      <rPr>
        <sz val="12"/>
        <color rgb="FF3B3B3B"/>
        <rFont val="Menlo"/>
        <family val="2"/>
      </rPr>
      <t>,</t>
    </r>
  </si>
  <si>
    <r>
      <t>"adp_c"</t>
    </r>
    <r>
      <rPr>
        <sz val="12"/>
        <color rgb="FF3B3B3B"/>
        <rFont val="Menlo"/>
        <family val="2"/>
      </rPr>
      <t>:</t>
    </r>
    <r>
      <rPr>
        <sz val="12"/>
        <color rgb="FF098658"/>
        <rFont val="Menlo"/>
        <family val="2"/>
      </rPr>
      <t>139.639453</t>
    </r>
    <r>
      <rPr>
        <sz val="12"/>
        <color rgb="FF3B3B3B"/>
        <rFont val="Menlo"/>
        <family val="2"/>
      </rPr>
      <t>,</t>
    </r>
  </si>
  <si>
    <r>
      <t>"alatrna_c"</t>
    </r>
    <r>
      <rPr>
        <sz val="12"/>
        <color rgb="FF3B3B3B"/>
        <rFont val="Menlo"/>
        <family val="2"/>
      </rPr>
      <t>:</t>
    </r>
    <r>
      <rPr>
        <sz val="12"/>
        <color rgb="FF098658"/>
        <rFont val="Menlo"/>
        <family val="2"/>
      </rPr>
      <t>-0.577574</t>
    </r>
    <r>
      <rPr>
        <sz val="12"/>
        <color rgb="FF3B3B3B"/>
        <rFont val="Menlo"/>
        <family val="2"/>
      </rPr>
      <t>,</t>
    </r>
  </si>
  <si>
    <r>
      <t>"argtrna_c"</t>
    </r>
    <r>
      <rPr>
        <sz val="12"/>
        <color rgb="FF3B3B3B"/>
        <rFont val="Menlo"/>
        <family val="2"/>
      </rPr>
      <t>:</t>
    </r>
    <r>
      <rPr>
        <sz val="12"/>
        <color rgb="FF098658"/>
        <rFont val="Menlo"/>
        <family val="2"/>
      </rPr>
      <t>-0.146675</t>
    </r>
    <r>
      <rPr>
        <sz val="12"/>
        <color rgb="FF3B3B3B"/>
        <rFont val="Menlo"/>
        <family val="2"/>
      </rPr>
      <t>,</t>
    </r>
  </si>
  <si>
    <r>
      <t>"asntrna_c"</t>
    </r>
    <r>
      <rPr>
        <sz val="12"/>
        <color rgb="FF3B3B3B"/>
        <rFont val="Menlo"/>
        <family val="2"/>
      </rPr>
      <t>:</t>
    </r>
    <r>
      <rPr>
        <sz val="12"/>
        <color rgb="FF098658"/>
        <rFont val="Menlo"/>
        <family val="2"/>
      </rPr>
      <t>-0.10797</t>
    </r>
    <r>
      <rPr>
        <sz val="12"/>
        <color rgb="FF3B3B3B"/>
        <rFont val="Menlo"/>
        <family val="2"/>
      </rPr>
      <t>,</t>
    </r>
  </si>
  <si>
    <r>
      <t>"asptrna_c"</t>
    </r>
    <r>
      <rPr>
        <sz val="12"/>
        <color rgb="FF3B3B3B"/>
        <rFont val="Menlo"/>
        <family val="2"/>
      </rPr>
      <t>:</t>
    </r>
    <r>
      <rPr>
        <sz val="12"/>
        <color rgb="FF098658"/>
        <rFont val="Menlo"/>
        <family val="2"/>
      </rPr>
      <t>-0.197296</t>
    </r>
    <r>
      <rPr>
        <sz val="12"/>
        <color rgb="FF3B3B3B"/>
        <rFont val="Menlo"/>
        <family val="2"/>
      </rPr>
      <t>,</t>
    </r>
  </si>
  <si>
    <r>
      <t>"atp_c"</t>
    </r>
    <r>
      <rPr>
        <sz val="12"/>
        <color rgb="FF3B3B3B"/>
        <rFont val="Menlo"/>
        <family val="2"/>
      </rPr>
      <t>:</t>
    </r>
    <r>
      <rPr>
        <sz val="12"/>
        <color rgb="FF098658"/>
        <rFont val="Menlo"/>
        <family val="2"/>
      </rPr>
      <t>-139.6887</t>
    </r>
    <r>
      <rPr>
        <sz val="12"/>
        <color rgb="FF3B3B3B"/>
        <rFont val="Menlo"/>
        <family val="2"/>
      </rPr>
      <t>,</t>
    </r>
  </si>
  <si>
    <r>
      <t>"btn_m"</t>
    </r>
    <r>
      <rPr>
        <sz val="12"/>
        <color rgb="FF3B3B3B"/>
        <rFont val="Menlo"/>
        <family val="2"/>
      </rPr>
      <t>:</t>
    </r>
    <r>
      <rPr>
        <sz val="12"/>
        <color rgb="FF098658"/>
        <rFont val="Menlo"/>
        <family val="2"/>
      </rPr>
      <t>-0.002418</t>
    </r>
    <r>
      <rPr>
        <sz val="12"/>
        <color rgb="FF3B3B3B"/>
        <rFont val="Menlo"/>
        <family val="2"/>
      </rPr>
      <t>,</t>
    </r>
  </si>
  <si>
    <r>
      <t>"ca2_c"</t>
    </r>
    <r>
      <rPr>
        <sz val="12"/>
        <color rgb="FF3B3B3B"/>
        <rFont val="Menlo"/>
        <family val="2"/>
      </rPr>
      <t>:</t>
    </r>
    <r>
      <rPr>
        <sz val="12"/>
        <color rgb="FF098658"/>
        <rFont val="Menlo"/>
        <family val="2"/>
      </rPr>
      <t>-0.000832</t>
    </r>
    <r>
      <rPr>
        <sz val="12"/>
        <color rgb="FF3B3B3B"/>
        <rFont val="Menlo"/>
        <family val="2"/>
      </rPr>
      <t>,</t>
    </r>
  </si>
  <si>
    <r>
      <t>"camp_c"</t>
    </r>
    <r>
      <rPr>
        <sz val="12"/>
        <color rgb="FF3B3B3B"/>
        <rFont val="Menlo"/>
        <family val="2"/>
      </rPr>
      <t>:</t>
    </r>
    <r>
      <rPr>
        <sz val="12"/>
        <color rgb="FF098658"/>
        <rFont val="Menlo"/>
        <family val="2"/>
      </rPr>
      <t>-0.001792</t>
    </r>
    <r>
      <rPr>
        <sz val="12"/>
        <color rgb="FF3B3B3B"/>
        <rFont val="Menlo"/>
        <family val="2"/>
      </rPr>
      <t>,</t>
    </r>
  </si>
  <si>
    <r>
      <t>"chitin_c"</t>
    </r>
    <r>
      <rPr>
        <sz val="12"/>
        <color rgb="FF3B3B3B"/>
        <rFont val="Menlo"/>
        <family val="2"/>
      </rPr>
      <t>:</t>
    </r>
    <r>
      <rPr>
        <sz val="12"/>
        <color rgb="FF098658"/>
        <rFont val="Menlo"/>
        <family val="2"/>
      </rPr>
      <t>-0.031005</t>
    </r>
    <r>
      <rPr>
        <sz val="12"/>
        <color rgb="FF3B3B3B"/>
        <rFont val="Menlo"/>
        <family val="2"/>
      </rPr>
      <t>,</t>
    </r>
  </si>
  <si>
    <r>
      <t>"clpn_RT_m"</t>
    </r>
    <r>
      <rPr>
        <sz val="12"/>
        <color rgb="FF3B3B3B"/>
        <rFont val="Menlo"/>
        <family val="2"/>
      </rPr>
      <t>:</t>
    </r>
    <r>
      <rPr>
        <sz val="12"/>
        <color rgb="FF098658"/>
        <rFont val="Menlo"/>
        <family val="2"/>
      </rPr>
      <t>-1.8e-05</t>
    </r>
    <r>
      <rPr>
        <sz val="12"/>
        <color rgb="FF3B3B3B"/>
        <rFont val="Menlo"/>
        <family val="2"/>
      </rPr>
      <t>,</t>
    </r>
  </si>
  <si>
    <r>
      <t>"coa_c"</t>
    </r>
    <r>
      <rPr>
        <sz val="12"/>
        <color rgb="FF3B3B3B"/>
        <rFont val="Menlo"/>
        <family val="2"/>
      </rPr>
      <t>:</t>
    </r>
    <r>
      <rPr>
        <sz val="12"/>
        <color rgb="FF098658"/>
        <rFont val="Menlo"/>
        <family val="2"/>
      </rPr>
      <t>-0.00077</t>
    </r>
    <r>
      <rPr>
        <sz val="12"/>
        <color rgb="FF3B3B3B"/>
        <rFont val="Menlo"/>
        <family val="2"/>
      </rPr>
      <t>,</t>
    </r>
  </si>
  <si>
    <r>
      <t>"ctp_c"</t>
    </r>
    <r>
      <rPr>
        <sz val="12"/>
        <color rgb="FF3B3B3B"/>
        <rFont val="Menlo"/>
        <family val="2"/>
      </rPr>
      <t>:</t>
    </r>
    <r>
      <rPr>
        <sz val="12"/>
        <color rgb="FF098658"/>
        <rFont val="Menlo"/>
        <family val="2"/>
      </rPr>
      <t>-0.044881</t>
    </r>
    <r>
      <rPr>
        <sz val="12"/>
        <color rgb="FF3B3B3B"/>
        <rFont val="Menlo"/>
        <family val="2"/>
      </rPr>
      <t>,</t>
    </r>
  </si>
  <si>
    <r>
      <t>"cu2_c"</t>
    </r>
    <r>
      <rPr>
        <sz val="12"/>
        <color rgb="FF3B3B3B"/>
        <rFont val="Menlo"/>
        <family val="2"/>
      </rPr>
      <t>:</t>
    </r>
    <r>
      <rPr>
        <sz val="12"/>
        <color rgb="FF098658"/>
        <rFont val="Menlo"/>
        <family val="2"/>
      </rPr>
      <t>-0.000525</t>
    </r>
    <r>
      <rPr>
        <sz val="12"/>
        <color rgb="FF3B3B3B"/>
        <rFont val="Menlo"/>
        <family val="2"/>
      </rPr>
      <t>,</t>
    </r>
  </si>
  <si>
    <r>
      <t>"cystrna_c"</t>
    </r>
    <r>
      <rPr>
        <sz val="12"/>
        <color rgb="FF3B3B3B"/>
        <rFont val="Menlo"/>
        <family val="2"/>
      </rPr>
      <t>:</t>
    </r>
    <r>
      <rPr>
        <sz val="12"/>
        <color rgb="FF098658"/>
        <rFont val="Menlo"/>
        <family val="2"/>
      </rPr>
      <t>-0.034269</t>
    </r>
    <r>
      <rPr>
        <sz val="12"/>
        <color rgb="FF3B3B3B"/>
        <rFont val="Menlo"/>
        <family val="2"/>
      </rPr>
      <t>,</t>
    </r>
  </si>
  <si>
    <r>
      <t>"datp_c"</t>
    </r>
    <r>
      <rPr>
        <sz val="12"/>
        <color rgb="FF3B3B3B"/>
        <rFont val="Menlo"/>
        <family val="2"/>
      </rPr>
      <t>:</t>
    </r>
    <r>
      <rPr>
        <sz val="12"/>
        <color rgb="FF098658"/>
        <rFont val="Menlo"/>
        <family val="2"/>
      </rPr>
      <t>-0.002451</t>
    </r>
    <r>
      <rPr>
        <sz val="12"/>
        <color rgb="FF3B3B3B"/>
        <rFont val="Menlo"/>
        <family val="2"/>
      </rPr>
      <t>,</t>
    </r>
  </si>
  <si>
    <r>
      <t>"dctp_c"</t>
    </r>
    <r>
      <rPr>
        <sz val="12"/>
        <color rgb="FF3B3B3B"/>
        <rFont val="Menlo"/>
        <family val="2"/>
      </rPr>
      <t>:</t>
    </r>
    <r>
      <rPr>
        <sz val="12"/>
        <color rgb="FF098658"/>
        <rFont val="Menlo"/>
        <family val="2"/>
      </rPr>
      <t>-0.004285</t>
    </r>
    <r>
      <rPr>
        <sz val="12"/>
        <color rgb="FF3B3B3B"/>
        <rFont val="Menlo"/>
        <family val="2"/>
      </rPr>
      <t>,</t>
    </r>
  </si>
  <si>
    <r>
      <t>"dgtp_c"</t>
    </r>
    <r>
      <rPr>
        <sz val="12"/>
        <color rgb="FF3B3B3B"/>
        <rFont val="Menlo"/>
        <family val="2"/>
      </rPr>
      <t>:</t>
    </r>
    <r>
      <rPr>
        <sz val="12"/>
        <color rgb="FF098658"/>
        <rFont val="Menlo"/>
        <family val="2"/>
      </rPr>
      <t>-0.003763</t>
    </r>
    <r>
      <rPr>
        <sz val="12"/>
        <color rgb="FF3B3B3B"/>
        <rFont val="Menlo"/>
        <family val="2"/>
      </rPr>
      <t>,</t>
    </r>
  </si>
  <si>
    <r>
      <t>"dttp_c"</t>
    </r>
    <r>
      <rPr>
        <sz val="12"/>
        <color rgb="FF3B3B3B"/>
        <rFont val="Menlo"/>
        <family val="2"/>
      </rPr>
      <t>:</t>
    </r>
    <r>
      <rPr>
        <sz val="12"/>
        <color rgb="FF098658"/>
        <rFont val="Menlo"/>
        <family val="2"/>
      </rPr>
      <t>-0.002523</t>
    </r>
    <r>
      <rPr>
        <sz val="12"/>
        <color rgb="FF3B3B3B"/>
        <rFont val="Menlo"/>
        <family val="2"/>
      </rPr>
      <t>,</t>
    </r>
  </si>
  <si>
    <r>
      <t>"ergst_r"</t>
    </r>
    <r>
      <rPr>
        <sz val="12"/>
        <color rgb="FF3B3B3B"/>
        <rFont val="Menlo"/>
        <family val="2"/>
      </rPr>
      <t>:</t>
    </r>
    <r>
      <rPr>
        <sz val="12"/>
        <color rgb="FF098658"/>
        <rFont val="Menlo"/>
        <family val="2"/>
      </rPr>
      <t>-0.004031</t>
    </r>
    <r>
      <rPr>
        <sz val="12"/>
        <color rgb="FF3B3B3B"/>
        <rFont val="Menlo"/>
        <family val="2"/>
      </rPr>
      <t>,</t>
    </r>
  </si>
  <si>
    <r>
      <t>"ergstest_RT_r"</t>
    </r>
    <r>
      <rPr>
        <sz val="12"/>
        <color rgb="FF3B3B3B"/>
        <rFont val="Menlo"/>
        <family val="2"/>
      </rPr>
      <t>:</t>
    </r>
    <r>
      <rPr>
        <sz val="12"/>
        <color rgb="FF098658"/>
        <rFont val="Menlo"/>
        <family val="2"/>
      </rPr>
      <t>-1.6e-05</t>
    </r>
    <r>
      <rPr>
        <sz val="12"/>
        <color rgb="FF3B3B3B"/>
        <rFont val="Menlo"/>
        <family val="2"/>
      </rPr>
      <t>,</t>
    </r>
  </si>
  <si>
    <r>
      <t>"fad_c"</t>
    </r>
    <r>
      <rPr>
        <sz val="12"/>
        <color rgb="FF3B3B3B"/>
        <rFont val="Menlo"/>
        <family val="2"/>
      </rPr>
      <t>:</t>
    </r>
    <r>
      <rPr>
        <sz val="12"/>
        <color rgb="FF098658"/>
        <rFont val="Menlo"/>
        <family val="2"/>
      </rPr>
      <t>-0.000751</t>
    </r>
    <r>
      <rPr>
        <sz val="12"/>
        <color rgb="FF3B3B3B"/>
        <rFont val="Menlo"/>
        <family val="2"/>
      </rPr>
      <t>,</t>
    </r>
  </si>
  <si>
    <r>
      <t>"fe2_c"</t>
    </r>
    <r>
      <rPr>
        <sz val="12"/>
        <color rgb="FF3B3B3B"/>
        <rFont val="Menlo"/>
        <family val="2"/>
      </rPr>
      <t>:</t>
    </r>
    <r>
      <rPr>
        <sz val="12"/>
        <color rgb="FF098658"/>
        <rFont val="Menlo"/>
        <family val="2"/>
      </rPr>
      <t>-0.000597</t>
    </r>
    <r>
      <rPr>
        <sz val="12"/>
        <color rgb="FF3B3B3B"/>
        <rFont val="Menlo"/>
        <family val="2"/>
      </rPr>
      <t>,</t>
    </r>
  </si>
  <si>
    <r>
      <t>"fe3_c"</t>
    </r>
    <r>
      <rPr>
        <sz val="12"/>
        <color rgb="FF3B3B3B"/>
        <rFont val="Menlo"/>
        <family val="2"/>
      </rPr>
      <t>:</t>
    </r>
    <r>
      <rPr>
        <sz val="12"/>
        <color rgb="FF098658"/>
        <rFont val="Menlo"/>
        <family val="2"/>
      </rPr>
      <t>-0.000597</t>
    </r>
    <r>
      <rPr>
        <sz val="12"/>
        <color rgb="FF3B3B3B"/>
        <rFont val="Menlo"/>
        <family val="2"/>
      </rPr>
      <t>,</t>
    </r>
  </si>
  <si>
    <r>
      <t>"glntrna_c"</t>
    </r>
    <r>
      <rPr>
        <sz val="12"/>
        <color rgb="FF3B3B3B"/>
        <rFont val="Menlo"/>
        <family val="2"/>
      </rPr>
      <t>:</t>
    </r>
    <r>
      <rPr>
        <sz val="12"/>
        <color rgb="FF098658"/>
        <rFont val="Menlo"/>
        <family val="2"/>
      </rPr>
      <t>-0.117898</t>
    </r>
    <r>
      <rPr>
        <sz val="12"/>
        <color rgb="FF3B3B3B"/>
        <rFont val="Menlo"/>
        <family val="2"/>
      </rPr>
      <t>,</t>
    </r>
  </si>
  <si>
    <r>
      <t>"glutrna_c"</t>
    </r>
    <r>
      <rPr>
        <sz val="12"/>
        <color rgb="FF3B3B3B"/>
        <rFont val="Menlo"/>
        <family val="2"/>
      </rPr>
      <t>:</t>
    </r>
    <r>
      <rPr>
        <sz val="12"/>
        <color rgb="FF098658"/>
        <rFont val="Menlo"/>
        <family val="2"/>
      </rPr>
      <t>-0.208673</t>
    </r>
    <r>
      <rPr>
        <sz val="12"/>
        <color rgb="FF3B3B3B"/>
        <rFont val="Menlo"/>
        <family val="2"/>
      </rPr>
      <t>,</t>
    </r>
  </si>
  <si>
    <r>
      <t>"glycogen_c"</t>
    </r>
    <r>
      <rPr>
        <sz val="12"/>
        <color rgb="FF3B3B3B"/>
        <rFont val="Menlo"/>
        <family val="2"/>
      </rPr>
      <t>:</t>
    </r>
    <r>
      <rPr>
        <sz val="12"/>
        <color rgb="FF098658"/>
        <rFont val="Menlo"/>
        <family val="2"/>
      </rPr>
      <t>-0.518069</t>
    </r>
    <r>
      <rPr>
        <sz val="12"/>
        <color rgb="FF3B3B3B"/>
        <rFont val="Menlo"/>
        <family val="2"/>
      </rPr>
      <t>,</t>
    </r>
  </si>
  <si>
    <r>
      <t>"glytrna_c"</t>
    </r>
    <r>
      <rPr>
        <sz val="12"/>
        <color rgb="FF3B3B3B"/>
        <rFont val="Menlo"/>
        <family val="2"/>
      </rPr>
      <t>:</t>
    </r>
    <r>
      <rPr>
        <sz val="12"/>
        <color rgb="FF098658"/>
        <rFont val="Menlo"/>
        <family val="2"/>
      </rPr>
      <t>-0.51322</t>
    </r>
    <r>
      <rPr>
        <sz val="12"/>
        <color rgb="FF3B3B3B"/>
        <rFont val="Menlo"/>
        <family val="2"/>
      </rPr>
      <t>,</t>
    </r>
  </si>
  <si>
    <r>
      <t>"gthrd_c"</t>
    </r>
    <r>
      <rPr>
        <sz val="12"/>
        <color rgb="FF3B3B3B"/>
        <rFont val="Menlo"/>
        <family val="2"/>
      </rPr>
      <t>:</t>
    </r>
    <r>
      <rPr>
        <sz val="12"/>
        <color rgb="FF098658"/>
        <rFont val="Menlo"/>
        <family val="2"/>
      </rPr>
      <t>-0.00192</t>
    </r>
    <r>
      <rPr>
        <sz val="12"/>
        <color rgb="FF3B3B3B"/>
        <rFont val="Menlo"/>
        <family val="2"/>
      </rPr>
      <t>,</t>
    </r>
  </si>
  <si>
    <r>
      <t>"gtp_c"</t>
    </r>
    <r>
      <rPr>
        <sz val="12"/>
        <color rgb="FF3B3B3B"/>
        <rFont val="Menlo"/>
        <family val="2"/>
      </rPr>
      <t>:</t>
    </r>
    <r>
      <rPr>
        <sz val="12"/>
        <color rgb="FF098658"/>
        <rFont val="Menlo"/>
        <family val="2"/>
      </rPr>
      <t>-0.051085</t>
    </r>
    <r>
      <rPr>
        <sz val="12"/>
        <color rgb="FF3B3B3B"/>
        <rFont val="Menlo"/>
        <family val="2"/>
      </rPr>
      <t>,</t>
    </r>
  </si>
  <si>
    <r>
      <t>"h2o_c"</t>
    </r>
    <r>
      <rPr>
        <sz val="12"/>
        <color rgb="FF3B3B3B"/>
        <rFont val="Menlo"/>
        <family val="2"/>
      </rPr>
      <t>:</t>
    </r>
    <r>
      <rPr>
        <sz val="12"/>
        <color rgb="FF098658"/>
        <rFont val="Menlo"/>
        <family val="2"/>
      </rPr>
      <t>-135.719639</t>
    </r>
    <r>
      <rPr>
        <sz val="12"/>
        <color rgb="FF3B3B3B"/>
        <rFont val="Menlo"/>
        <family val="2"/>
      </rPr>
      <t>,</t>
    </r>
  </si>
  <si>
    <r>
      <t>"h_c"</t>
    </r>
    <r>
      <rPr>
        <sz val="12"/>
        <color rgb="FF3B3B3B"/>
        <rFont val="Menlo"/>
        <family val="2"/>
      </rPr>
      <t>:</t>
    </r>
    <r>
      <rPr>
        <sz val="12"/>
        <color rgb="FF098658"/>
        <rFont val="Menlo"/>
        <family val="2"/>
      </rPr>
      <t>139.639453</t>
    </r>
    <r>
      <rPr>
        <sz val="12"/>
        <color rgb="FF3B3B3B"/>
        <rFont val="Menlo"/>
        <family val="2"/>
      </rPr>
      <t>,</t>
    </r>
  </si>
  <si>
    <r>
      <t>"hemeA_m"</t>
    </r>
    <r>
      <rPr>
        <sz val="12"/>
        <color rgb="FF3B3B3B"/>
        <rFont val="Menlo"/>
        <family val="2"/>
      </rPr>
      <t>:</t>
    </r>
    <r>
      <rPr>
        <sz val="12"/>
        <color rgb="FF098658"/>
        <rFont val="Menlo"/>
        <family val="2"/>
      </rPr>
      <t>-0.000691</t>
    </r>
    <r>
      <rPr>
        <sz val="12"/>
        <color rgb="FF3B3B3B"/>
        <rFont val="Menlo"/>
        <family val="2"/>
      </rPr>
      <t>,</t>
    </r>
  </si>
  <si>
    <r>
      <t>"histrna_c"</t>
    </r>
    <r>
      <rPr>
        <sz val="12"/>
        <color rgb="FF3B3B3B"/>
        <rFont val="Menlo"/>
        <family val="2"/>
      </rPr>
      <t>:</t>
    </r>
    <r>
      <rPr>
        <sz val="12"/>
        <color rgb="FF098658"/>
        <rFont val="Menlo"/>
        <family val="2"/>
      </rPr>
      <t>-0.061167</t>
    </r>
    <r>
      <rPr>
        <sz val="12"/>
        <color rgb="FF3B3B3B"/>
        <rFont val="Menlo"/>
        <family val="2"/>
      </rPr>
      <t>,</t>
    </r>
  </si>
  <si>
    <r>
      <t>"iletrna_c"</t>
    </r>
    <r>
      <rPr>
        <sz val="12"/>
        <color rgb="FF3B3B3B"/>
        <rFont val="Menlo"/>
        <family val="2"/>
      </rPr>
      <t>:</t>
    </r>
    <r>
      <rPr>
        <sz val="12"/>
        <color rgb="FF098658"/>
        <rFont val="Menlo"/>
        <family val="2"/>
      </rPr>
      <t>-0.158569</t>
    </r>
    <r>
      <rPr>
        <sz val="12"/>
        <color rgb="FF3B3B3B"/>
        <rFont val="Menlo"/>
        <family val="2"/>
      </rPr>
      <t>,</t>
    </r>
  </si>
  <si>
    <r>
      <t>"k_c"</t>
    </r>
    <r>
      <rPr>
        <sz val="12"/>
        <color rgb="FF3B3B3B"/>
        <rFont val="Menlo"/>
        <family val="2"/>
      </rPr>
      <t>:</t>
    </r>
    <r>
      <rPr>
        <sz val="12"/>
        <color rgb="FF098658"/>
        <rFont val="Menlo"/>
        <family val="2"/>
      </rPr>
      <t>-0.585703</t>
    </r>
    <r>
      <rPr>
        <sz val="12"/>
        <color rgb="FF3B3B3B"/>
        <rFont val="Menlo"/>
        <family val="2"/>
      </rPr>
      <t>,</t>
    </r>
  </si>
  <si>
    <r>
      <t>"leutrna_c"</t>
    </r>
    <r>
      <rPr>
        <sz val="12"/>
        <color rgb="FF3B3B3B"/>
        <rFont val="Menlo"/>
        <family val="2"/>
      </rPr>
      <t>:</t>
    </r>
    <r>
      <rPr>
        <sz val="12"/>
        <color rgb="FF098658"/>
        <rFont val="Menlo"/>
        <family val="2"/>
      </rPr>
      <t>-0.320205</t>
    </r>
    <r>
      <rPr>
        <sz val="12"/>
        <color rgb="FF3B3B3B"/>
        <rFont val="Menlo"/>
        <family val="2"/>
      </rPr>
      <t>,</t>
    </r>
  </si>
  <si>
    <r>
      <t>"lipopb_m"</t>
    </r>
    <r>
      <rPr>
        <sz val="12"/>
        <color rgb="FF3B3B3B"/>
        <rFont val="Menlo"/>
        <family val="2"/>
      </rPr>
      <t>:</t>
    </r>
    <r>
      <rPr>
        <sz val="12"/>
        <color rgb="FF098658"/>
        <rFont val="Menlo"/>
        <family val="2"/>
      </rPr>
      <t>-0.003107</t>
    </r>
    <r>
      <rPr>
        <sz val="12"/>
        <color rgb="FF3B3B3B"/>
        <rFont val="Menlo"/>
        <family val="2"/>
      </rPr>
      <t>,</t>
    </r>
  </si>
  <si>
    <r>
      <t>"lystrna_c"</t>
    </r>
    <r>
      <rPr>
        <sz val="12"/>
        <color rgb="FF3B3B3B"/>
        <rFont val="Menlo"/>
        <family val="2"/>
      </rPr>
      <t>:</t>
    </r>
    <r>
      <rPr>
        <sz val="12"/>
        <color rgb="FF098658"/>
        <rFont val="Menlo"/>
        <family val="2"/>
      </rPr>
      <t>-0.172334</t>
    </r>
    <r>
      <rPr>
        <sz val="12"/>
        <color rgb="FF3B3B3B"/>
        <rFont val="Menlo"/>
        <family val="2"/>
      </rPr>
      <t>,</t>
    </r>
  </si>
  <si>
    <r>
      <t>"mannan_r"</t>
    </r>
    <r>
      <rPr>
        <sz val="12"/>
        <color rgb="FF3B3B3B"/>
        <rFont val="Menlo"/>
        <family val="2"/>
      </rPr>
      <t>:</t>
    </r>
    <r>
      <rPr>
        <sz val="12"/>
        <color rgb="FF098658"/>
        <rFont val="Menlo"/>
        <family val="2"/>
      </rPr>
      <t>-0.807941</t>
    </r>
    <r>
      <rPr>
        <sz val="12"/>
        <color rgb="FF3B3B3B"/>
        <rFont val="Menlo"/>
        <family val="2"/>
      </rPr>
      <t>,</t>
    </r>
  </si>
  <si>
    <r>
      <t>"mettrna_c"</t>
    </r>
    <r>
      <rPr>
        <sz val="12"/>
        <color rgb="FF3B3B3B"/>
        <rFont val="Menlo"/>
        <family val="2"/>
      </rPr>
      <t>:</t>
    </r>
    <r>
      <rPr>
        <sz val="12"/>
        <color rgb="FF098658"/>
        <rFont val="Menlo"/>
        <family val="2"/>
      </rPr>
      <t>-0.05705</t>
    </r>
    <r>
      <rPr>
        <sz val="12"/>
        <color rgb="FF3B3B3B"/>
        <rFont val="Menlo"/>
        <family val="2"/>
      </rPr>
      <t>,</t>
    </r>
  </si>
  <si>
    <r>
      <t>"mg2_c"</t>
    </r>
    <r>
      <rPr>
        <sz val="12"/>
        <color rgb="FF3B3B3B"/>
        <rFont val="Menlo"/>
        <family val="2"/>
      </rPr>
      <t>:</t>
    </r>
    <r>
      <rPr>
        <sz val="12"/>
        <color rgb="FF098658"/>
        <rFont val="Menlo"/>
        <family val="2"/>
      </rPr>
      <t>-0.061716</t>
    </r>
    <r>
      <rPr>
        <sz val="12"/>
        <color rgb="FF3B3B3B"/>
        <rFont val="Menlo"/>
        <family val="2"/>
      </rPr>
      <t>,</t>
    </r>
  </si>
  <si>
    <r>
      <t>"mlthf_c"</t>
    </r>
    <r>
      <rPr>
        <sz val="12"/>
        <color rgb="FF3B3B3B"/>
        <rFont val="Menlo"/>
        <family val="2"/>
      </rPr>
      <t>:</t>
    </r>
    <r>
      <rPr>
        <sz val="12"/>
        <color rgb="FF098658"/>
        <rFont val="Menlo"/>
        <family val="2"/>
      </rPr>
      <t>-0.001292</t>
    </r>
    <r>
      <rPr>
        <sz val="12"/>
        <color rgb="FF3B3B3B"/>
        <rFont val="Menlo"/>
        <family val="2"/>
      </rPr>
      <t>,</t>
    </r>
  </si>
  <si>
    <r>
      <t>"mn2_c"</t>
    </r>
    <r>
      <rPr>
        <sz val="12"/>
        <color rgb="FF3B3B3B"/>
        <rFont val="Menlo"/>
        <family val="2"/>
      </rPr>
      <t>:</t>
    </r>
    <r>
      <rPr>
        <sz val="12"/>
        <color rgb="FF098658"/>
        <rFont val="Menlo"/>
        <family val="2"/>
      </rPr>
      <t>-0.000607</t>
    </r>
    <r>
      <rPr>
        <sz val="12"/>
        <color rgb="FF3B3B3B"/>
        <rFont val="Menlo"/>
        <family val="2"/>
      </rPr>
      <t>,</t>
    </r>
  </si>
  <si>
    <r>
      <t>"na1_c"</t>
    </r>
    <r>
      <rPr>
        <sz val="12"/>
        <color rgb="FF3B3B3B"/>
        <rFont val="Menlo"/>
        <family val="2"/>
      </rPr>
      <t>:</t>
    </r>
    <r>
      <rPr>
        <sz val="12"/>
        <color rgb="FF098658"/>
        <rFont val="Menlo"/>
        <family val="2"/>
      </rPr>
      <t>-0.026099</t>
    </r>
    <r>
      <rPr>
        <sz val="12"/>
        <color rgb="FF3B3B3B"/>
        <rFont val="Menlo"/>
        <family val="2"/>
      </rPr>
      <t>,</t>
    </r>
  </si>
  <si>
    <r>
      <t>"nad_c"</t>
    </r>
    <r>
      <rPr>
        <sz val="12"/>
        <color rgb="FF3B3B3B"/>
        <rFont val="Menlo"/>
        <family val="2"/>
      </rPr>
      <t>:</t>
    </r>
    <r>
      <rPr>
        <sz val="12"/>
        <color rgb="FF098658"/>
        <rFont val="Menlo"/>
        <family val="2"/>
      </rPr>
      <t>-0.000888</t>
    </r>
    <r>
      <rPr>
        <sz val="12"/>
        <color rgb="FF3B3B3B"/>
        <rFont val="Menlo"/>
        <family val="2"/>
      </rPr>
      <t>,</t>
    </r>
  </si>
  <si>
    <r>
      <t>"nadp_c"</t>
    </r>
    <r>
      <rPr>
        <sz val="12"/>
        <color rgb="FF3B3B3B"/>
        <rFont val="Menlo"/>
        <family val="2"/>
      </rPr>
      <t>:</t>
    </r>
    <r>
      <rPr>
        <sz val="12"/>
        <color rgb="FF098658"/>
        <rFont val="Menlo"/>
        <family val="2"/>
      </rPr>
      <t>-0.000795</t>
    </r>
    <r>
      <rPr>
        <sz val="12"/>
        <color rgb="FF3B3B3B"/>
        <rFont val="Menlo"/>
        <family val="2"/>
      </rPr>
      <t>,</t>
    </r>
  </si>
  <si>
    <r>
      <t>"pa_RT_r"</t>
    </r>
    <r>
      <rPr>
        <sz val="12"/>
        <color rgb="FF3B3B3B"/>
        <rFont val="Menlo"/>
        <family val="2"/>
      </rPr>
      <t>:</t>
    </r>
    <r>
      <rPr>
        <sz val="12"/>
        <color rgb="FF098658"/>
        <rFont val="Menlo"/>
        <family val="2"/>
      </rPr>
      <t>-1.4e-05</t>
    </r>
    <r>
      <rPr>
        <sz val="12"/>
        <color rgb="FF3B3B3B"/>
        <rFont val="Menlo"/>
        <family val="2"/>
      </rPr>
      <t>,</t>
    </r>
  </si>
  <si>
    <r>
      <t>"pc_RT_r"</t>
    </r>
    <r>
      <rPr>
        <sz val="12"/>
        <color rgb="FF3B3B3B"/>
        <rFont val="Menlo"/>
        <family val="2"/>
      </rPr>
      <t>:</t>
    </r>
    <r>
      <rPr>
        <sz val="12"/>
        <color rgb="FF098658"/>
        <rFont val="Menlo"/>
        <family val="2"/>
      </rPr>
      <t>-0.000172</t>
    </r>
    <r>
      <rPr>
        <sz val="12"/>
        <color rgb="FF3B3B3B"/>
        <rFont val="Menlo"/>
        <family val="2"/>
      </rPr>
      <t>,</t>
    </r>
  </si>
  <si>
    <r>
      <t>"pe_RT_r"</t>
    </r>
    <r>
      <rPr>
        <sz val="12"/>
        <color rgb="FF3B3B3B"/>
        <rFont val="Menlo"/>
        <family val="2"/>
      </rPr>
      <t>:</t>
    </r>
    <r>
      <rPr>
        <sz val="12"/>
        <color rgb="FF098658"/>
        <rFont val="Menlo"/>
        <family val="2"/>
      </rPr>
      <t>-0.00013</t>
    </r>
    <r>
      <rPr>
        <sz val="12"/>
        <color rgb="FF3B3B3B"/>
        <rFont val="Menlo"/>
        <family val="2"/>
      </rPr>
      <t>,</t>
    </r>
  </si>
  <si>
    <r>
      <t>"phetrna_c"</t>
    </r>
    <r>
      <rPr>
        <sz val="12"/>
        <color rgb="FF3B3B3B"/>
        <rFont val="Menlo"/>
        <family val="2"/>
      </rPr>
      <t>:</t>
    </r>
    <r>
      <rPr>
        <sz val="12"/>
        <color rgb="FF098658"/>
        <rFont val="Menlo"/>
        <family val="2"/>
      </rPr>
      <t>-0.095164</t>
    </r>
    <r>
      <rPr>
        <sz val="12"/>
        <color rgb="FF3B3B3B"/>
        <rFont val="Menlo"/>
        <family val="2"/>
      </rPr>
      <t>,</t>
    </r>
  </si>
  <si>
    <r>
      <t>"pi_c"</t>
    </r>
    <r>
      <rPr>
        <sz val="12"/>
        <color rgb="FF3B3B3B"/>
        <rFont val="Menlo"/>
        <family val="2"/>
      </rPr>
      <t>:</t>
    </r>
    <r>
      <rPr>
        <sz val="12"/>
        <color rgb="FF098658"/>
        <rFont val="Menlo"/>
        <family val="2"/>
      </rPr>
      <t>139.639453</t>
    </r>
    <r>
      <rPr>
        <sz val="12"/>
        <color rgb="FF3B3B3B"/>
        <rFont val="Menlo"/>
        <family val="2"/>
      </rPr>
      <t>,</t>
    </r>
  </si>
  <si>
    <r>
      <t>"ppi_c"</t>
    </r>
    <r>
      <rPr>
        <sz val="12"/>
        <color rgb="FF3B3B3B"/>
        <rFont val="Menlo"/>
        <family val="2"/>
      </rPr>
      <t>:</t>
    </r>
    <r>
      <rPr>
        <sz val="12"/>
        <color rgb="FF098658"/>
        <rFont val="Menlo"/>
        <family val="2"/>
      </rPr>
      <t>0.209364</t>
    </r>
    <r>
      <rPr>
        <sz val="12"/>
        <color rgb="FF3B3B3B"/>
        <rFont val="Menlo"/>
        <family val="2"/>
      </rPr>
      <t>,</t>
    </r>
  </si>
  <si>
    <r>
      <t>"protrna_c"</t>
    </r>
    <r>
      <rPr>
        <sz val="12"/>
        <color rgb="FF3B3B3B"/>
        <rFont val="Menlo"/>
        <family val="2"/>
      </rPr>
      <t>:</t>
    </r>
    <r>
      <rPr>
        <sz val="12"/>
        <color rgb="FF098658"/>
        <rFont val="Menlo"/>
        <family val="2"/>
      </rPr>
      <t>-0.235897</t>
    </r>
    <r>
      <rPr>
        <sz val="12"/>
        <color rgb="FF3B3B3B"/>
        <rFont val="Menlo"/>
        <family val="2"/>
      </rPr>
      <t>,</t>
    </r>
  </si>
  <si>
    <r>
      <t>"ps_RT_r"</t>
    </r>
    <r>
      <rPr>
        <sz val="12"/>
        <color rgb="FF3B3B3B"/>
        <rFont val="Menlo"/>
        <family val="2"/>
      </rPr>
      <t>:</t>
    </r>
    <r>
      <rPr>
        <sz val="12"/>
        <color rgb="FF098658"/>
        <rFont val="Menlo"/>
        <family val="2"/>
      </rPr>
      <t>-2e-05</t>
    </r>
    <r>
      <rPr>
        <sz val="12"/>
        <color rgb="FF3B3B3B"/>
        <rFont val="Menlo"/>
        <family val="2"/>
      </rPr>
      <t>,</t>
    </r>
  </si>
  <si>
    <r>
      <t>"psphings_r"</t>
    </r>
    <r>
      <rPr>
        <sz val="12"/>
        <color rgb="FF3B3B3B"/>
        <rFont val="Menlo"/>
        <family val="2"/>
      </rPr>
      <t>:</t>
    </r>
    <r>
      <rPr>
        <sz val="12"/>
        <color rgb="FF098658"/>
        <rFont val="Menlo"/>
        <family val="2"/>
      </rPr>
      <t>-0.004006</t>
    </r>
    <r>
      <rPr>
        <sz val="12"/>
        <color rgb="FF3B3B3B"/>
        <rFont val="Menlo"/>
        <family val="2"/>
      </rPr>
      <t>,</t>
    </r>
  </si>
  <si>
    <r>
      <t>"ptd1ino_RT_r"</t>
    </r>
    <r>
      <rPr>
        <sz val="12"/>
        <color rgb="FF3B3B3B"/>
        <rFont val="Menlo"/>
        <family val="2"/>
      </rPr>
      <t>:</t>
    </r>
    <r>
      <rPr>
        <sz val="12"/>
        <color rgb="FF098658"/>
        <rFont val="Menlo"/>
        <family val="2"/>
      </rPr>
      <t>-4.7e-05</t>
    </r>
    <r>
      <rPr>
        <sz val="12"/>
        <color rgb="FF3B3B3B"/>
        <rFont val="Menlo"/>
        <family val="2"/>
      </rPr>
      <t>,</t>
    </r>
  </si>
  <si>
    <r>
      <t>"ptrc_c"</t>
    </r>
    <r>
      <rPr>
        <sz val="12"/>
        <color rgb="FF3B3B3B"/>
        <rFont val="Menlo"/>
        <family val="2"/>
      </rPr>
      <t>:</t>
    </r>
    <r>
      <rPr>
        <sz val="12"/>
        <color rgb="FF098658"/>
        <rFont val="Menlo"/>
        <family val="2"/>
      </rPr>
      <t>-0.006524</t>
    </r>
    <r>
      <rPr>
        <sz val="12"/>
        <color rgb="FF3B3B3B"/>
        <rFont val="Menlo"/>
        <family val="2"/>
      </rPr>
      <t>,</t>
    </r>
  </si>
  <si>
    <r>
      <t>"pydx5p_c"</t>
    </r>
    <r>
      <rPr>
        <sz val="12"/>
        <color rgb="FF3B3B3B"/>
        <rFont val="Menlo"/>
        <family val="2"/>
      </rPr>
      <t>:</t>
    </r>
    <r>
      <rPr>
        <sz val="12"/>
        <color rgb="FF098658"/>
        <rFont val="Menlo"/>
        <family val="2"/>
      </rPr>
      <t>-0.0024</t>
    </r>
    <r>
      <rPr>
        <sz val="12"/>
        <color rgb="FF3B3B3B"/>
        <rFont val="Menlo"/>
        <family val="2"/>
      </rPr>
      <t>,</t>
    </r>
  </si>
  <si>
    <r>
      <t>"q9_m"</t>
    </r>
    <r>
      <rPr>
        <sz val="12"/>
        <color rgb="FF3B3B3B"/>
        <rFont val="Menlo"/>
        <family val="2"/>
      </rPr>
      <t>:</t>
    </r>
    <r>
      <rPr>
        <sz val="12"/>
        <color rgb="FF098658"/>
        <rFont val="Menlo"/>
        <family val="2"/>
      </rPr>
      <t>-0.00074</t>
    </r>
    <r>
      <rPr>
        <sz val="12"/>
        <color rgb="FF3B3B3B"/>
        <rFont val="Menlo"/>
        <family val="2"/>
      </rPr>
      <t>,</t>
    </r>
  </si>
  <si>
    <r>
      <t>"ribflv_c"</t>
    </r>
    <r>
      <rPr>
        <sz val="12"/>
        <color rgb="FF3B3B3B"/>
        <rFont val="Menlo"/>
        <family val="2"/>
      </rPr>
      <t>:</t>
    </r>
    <r>
      <rPr>
        <sz val="12"/>
        <color rgb="FF098658"/>
        <rFont val="Menlo"/>
        <family val="2"/>
      </rPr>
      <t>-0.00099</t>
    </r>
    <r>
      <rPr>
        <sz val="12"/>
        <color rgb="FF3B3B3B"/>
        <rFont val="Menlo"/>
        <family val="2"/>
      </rPr>
      <t>,</t>
    </r>
  </si>
  <si>
    <r>
      <t>"sertrna_c"</t>
    </r>
    <r>
      <rPr>
        <sz val="12"/>
        <color rgb="FF3B3B3B"/>
        <rFont val="Menlo"/>
        <family val="2"/>
      </rPr>
      <t>:</t>
    </r>
    <r>
      <rPr>
        <sz val="12"/>
        <color rgb="FF098658"/>
        <rFont val="Menlo"/>
        <family val="2"/>
      </rPr>
      <t>-0.33687</t>
    </r>
    <r>
      <rPr>
        <sz val="12"/>
        <color rgb="FF3B3B3B"/>
        <rFont val="Menlo"/>
        <family val="2"/>
      </rPr>
      <t>,</t>
    </r>
  </si>
  <si>
    <r>
      <t>"spmd_c"</t>
    </r>
    <r>
      <rPr>
        <sz val="12"/>
        <color rgb="FF3B3B3B"/>
        <rFont val="Menlo"/>
        <family val="2"/>
      </rPr>
      <t>:</t>
    </r>
    <r>
      <rPr>
        <sz val="12"/>
        <color rgb="FF098658"/>
        <rFont val="Menlo"/>
        <family val="2"/>
      </rPr>
      <t>-0.003967</t>
    </r>
    <r>
      <rPr>
        <sz val="12"/>
        <color rgb="FF3B3B3B"/>
        <rFont val="Menlo"/>
        <family val="2"/>
      </rPr>
      <t>,</t>
    </r>
  </si>
  <si>
    <r>
      <t>"thf_c"</t>
    </r>
    <r>
      <rPr>
        <sz val="12"/>
        <color rgb="FF3B3B3B"/>
        <rFont val="Menlo"/>
        <family val="2"/>
      </rPr>
      <t>:</t>
    </r>
    <r>
      <rPr>
        <sz val="12"/>
        <color rgb="FF098658"/>
        <rFont val="Menlo"/>
        <family val="2"/>
      </rPr>
      <t>-0.001327</t>
    </r>
    <r>
      <rPr>
        <sz val="12"/>
        <color rgb="FF3B3B3B"/>
        <rFont val="Menlo"/>
        <family val="2"/>
      </rPr>
      <t>,</t>
    </r>
  </si>
  <si>
    <r>
      <t>"thmpp_c"</t>
    </r>
    <r>
      <rPr>
        <sz val="12"/>
        <color rgb="FF3B3B3B"/>
        <rFont val="Menlo"/>
        <family val="2"/>
      </rPr>
      <t>:</t>
    </r>
    <r>
      <rPr>
        <sz val="12"/>
        <color rgb="FF098658"/>
        <rFont val="Menlo"/>
        <family val="2"/>
      </rPr>
      <t>-0.001393</t>
    </r>
    <r>
      <rPr>
        <sz val="12"/>
        <color rgb="FF3B3B3B"/>
        <rFont val="Menlo"/>
        <family val="2"/>
      </rPr>
      <t>,</t>
    </r>
  </si>
  <si>
    <r>
      <t>"thrtrna_c"</t>
    </r>
    <r>
      <rPr>
        <sz val="12"/>
        <color rgb="FF3B3B3B"/>
        <rFont val="Menlo"/>
        <family val="2"/>
      </rPr>
      <t>:</t>
    </r>
    <r>
      <rPr>
        <sz val="12"/>
        <color rgb="FF098658"/>
        <rFont val="Menlo"/>
        <family val="2"/>
      </rPr>
      <t>-0.21813</t>
    </r>
    <r>
      <rPr>
        <sz val="12"/>
        <color rgb="FF3B3B3B"/>
        <rFont val="Menlo"/>
        <family val="2"/>
      </rPr>
      <t>,</t>
    </r>
  </si>
  <si>
    <r>
      <t>"tre_c"</t>
    </r>
    <r>
      <rPr>
        <sz val="12"/>
        <color rgb="FF3B3B3B"/>
        <rFont val="Menlo"/>
        <family val="2"/>
      </rPr>
      <t>:</t>
    </r>
    <r>
      <rPr>
        <sz val="12"/>
        <color rgb="FF098658"/>
        <rFont val="Menlo"/>
        <family val="2"/>
      </rPr>
      <t>-0.023372</t>
    </r>
    <r>
      <rPr>
        <sz val="12"/>
        <color rgb="FF3B3B3B"/>
        <rFont val="Menlo"/>
        <family val="2"/>
      </rPr>
      <t>,</t>
    </r>
  </si>
  <si>
    <r>
      <t>"triglyc_RT_r"</t>
    </r>
    <r>
      <rPr>
        <sz val="12"/>
        <color rgb="FF3B3B3B"/>
        <rFont val="Menlo"/>
        <family val="2"/>
      </rPr>
      <t>:</t>
    </r>
    <r>
      <rPr>
        <sz val="12"/>
        <color rgb="FF098658"/>
        <rFont val="Menlo"/>
        <family val="2"/>
      </rPr>
      <t>-0.000432</t>
    </r>
    <r>
      <rPr>
        <sz val="12"/>
        <color rgb="FF3B3B3B"/>
        <rFont val="Menlo"/>
        <family val="2"/>
      </rPr>
      <t>,</t>
    </r>
  </si>
  <si>
    <r>
      <t>"trptrna_c"</t>
    </r>
    <r>
      <rPr>
        <sz val="12"/>
        <color rgb="FF3B3B3B"/>
        <rFont val="Menlo"/>
        <family val="2"/>
      </rPr>
      <t>:</t>
    </r>
    <r>
      <rPr>
        <sz val="12"/>
        <color rgb="FF098658"/>
        <rFont val="Menlo"/>
        <family val="2"/>
      </rPr>
      <t>-0.023319</t>
    </r>
    <r>
      <rPr>
        <sz val="12"/>
        <color rgb="FF3B3B3B"/>
        <rFont val="Menlo"/>
        <family val="2"/>
      </rPr>
      <t>,</t>
    </r>
  </si>
  <si>
    <r>
      <t>"tyrtrna_c"</t>
    </r>
    <r>
      <rPr>
        <sz val="12"/>
        <color rgb="FF3B3B3B"/>
        <rFont val="Menlo"/>
        <family val="2"/>
      </rPr>
      <t>:</t>
    </r>
    <r>
      <rPr>
        <sz val="12"/>
        <color rgb="FF098658"/>
        <rFont val="Menlo"/>
        <family val="2"/>
      </rPr>
      <t>-0.062363</t>
    </r>
    <r>
      <rPr>
        <sz val="12"/>
        <color rgb="FF3B3B3B"/>
        <rFont val="Menlo"/>
        <family val="2"/>
      </rPr>
      <t>,</t>
    </r>
  </si>
  <si>
    <r>
      <t>"utp_c"</t>
    </r>
    <r>
      <rPr>
        <sz val="12"/>
        <color rgb="FF3B3B3B"/>
        <rFont val="Menlo"/>
        <family val="2"/>
      </rPr>
      <t>:</t>
    </r>
    <r>
      <rPr>
        <sz val="12"/>
        <color rgb="FF098658"/>
        <rFont val="Menlo"/>
        <family val="2"/>
      </rPr>
      <t>-0.051129</t>
    </r>
    <r>
      <rPr>
        <sz val="12"/>
        <color rgb="FF3B3B3B"/>
        <rFont val="Menlo"/>
        <family val="2"/>
      </rPr>
      <t>,</t>
    </r>
  </si>
  <si>
    <r>
      <t>"valtrna_c"</t>
    </r>
    <r>
      <rPr>
        <sz val="12"/>
        <color rgb="FF3B3B3B"/>
        <rFont val="Menlo"/>
        <family val="2"/>
      </rPr>
      <t>:</t>
    </r>
    <r>
      <rPr>
        <sz val="12"/>
        <color rgb="FF098658"/>
        <rFont val="Menlo"/>
        <family val="2"/>
      </rPr>
      <t>-0.275168</t>
    </r>
    <r>
      <rPr>
        <sz val="12"/>
        <color rgb="FF3B3B3B"/>
        <rFont val="Menlo"/>
        <family val="2"/>
      </rPr>
      <t>,</t>
    </r>
  </si>
  <si>
    <r>
      <t>"zn2_c"</t>
    </r>
    <r>
      <rPr>
        <sz val="12"/>
        <color rgb="FF3B3B3B"/>
        <rFont val="Menlo"/>
        <family val="2"/>
      </rPr>
      <t>:</t>
    </r>
    <r>
      <rPr>
        <sz val="12"/>
        <color rgb="FF098658"/>
        <rFont val="Menlo"/>
        <family val="2"/>
      </rPr>
      <t>-0.00051</t>
    </r>
    <r>
      <rPr>
        <sz val="12"/>
        <color rgb="FF3B3B3B"/>
        <rFont val="Menlo"/>
        <family val="2"/>
      </rPr>
      <t>,</t>
    </r>
  </si>
  <si>
    <r>
      <t>"zymst_r"</t>
    </r>
    <r>
      <rPr>
        <sz val="12"/>
        <color rgb="FF3B3B3B"/>
        <rFont val="Menlo"/>
        <family val="2"/>
      </rPr>
      <t>:</t>
    </r>
    <r>
      <rPr>
        <sz val="12"/>
        <color rgb="FF098658"/>
        <rFont val="Menlo"/>
        <family val="2"/>
      </rPr>
      <t>-0.004156</t>
    </r>
    <r>
      <rPr>
        <sz val="12"/>
        <color rgb="FF3B3B3B"/>
        <rFont val="Menlo"/>
        <family val="2"/>
      </rPr>
      <t>,</t>
    </r>
  </si>
  <si>
    <r>
      <t>"zymstest_RT_d"</t>
    </r>
    <r>
      <rPr>
        <sz val="12"/>
        <color rgb="FF3B3B3B"/>
        <rFont val="Menlo"/>
        <family val="2"/>
      </rPr>
      <t>:</t>
    </r>
    <r>
      <rPr>
        <sz val="12"/>
        <color rgb="FF098658"/>
        <rFont val="Menlo"/>
        <family val="2"/>
      </rPr>
      <t>-1.7e-05</t>
    </r>
  </si>
  <si>
    <t>MW (g/mol)</t>
  </si>
  <si>
    <t>normalized coeffs</t>
  </si>
  <si>
    <t>n coeffs * MW</t>
  </si>
  <si>
    <t>coeff w/o ATPM</t>
  </si>
  <si>
    <t>comments</t>
  </si>
  <si>
    <t>clpn_mm</t>
  </si>
  <si>
    <t>MW w/o pyrophosphate (g/mol)</t>
  </si>
  <si>
    <t>name w/o location</t>
  </si>
  <si>
    <t>adp</t>
  </si>
  <si>
    <t>h2o</t>
  </si>
  <si>
    <t>h</t>
  </si>
  <si>
    <t>ppi</t>
  </si>
  <si>
    <t>13BDglucan</t>
  </si>
  <si>
    <t>16BDglucan</t>
  </si>
  <si>
    <t>G00006</t>
  </si>
  <si>
    <t>chtn</t>
  </si>
  <si>
    <t>gpianchorSC</t>
  </si>
  <si>
    <t>oglycanSC</t>
  </si>
  <si>
    <t>amet</t>
  </si>
  <si>
    <t>btn</t>
  </si>
  <si>
    <t>coa</t>
  </si>
  <si>
    <t>fad</t>
  </si>
  <si>
    <t>hemeA</t>
  </si>
  <si>
    <t>nad</t>
  </si>
  <si>
    <t>nadp</t>
  </si>
  <si>
    <t>pydx5p</t>
  </si>
  <si>
    <t>ribflv</t>
  </si>
  <si>
    <t>spmd</t>
  </si>
  <si>
    <t>thf</t>
  </si>
  <si>
    <t>thmpp</t>
  </si>
  <si>
    <t>datp</t>
  </si>
  <si>
    <t>dctp</t>
  </si>
  <si>
    <t>dgtp</t>
  </si>
  <si>
    <t>dttp</t>
  </si>
  <si>
    <t>docosa</t>
  </si>
  <si>
    <t>epist</t>
  </si>
  <si>
    <t>hdca</t>
  </si>
  <si>
    <t>ipc</t>
  </si>
  <si>
    <t>linoea</t>
  </si>
  <si>
    <t>linolen</t>
  </si>
  <si>
    <t>ocdca</t>
  </si>
  <si>
    <t>ocdcea</t>
  </si>
  <si>
    <t>pail</t>
  </si>
  <si>
    <t>pc</t>
  </si>
  <si>
    <t>pe</t>
  </si>
  <si>
    <t>ps</t>
  </si>
  <si>
    <t>tag</t>
  </si>
  <si>
    <t>ttcosa</t>
  </si>
  <si>
    <t>ca2</t>
  </si>
  <si>
    <t>cu2</t>
  </si>
  <si>
    <t>fe2</t>
  </si>
  <si>
    <t>k</t>
  </si>
  <si>
    <t>mg2</t>
  </si>
  <si>
    <t>mn2</t>
  </si>
  <si>
    <t>zn2</t>
  </si>
  <si>
    <t>pi</t>
  </si>
  <si>
    <t>alatrna</t>
  </si>
  <si>
    <t>argtrna</t>
  </si>
  <si>
    <t>asntrna</t>
  </si>
  <si>
    <t>asptrna</t>
  </si>
  <si>
    <t>cystrna</t>
  </si>
  <si>
    <t>glntrna</t>
  </si>
  <si>
    <t>glutrna</t>
  </si>
  <si>
    <t>glytrna</t>
  </si>
  <si>
    <t>histrna</t>
  </si>
  <si>
    <t>iletrna</t>
  </si>
  <si>
    <t>leutrna</t>
  </si>
  <si>
    <t>lystrna</t>
  </si>
  <si>
    <t>mettrna</t>
  </si>
  <si>
    <t>phetrna</t>
  </si>
  <si>
    <t>protrna</t>
  </si>
  <si>
    <t>sertrna</t>
  </si>
  <si>
    <t>thrtrna</t>
  </si>
  <si>
    <t>trptrna</t>
  </si>
  <si>
    <t>tyrtrna</t>
  </si>
  <si>
    <t>valtrna</t>
  </si>
  <si>
    <t>atp</t>
  </si>
  <si>
    <t>ctp</t>
  </si>
  <si>
    <t>gtp</t>
  </si>
  <si>
    <t>utp</t>
  </si>
  <si>
    <t>so4</t>
  </si>
  <si>
    <t>trnaala</t>
  </si>
  <si>
    <t>trnaarg</t>
  </si>
  <si>
    <t>trnaasn</t>
  </si>
  <si>
    <t>trnaasp</t>
  </si>
  <si>
    <t>trnacys</t>
  </si>
  <si>
    <t>trnagln</t>
  </si>
  <si>
    <t>trnaglu</t>
  </si>
  <si>
    <t>trnagly</t>
  </si>
  <si>
    <t>trnahis</t>
  </si>
  <si>
    <t>trnaile</t>
  </si>
  <si>
    <t>trnaleu</t>
  </si>
  <si>
    <t>trnalys</t>
  </si>
  <si>
    <t>trnamet</t>
  </si>
  <si>
    <t>trnaphe</t>
  </si>
  <si>
    <t>trnapro</t>
  </si>
  <si>
    <t>trnaser</t>
  </si>
  <si>
    <t>trnathr</t>
  </si>
  <si>
    <t>trnatrp</t>
  </si>
  <si>
    <t>trnatyr</t>
  </si>
  <si>
    <t>trnaval</t>
  </si>
  <si>
    <t>raw (GSM) coefficient</t>
  </si>
  <si>
    <t>suggested category</t>
  </si>
  <si>
    <t>Avoids counting pyrophosphate for NTPs and dNTPs, since pyrophosphate is removed during their conversion to D/RNA.</t>
  </si>
  <si>
    <t>MW for biomass normalization (g/mol)</t>
  </si>
  <si>
    <t>Yellow sections indicate likely spots for manual input, so it's easier to create duplicate sheets w/o accidentally editing key formulas</t>
  </si>
  <si>
    <t>For extra features (e.g., adjusting proportions of specific macromolecules)</t>
  </si>
  <si>
    <t>CARB</t>
  </si>
  <si>
    <t>COFACTOR</t>
  </si>
  <si>
    <t>LIPID</t>
  </si>
  <si>
    <t>METAL</t>
  </si>
  <si>
    <t>PI</t>
  </si>
  <si>
    <t>PROT</t>
  </si>
  <si>
    <t>SO4</t>
  </si>
  <si>
    <t>ignore</t>
  </si>
  <si>
    <t>coeff. w/o GAM</t>
  </si>
  <si>
    <t>stoichiometry</t>
  </si>
  <si>
    <t>GAM (inc. PPC)</t>
  </si>
  <si>
    <t>Protein polymerization cost (PPC)</t>
  </si>
  <si>
    <t>coeffs after extra operations</t>
  </si>
  <si>
    <t>normalized coeff. w/ updated GAM</t>
  </si>
  <si>
    <t>BIO-prot --&gt; BIO-varbiom</t>
  </si>
  <si>
    <t>biomass equation name</t>
  </si>
  <si>
    <t>biomass equation</t>
  </si>
  <si>
    <t>pasted JSON metabolite keys and values from GSM biomass rxn</t>
  </si>
  <si>
    <t>Manually added biomass rxns</t>
  </si>
  <si>
    <t>All biomass rxns</t>
  </si>
  <si>
    <t>product name</t>
  </si>
  <si>
    <t>rxn making biomass component</t>
  </si>
  <si>
    <t>BIO-rna --&gt; BIO-varbiom</t>
  </si>
  <si>
    <t>BIO-carb --&gt; BIO-varbiom</t>
  </si>
  <si>
    <t>Mass contribution of total protein, total RNA, and total carbohydrate to biomass. The proportion can be controlled by flux bounds. Unused unless BIO-varbiom is consumed somewhere (i.e., the biomass rxn).</t>
  </si>
  <si>
    <t>GAM expression</t>
  </si>
  <si>
    <r>
      <t>"adp_c"</t>
    </r>
    <r>
      <rPr>
        <sz val="12"/>
        <color rgb="FF3B3B3B"/>
        <rFont val="Menlo"/>
        <family val="2"/>
      </rPr>
      <t>:</t>
    </r>
    <r>
      <rPr>
        <sz val="12"/>
        <color rgb="FF098658"/>
        <rFont val="Menlo"/>
        <family val="2"/>
      </rPr>
      <t>187.141095</t>
    </r>
    <r>
      <rPr>
        <sz val="12"/>
        <color rgb="FF3B3B3B"/>
        <rFont val="Menlo"/>
        <family val="2"/>
      </rPr>
      <t>,</t>
    </r>
  </si>
  <si>
    <r>
      <t>"h_c"</t>
    </r>
    <r>
      <rPr>
        <sz val="12"/>
        <color rgb="FF3B3B3B"/>
        <rFont val="Menlo"/>
        <family val="2"/>
      </rPr>
      <t>:</t>
    </r>
    <r>
      <rPr>
        <sz val="12"/>
        <color rgb="FF098658"/>
        <rFont val="Menlo"/>
        <family val="2"/>
      </rPr>
      <t>187.141095</t>
    </r>
    <r>
      <rPr>
        <sz val="12"/>
        <color rgb="FF3B3B3B"/>
        <rFont val="Menlo"/>
        <family val="2"/>
      </rPr>
      <t>,</t>
    </r>
  </si>
  <si>
    <r>
      <t>"h2o_c"</t>
    </r>
    <r>
      <rPr>
        <sz val="12"/>
        <color rgb="FF3B3B3B"/>
        <rFont val="Menlo"/>
        <family val="2"/>
      </rPr>
      <t>:</t>
    </r>
    <r>
      <rPr>
        <sz val="12"/>
        <color rgb="FF098658"/>
        <rFont val="Menlo"/>
        <family val="2"/>
      </rPr>
      <t>-187.141095</t>
    </r>
    <r>
      <rPr>
        <sz val="12"/>
        <color rgb="FF3B3B3B"/>
        <rFont val="Menlo"/>
        <family val="2"/>
      </rPr>
      <t>,</t>
    </r>
  </si>
  <si>
    <t>rxn name</t>
  </si>
  <si>
    <t>BIOSYN-TRNA</t>
  </si>
  <si>
    <t>BIOSYN-MRNA</t>
  </si>
  <si>
    <t>BIOSYN-RRNA</t>
  </si>
  <si>
    <t>rxn description or data (optional)</t>
  </si>
  <si>
    <t>stoichiometry (if needed)</t>
  </si>
  <si>
    <t>BIO-protmodeled</t>
  </si>
  <si>
    <t>lystrna_c:-0.172334,</t>
  </si>
  <si>
    <t>mannan_r:-0.807941,</t>
  </si>
  <si>
    <t>mettrna_c:-0.05705,</t>
  </si>
  <si>
    <t>mg2_c:-0.061716,</t>
  </si>
  <si>
    <t>mlthf_c:-0.001292,</t>
  </si>
  <si>
    <t>mn2_c:-0.000607,</t>
  </si>
  <si>
    <t>na1_c:-0.026099,</t>
  </si>
  <si>
    <t>nad_c:-0.000888,</t>
  </si>
  <si>
    <t>nadp_c:-0.000795,</t>
  </si>
  <si>
    <t>pa_rm:-1.4e-05,</t>
  </si>
  <si>
    <t>pc_rm:-0.000172,</t>
  </si>
  <si>
    <t>pe_rm:-0.00013,</t>
  </si>
  <si>
    <t>phetrna_c:-0.095164,</t>
  </si>
  <si>
    <t>pi_c:139.639453,</t>
  </si>
  <si>
    <t>ppi_c:0.209364,</t>
  </si>
  <si>
    <t>protrna_c:-0.235897,</t>
  </si>
  <si>
    <t>ps_rm:-2e-05,</t>
  </si>
  <si>
    <t>psphings_r:-0.004006,</t>
  </si>
  <si>
    <t>pail_rm:-4.7e-05,</t>
  </si>
  <si>
    <t>ptrc_c:-0.006524,</t>
  </si>
  <si>
    <t>pydx5p_c:-0.0024,</t>
  </si>
  <si>
    <t>q9_m:-0.00074,</t>
  </si>
  <si>
    <t>ribflv_c:-0.00099,</t>
  </si>
  <si>
    <t>sertrna_c:-0.33687,</t>
  </si>
  <si>
    <t>spmd_c:-0.003967,</t>
  </si>
  <si>
    <t>thf_c:-0.001327,</t>
  </si>
  <si>
    <t>thmpp_c:-0.001393,</t>
  </si>
  <si>
    <t>thrtrna_c:-0.21813,</t>
  </si>
  <si>
    <t>tre_c:-0.023372,</t>
  </si>
  <si>
    <t>tag_rm:-0.000432,</t>
  </si>
  <si>
    <t>trptrna_c:-0.023319,</t>
  </si>
  <si>
    <t>tyrtrna_c:-0.062363,</t>
  </si>
  <si>
    <t>utp_c:-0.051129,</t>
  </si>
  <si>
    <t>valtrna_c:-0.275168,</t>
  </si>
  <si>
    <t>zn2_c:-0.00051,</t>
  </si>
  <si>
    <t>zymst_rm:-0.004156,</t>
  </si>
  <si>
    <t>zymstest_RT_rm:-1.7e-05</t>
  </si>
  <si>
    <t>other</t>
  </si>
  <si>
    <t>"ignore" category means metabolite won't affect biomass normalization. "other" for anything that doesn't fit into a specific category; can use this by default to save time adding metabolites.</t>
  </si>
  <si>
    <t>5mthf</t>
  </si>
  <si>
    <t>camp</t>
  </si>
  <si>
    <t>clpn</t>
  </si>
  <si>
    <t>ergst</t>
  </si>
  <si>
    <t>ergstest</t>
  </si>
  <si>
    <t>fe3</t>
  </si>
  <si>
    <t>glycogen</t>
  </si>
  <si>
    <t>gthrd</t>
  </si>
  <si>
    <t>mannan</t>
  </si>
  <si>
    <t>mlthf</t>
  </si>
  <si>
    <t>na1</t>
  </si>
  <si>
    <t>pa</t>
  </si>
  <si>
    <t>psphings</t>
  </si>
  <si>
    <t>ptrc</t>
  </si>
  <si>
    <t>q9</t>
  </si>
  <si>
    <t>tre</t>
  </si>
  <si>
    <t>zymst</t>
  </si>
  <si>
    <t>zymstest_RT</t>
  </si>
  <si>
    <t>13BDglucan_c:-0.957502,</t>
  </si>
  <si>
    <t>16BDglucan_en:-0.177315,</t>
  </si>
  <si>
    <t>5mthf_c:-0.001283,</t>
  </si>
  <si>
    <t>adp_c:139.639453,</t>
  </si>
  <si>
    <t>alatrna_c:-0.577574,</t>
  </si>
  <si>
    <t>argtrna_c:-0.146675,</t>
  </si>
  <si>
    <t>asntrna_c:-0.10797,</t>
  </si>
  <si>
    <t>asptrna_c:-0.197296,</t>
  </si>
  <si>
    <t>atp_c:-139.6887,</t>
  </si>
  <si>
    <t>btn_m:-0.002418,</t>
  </si>
  <si>
    <t>ca2_c:-0.000832,</t>
  </si>
  <si>
    <t>camp_c:-0.001792,</t>
  </si>
  <si>
    <t>chtn_c:-0.031005,</t>
  </si>
  <si>
    <t>clpn_mm:-1.8e-05,</t>
  </si>
  <si>
    <t>coa_c:-0.00077,</t>
  </si>
  <si>
    <t>ctp_c:-0.044881,</t>
  </si>
  <si>
    <t>cu2_c:-0.000525,</t>
  </si>
  <si>
    <t>cystrna_c:-0.034269,</t>
  </si>
  <si>
    <t>datp_c:-0.002451,</t>
  </si>
  <si>
    <t>dctp_c:-0.004285,</t>
  </si>
  <si>
    <t>dgtp_c:-0.003763,</t>
  </si>
  <si>
    <t>dttp_c:-0.002523,</t>
  </si>
  <si>
    <t>ergst_r:-0.004031,</t>
  </si>
  <si>
    <t>ergstest_rm:-1.6e-05,</t>
  </si>
  <si>
    <t>fad_c:-0.000751,</t>
  </si>
  <si>
    <t>fe2_c:-0.000597,</t>
  </si>
  <si>
    <t>fe3_c:-0.000597,</t>
  </si>
  <si>
    <t>glntrna_c:-0.117898,</t>
  </si>
  <si>
    <t>glutrna_c:-0.208673,</t>
  </si>
  <si>
    <t>glycogen_c:-0.518069,</t>
  </si>
  <si>
    <t>glytrna_c:-0.51322,</t>
  </si>
  <si>
    <t>gthrd_c:-0.00192,</t>
  </si>
  <si>
    <t>gtp_c:-0.051085,</t>
  </si>
  <si>
    <t>h2o_c:-135.719639,</t>
  </si>
  <si>
    <t>h_c:139.639453,</t>
  </si>
  <si>
    <t>hemeA_m:-0.000691,</t>
  </si>
  <si>
    <t>histrna_c:-0.061167,</t>
  </si>
  <si>
    <t>iletrna_c:-0.158569,</t>
  </si>
  <si>
    <t>k_c:-0.585703,</t>
  </si>
  <si>
    <t>leutrna_c:-0.320205,</t>
  </si>
  <si>
    <t>rtRBA version of JSON</t>
  </si>
  <si>
    <t>(1-&gt;3)-beta-D-glucan</t>
  </si>
  <si>
    <t>(1-&gt;6)-beta-D-glucan</t>
  </si>
  <si>
    <t>(GlcNAc)2 (Man)5 (PP-Dol)1</t>
  </si>
  <si>
    <t>Ala-tRNA(Ala)</t>
  </si>
  <si>
    <t>S-adenosyl-L-methionine</t>
  </si>
  <si>
    <t>Arg-tRNA(Arg)</t>
  </si>
  <si>
    <t>Asn-tRNA(Asn)</t>
  </si>
  <si>
    <t>Asp-tRNA(Asp)</t>
  </si>
  <si>
    <t>biotin</t>
  </si>
  <si>
    <t>Calcium ion</t>
  </si>
  <si>
    <t>chitin</t>
  </si>
  <si>
    <t>coenzyme A</t>
  </si>
  <si>
    <t>Copper(II) ion</t>
  </si>
  <si>
    <t>Cys-tRNA(Cys)</t>
  </si>
  <si>
    <t>dATP</t>
  </si>
  <si>
    <t>dCTP</t>
  </si>
  <si>
    <t>dGTP</t>
  </si>
  <si>
    <t>docosanoate</t>
  </si>
  <si>
    <t>dTTP</t>
  </si>
  <si>
    <t>episterol</t>
  </si>
  <si>
    <t>FAD</t>
  </si>
  <si>
    <t>iron</t>
  </si>
  <si>
    <t>Gln-tRNA(Gln)</t>
  </si>
  <si>
    <t>Glu-tRNA(Glu)</t>
  </si>
  <si>
    <t>Gly-tRNA(Gly)</t>
  </si>
  <si>
    <t>(GlcN)1 (Ino(acyl)-P)1 (Man)4 (EtN)3 (P)3</t>
  </si>
  <si>
    <t>GTP</t>
  </si>
  <si>
    <t>palmitate</t>
  </si>
  <si>
    <t>heme a</t>
  </si>
  <si>
    <t>His-tRNA(His)</t>
  </si>
  <si>
    <t>Ile-tRNA(Ile)</t>
  </si>
  <si>
    <t>Inositol-P-ceramide</t>
  </si>
  <si>
    <t>Potassium ion</t>
  </si>
  <si>
    <t>Leu-tRNA(Leu)</t>
  </si>
  <si>
    <t>linoleate</t>
  </si>
  <si>
    <t>alpha-linolenate</t>
  </si>
  <si>
    <t>Lys-tRNA(Lys)</t>
  </si>
  <si>
    <t>Met-tRNA(Met)</t>
  </si>
  <si>
    <t>Magnesium ion</t>
  </si>
  <si>
    <t>Manganese(II) ion</t>
  </si>
  <si>
    <t>NAD</t>
  </si>
  <si>
    <t>NADP(+)</t>
  </si>
  <si>
    <t>stearate</t>
  </si>
  <si>
    <t>oleate</t>
  </si>
  <si>
    <t>O-Glycan of S. cerevisiae</t>
  </si>
  <si>
    <t>1-Phosphatidyl-1D-myo-inositol</t>
  </si>
  <si>
    <t>Phosphatidylcholine</t>
  </si>
  <si>
    <t>Phe-tRNA(Phe)</t>
  </si>
  <si>
    <t>phosphate</t>
  </si>
  <si>
    <t>diphosphate</t>
  </si>
  <si>
    <t>Pro-tRNA(Pro)</t>
  </si>
  <si>
    <t>Phosphatidyl-L-serine</t>
  </si>
  <si>
    <t>pyridoxal 5'-phosphate</t>
  </si>
  <si>
    <t>riboflavin</t>
  </si>
  <si>
    <t>Ser-tRNA(Ser)</t>
  </si>
  <si>
    <t>sulphate</t>
  </si>
  <si>
    <t>spermidine</t>
  </si>
  <si>
    <t>Triacylglycerol</t>
  </si>
  <si>
    <t>THF</t>
  </si>
  <si>
    <t>TDP</t>
  </si>
  <si>
    <t>Thr-tRNA(Thr)</t>
  </si>
  <si>
    <t>tRNA(Ala), cytoplasmic</t>
  </si>
  <si>
    <t>tRNA(Arg), cytoplasmic</t>
  </si>
  <si>
    <t>tRNA(Asn), cytoplasmic</t>
  </si>
  <si>
    <t>tRNA(Asp), cytoplasmic</t>
  </si>
  <si>
    <t>tRNA(Cys), cytoplasmic</t>
  </si>
  <si>
    <t>tRNA(Gln), cytoplasmic</t>
  </si>
  <si>
    <t>tRNA(Glu), cytoplasmic</t>
  </si>
  <si>
    <t>tRNA(Gly), cytoplasmic</t>
  </si>
  <si>
    <t>tRNA(His), cytoplasmic</t>
  </si>
  <si>
    <t>tRNA(Ile), cytoplasmic</t>
  </si>
  <si>
    <t>tRNA(Leu), cytoplasmic</t>
  </si>
  <si>
    <t>tRNA(Lys), cytoplasmic</t>
  </si>
  <si>
    <t>tRNA(Met), cytoplasmic</t>
  </si>
  <si>
    <t>tRNA(Phe), cytoplasmic</t>
  </si>
  <si>
    <t>tRNA(Pro), cytoplasmic</t>
  </si>
  <si>
    <t>tRNA(Ser), cytoplasmic</t>
  </si>
  <si>
    <t>tRNA(Thr), cytoplasmic</t>
  </si>
  <si>
    <t>tRNA(Trp), cytoplasmic</t>
  </si>
  <si>
    <t>tRNA(Tyr), cytoplasmic</t>
  </si>
  <si>
    <t>tRNA(Val), cytoplasmic</t>
  </si>
  <si>
    <t>Trp-tRNA(Trp)</t>
  </si>
  <si>
    <t>tetracosanoate</t>
  </si>
  <si>
    <t>Tyr-tRNA(Tyr)</t>
  </si>
  <si>
    <t>UTP</t>
  </si>
  <si>
    <t>Val-tRNA(Val)</t>
  </si>
  <si>
    <t>Zinc(II) ion</t>
  </si>
  <si>
    <r>
      <t>"13BDglucan_c"</t>
    </r>
    <r>
      <rPr>
        <sz val="12"/>
        <color rgb="FF3B3B3B"/>
        <rFont val="Menlo"/>
        <family val="2"/>
      </rPr>
      <t>:</t>
    </r>
    <r>
      <rPr>
        <sz val="12"/>
        <color rgb="FF098658"/>
        <rFont val="Menlo"/>
        <family val="2"/>
      </rPr>
      <t>-1.001123</t>
    </r>
    <r>
      <rPr>
        <sz val="12"/>
        <color rgb="FF3B3B3B"/>
        <rFont val="Menlo"/>
        <family val="2"/>
      </rPr>
      <t>,</t>
    </r>
  </si>
  <si>
    <r>
      <t>"16BDglucan_en"</t>
    </r>
    <r>
      <rPr>
        <sz val="12"/>
        <color rgb="FF3B3B3B"/>
        <rFont val="Menlo"/>
        <family val="2"/>
      </rPr>
      <t>:</t>
    </r>
    <r>
      <rPr>
        <sz val="12"/>
        <color rgb="FF098658"/>
        <rFont val="Menlo"/>
        <family val="2"/>
      </rPr>
      <t>-0.263454</t>
    </r>
    <r>
      <rPr>
        <sz val="12"/>
        <color rgb="FF3B3B3B"/>
        <rFont val="Menlo"/>
        <family val="2"/>
      </rPr>
      <t>,</t>
    </r>
  </si>
  <si>
    <r>
      <t>"G00006_c"</t>
    </r>
    <r>
      <rPr>
        <sz val="12"/>
        <color rgb="FF3B3B3B"/>
        <rFont val="Menlo"/>
        <family val="2"/>
      </rPr>
      <t>:</t>
    </r>
    <r>
      <rPr>
        <sz val="12"/>
        <color rgb="FF098658"/>
        <rFont val="Menlo"/>
        <family val="2"/>
      </rPr>
      <t>-0.015503</t>
    </r>
    <r>
      <rPr>
        <sz val="12"/>
        <color rgb="FF3B3B3B"/>
        <rFont val="Menlo"/>
        <family val="2"/>
      </rPr>
      <t>,</t>
    </r>
  </si>
  <si>
    <r>
      <t>"alatrna_c"</t>
    </r>
    <r>
      <rPr>
        <sz val="12"/>
        <color rgb="FF3B3B3B"/>
        <rFont val="Menlo"/>
        <family val="2"/>
      </rPr>
      <t>:</t>
    </r>
    <r>
      <rPr>
        <sz val="12"/>
        <color rgb="FF098658"/>
        <rFont val="Menlo"/>
        <family val="2"/>
      </rPr>
      <t>-0.386254</t>
    </r>
    <r>
      <rPr>
        <sz val="12"/>
        <color rgb="FF3B3B3B"/>
        <rFont val="Menlo"/>
        <family val="2"/>
      </rPr>
      <t>,</t>
    </r>
  </si>
  <si>
    <r>
      <t>"amet_c"</t>
    </r>
    <r>
      <rPr>
        <sz val="12"/>
        <color rgb="FF3B3B3B"/>
        <rFont val="Menlo"/>
        <family val="2"/>
      </rPr>
      <t>:</t>
    </r>
    <r>
      <rPr>
        <sz val="12"/>
        <color rgb="FF098658"/>
        <rFont val="Menlo"/>
        <family val="2"/>
      </rPr>
      <t>-0.0001</t>
    </r>
    <r>
      <rPr>
        <sz val="12"/>
        <color rgb="FF3B3B3B"/>
        <rFont val="Menlo"/>
        <family val="2"/>
      </rPr>
      <t>,</t>
    </r>
  </si>
  <si>
    <r>
      <t>"argtrna_c"</t>
    </r>
    <r>
      <rPr>
        <sz val="12"/>
        <color rgb="FF3B3B3B"/>
        <rFont val="Menlo"/>
        <family val="2"/>
      </rPr>
      <t>:</t>
    </r>
    <r>
      <rPr>
        <sz val="12"/>
        <color rgb="FF098658"/>
        <rFont val="Menlo"/>
        <family val="2"/>
      </rPr>
      <t>-0.152604</t>
    </r>
    <r>
      <rPr>
        <sz val="12"/>
        <color rgb="FF3B3B3B"/>
        <rFont val="Menlo"/>
        <family val="2"/>
      </rPr>
      <t>,</t>
    </r>
  </si>
  <si>
    <r>
      <t>"asntrna_c"</t>
    </r>
    <r>
      <rPr>
        <sz val="12"/>
        <color rgb="FF3B3B3B"/>
        <rFont val="Menlo"/>
        <family val="2"/>
      </rPr>
      <t>:</t>
    </r>
    <r>
      <rPr>
        <sz val="12"/>
        <color rgb="FF098658"/>
        <rFont val="Menlo"/>
        <family val="2"/>
      </rPr>
      <t>-0.183441</t>
    </r>
    <r>
      <rPr>
        <sz val="12"/>
        <color rgb="FF3B3B3B"/>
        <rFont val="Menlo"/>
        <family val="2"/>
      </rPr>
      <t>,</t>
    </r>
  </si>
  <si>
    <r>
      <t>"asptrna_c"</t>
    </r>
    <r>
      <rPr>
        <sz val="12"/>
        <color rgb="FF3B3B3B"/>
        <rFont val="Menlo"/>
        <family val="2"/>
      </rPr>
      <t>:</t>
    </r>
    <r>
      <rPr>
        <sz val="12"/>
        <color rgb="FF098658"/>
        <rFont val="Menlo"/>
        <family val="2"/>
      </rPr>
      <t>-0.183441</t>
    </r>
    <r>
      <rPr>
        <sz val="12"/>
        <color rgb="FF3B3B3B"/>
        <rFont val="Menlo"/>
        <family val="2"/>
      </rPr>
      <t>,</t>
    </r>
  </si>
  <si>
    <r>
      <t>"btn_c"</t>
    </r>
    <r>
      <rPr>
        <sz val="12"/>
        <color rgb="FF3B3B3B"/>
        <rFont val="Menlo"/>
        <family val="2"/>
      </rPr>
      <t>:</t>
    </r>
    <r>
      <rPr>
        <sz val="12"/>
        <color rgb="FF098658"/>
        <rFont val="Menlo"/>
        <family val="2"/>
      </rPr>
      <t>-0.0001</t>
    </r>
    <r>
      <rPr>
        <sz val="12"/>
        <color rgb="FF3B3B3B"/>
        <rFont val="Menlo"/>
        <family val="2"/>
      </rPr>
      <t>,</t>
    </r>
  </si>
  <si>
    <r>
      <t>"ca2_c"</t>
    </r>
    <r>
      <rPr>
        <sz val="12"/>
        <color rgb="FF3B3B3B"/>
        <rFont val="Menlo"/>
        <family val="2"/>
      </rPr>
      <t>:</t>
    </r>
    <r>
      <rPr>
        <sz val="12"/>
        <color rgb="FF098658"/>
        <rFont val="Menlo"/>
        <family val="2"/>
      </rPr>
      <t>-0.001286</t>
    </r>
    <r>
      <rPr>
        <sz val="12"/>
        <color rgb="FF3B3B3B"/>
        <rFont val="Menlo"/>
        <family val="2"/>
      </rPr>
      <t>,</t>
    </r>
  </si>
  <si>
    <r>
      <t>"chtn_c"</t>
    </r>
    <r>
      <rPr>
        <sz val="12"/>
        <color rgb="FF3B3B3B"/>
        <rFont val="Menlo"/>
        <family val="2"/>
      </rPr>
      <t>:</t>
    </r>
    <r>
      <rPr>
        <sz val="12"/>
        <color rgb="FF098658"/>
        <rFont val="Menlo"/>
        <family val="2"/>
      </rPr>
      <t>-0.023669</t>
    </r>
    <r>
      <rPr>
        <sz val="12"/>
        <color rgb="FF3B3B3B"/>
        <rFont val="Menlo"/>
        <family val="2"/>
      </rPr>
      <t>,</t>
    </r>
  </si>
  <si>
    <r>
      <t>"coa_c"</t>
    </r>
    <r>
      <rPr>
        <sz val="12"/>
        <color rgb="FF3B3B3B"/>
        <rFont val="Menlo"/>
        <family val="2"/>
      </rPr>
      <t>:</t>
    </r>
    <r>
      <rPr>
        <sz val="12"/>
        <color rgb="FF098658"/>
        <rFont val="Menlo"/>
        <family val="2"/>
      </rPr>
      <t>-0.0001</t>
    </r>
    <r>
      <rPr>
        <sz val="12"/>
        <color rgb="FF3B3B3B"/>
        <rFont val="Menlo"/>
        <family val="2"/>
      </rPr>
      <t>,</t>
    </r>
  </si>
  <si>
    <r>
      <t>"cu2_c"</t>
    </r>
    <r>
      <rPr>
        <sz val="12"/>
        <color rgb="FF3B3B3B"/>
        <rFont val="Menlo"/>
        <family val="2"/>
      </rPr>
      <t>:</t>
    </r>
    <r>
      <rPr>
        <sz val="12"/>
        <color rgb="FF098658"/>
        <rFont val="Menlo"/>
        <family val="2"/>
      </rPr>
      <t>-0.000114</t>
    </r>
    <r>
      <rPr>
        <sz val="12"/>
        <color rgb="FF3B3B3B"/>
        <rFont val="Menlo"/>
        <family val="2"/>
      </rPr>
      <t>,</t>
    </r>
  </si>
  <si>
    <r>
      <t>"cystrna_c"</t>
    </r>
    <r>
      <rPr>
        <sz val="12"/>
        <color rgb="FF3B3B3B"/>
        <rFont val="Menlo"/>
        <family val="2"/>
      </rPr>
      <t>:</t>
    </r>
    <r>
      <rPr>
        <sz val="12"/>
        <color rgb="FF098658"/>
        <rFont val="Menlo"/>
        <family val="2"/>
      </rPr>
      <t>-0.005535</t>
    </r>
    <r>
      <rPr>
        <sz val="12"/>
        <color rgb="FF3B3B3B"/>
        <rFont val="Menlo"/>
        <family val="2"/>
      </rPr>
      <t>,</t>
    </r>
  </si>
  <si>
    <r>
      <t>"datp_c"</t>
    </r>
    <r>
      <rPr>
        <sz val="12"/>
        <color rgb="FF3B3B3B"/>
        <rFont val="Menlo"/>
        <family val="2"/>
      </rPr>
      <t>:</t>
    </r>
    <r>
      <rPr>
        <sz val="12"/>
        <color rgb="FF098658"/>
        <rFont val="Menlo"/>
        <family val="2"/>
      </rPr>
      <t>-0.007095</t>
    </r>
    <r>
      <rPr>
        <sz val="12"/>
        <color rgb="FF3B3B3B"/>
        <rFont val="Menlo"/>
        <family val="2"/>
      </rPr>
      <t>,</t>
    </r>
  </si>
  <si>
    <r>
      <t>"dctp_c"</t>
    </r>
    <r>
      <rPr>
        <sz val="12"/>
        <color rgb="FF3B3B3B"/>
        <rFont val="Menlo"/>
        <family val="2"/>
      </rPr>
      <t>:</t>
    </r>
    <r>
      <rPr>
        <sz val="12"/>
        <color rgb="FF098658"/>
        <rFont val="Menlo"/>
        <family val="2"/>
      </rPr>
      <t>-0.011074</t>
    </r>
    <r>
      <rPr>
        <sz val="12"/>
        <color rgb="FF3B3B3B"/>
        <rFont val="Menlo"/>
        <family val="2"/>
      </rPr>
      <t>,</t>
    </r>
  </si>
  <si>
    <r>
      <t>"dgtp_c"</t>
    </r>
    <r>
      <rPr>
        <sz val="12"/>
        <color rgb="FF3B3B3B"/>
        <rFont val="Menlo"/>
        <family val="2"/>
      </rPr>
      <t>:</t>
    </r>
    <r>
      <rPr>
        <sz val="12"/>
        <color rgb="FF098658"/>
        <rFont val="Menlo"/>
        <family val="2"/>
      </rPr>
      <t>-0.011074</t>
    </r>
    <r>
      <rPr>
        <sz val="12"/>
        <color rgb="FF3B3B3B"/>
        <rFont val="Menlo"/>
        <family val="2"/>
      </rPr>
      <t>,</t>
    </r>
  </si>
  <si>
    <r>
      <t>"docosa_c"</t>
    </r>
    <r>
      <rPr>
        <sz val="12"/>
        <color rgb="FF3B3B3B"/>
        <rFont val="Menlo"/>
        <family val="2"/>
      </rPr>
      <t>:</t>
    </r>
    <r>
      <rPr>
        <sz val="12"/>
        <color rgb="FF098658"/>
        <rFont val="Menlo"/>
        <family val="2"/>
      </rPr>
      <t>-4.1e-05</t>
    </r>
    <r>
      <rPr>
        <sz val="12"/>
        <color rgb="FF3B3B3B"/>
        <rFont val="Menlo"/>
        <family val="2"/>
      </rPr>
      <t>,</t>
    </r>
  </si>
  <si>
    <r>
      <t>"dttp_c"</t>
    </r>
    <r>
      <rPr>
        <sz val="12"/>
        <color rgb="FF3B3B3B"/>
        <rFont val="Menlo"/>
        <family val="2"/>
      </rPr>
      <t>:</t>
    </r>
    <r>
      <rPr>
        <sz val="12"/>
        <color rgb="FF098658"/>
        <rFont val="Menlo"/>
        <family val="2"/>
      </rPr>
      <t>-0.007095</t>
    </r>
    <r>
      <rPr>
        <sz val="12"/>
        <color rgb="FF3B3B3B"/>
        <rFont val="Menlo"/>
        <family val="2"/>
      </rPr>
      <t>,</t>
    </r>
  </si>
  <si>
    <r>
      <t>"epist_c"</t>
    </r>
    <r>
      <rPr>
        <sz val="12"/>
        <color rgb="FF3B3B3B"/>
        <rFont val="Menlo"/>
        <family val="2"/>
      </rPr>
      <t>:</t>
    </r>
    <r>
      <rPr>
        <sz val="12"/>
        <color rgb="FF098658"/>
        <rFont val="Menlo"/>
        <family val="2"/>
      </rPr>
      <t>-0.102571</t>
    </r>
    <r>
      <rPr>
        <sz val="12"/>
        <color rgb="FF3B3B3B"/>
        <rFont val="Menlo"/>
        <family val="2"/>
      </rPr>
      <t>,</t>
    </r>
  </si>
  <si>
    <r>
      <t>"fad_c"</t>
    </r>
    <r>
      <rPr>
        <sz val="12"/>
        <color rgb="FF3B3B3B"/>
        <rFont val="Menlo"/>
        <family val="2"/>
      </rPr>
      <t>:</t>
    </r>
    <r>
      <rPr>
        <sz val="12"/>
        <color rgb="FF098658"/>
        <rFont val="Menlo"/>
        <family val="2"/>
      </rPr>
      <t>-0.0001</t>
    </r>
    <r>
      <rPr>
        <sz val="12"/>
        <color rgb="FF3B3B3B"/>
        <rFont val="Menlo"/>
        <family val="2"/>
      </rPr>
      <t>,</t>
    </r>
  </si>
  <si>
    <r>
      <t>"fe2_c"</t>
    </r>
    <r>
      <rPr>
        <sz val="12"/>
        <color rgb="FF3B3B3B"/>
        <rFont val="Menlo"/>
        <family val="2"/>
      </rPr>
      <t>:</t>
    </r>
    <r>
      <rPr>
        <sz val="12"/>
        <color rgb="FF098658"/>
        <rFont val="Menlo"/>
        <family val="2"/>
      </rPr>
      <t>-0.000664</t>
    </r>
    <r>
      <rPr>
        <sz val="12"/>
        <color rgb="FF3B3B3B"/>
        <rFont val="Menlo"/>
        <family val="2"/>
      </rPr>
      <t>,</t>
    </r>
  </si>
  <si>
    <r>
      <t>"glntrna_c"</t>
    </r>
    <r>
      <rPr>
        <sz val="12"/>
        <color rgb="FF3B3B3B"/>
        <rFont val="Menlo"/>
        <family val="2"/>
      </rPr>
      <t>:</t>
    </r>
    <r>
      <rPr>
        <sz val="12"/>
        <color rgb="FF098658"/>
        <rFont val="Menlo"/>
        <family val="2"/>
      </rPr>
      <t>-0.305999</t>
    </r>
    <r>
      <rPr>
        <sz val="12"/>
        <color rgb="FF3B3B3B"/>
        <rFont val="Menlo"/>
        <family val="2"/>
      </rPr>
      <t>,</t>
    </r>
  </si>
  <si>
    <r>
      <t>"glutrna_c"</t>
    </r>
    <r>
      <rPr>
        <sz val="12"/>
        <color rgb="FF3B3B3B"/>
        <rFont val="Menlo"/>
        <family val="2"/>
      </rPr>
      <t>:</t>
    </r>
    <r>
      <rPr>
        <sz val="12"/>
        <color rgb="FF098658"/>
        <rFont val="Menlo"/>
        <family val="2"/>
      </rPr>
      <t>-0.305999</t>
    </r>
    <r>
      <rPr>
        <sz val="12"/>
        <color rgb="FF3B3B3B"/>
        <rFont val="Menlo"/>
        <family val="2"/>
      </rPr>
      <t>,</t>
    </r>
  </si>
  <si>
    <r>
      <t>"glytrna_c"</t>
    </r>
    <r>
      <rPr>
        <sz val="12"/>
        <color rgb="FF3B3B3B"/>
        <rFont val="Menlo"/>
        <family val="2"/>
      </rPr>
      <t>:</t>
    </r>
    <r>
      <rPr>
        <sz val="12"/>
        <color rgb="FF098658"/>
        <rFont val="Menlo"/>
        <family val="2"/>
      </rPr>
      <t>-0.351464</t>
    </r>
    <r>
      <rPr>
        <sz val="12"/>
        <color rgb="FF3B3B3B"/>
        <rFont val="Menlo"/>
        <family val="2"/>
      </rPr>
      <t>,</t>
    </r>
  </si>
  <si>
    <r>
      <t>"gpianchorSC_r"</t>
    </r>
    <r>
      <rPr>
        <sz val="12"/>
        <color rgb="FF3B3B3B"/>
        <rFont val="Menlo"/>
        <family val="2"/>
      </rPr>
      <t>:</t>
    </r>
    <r>
      <rPr>
        <sz val="12"/>
        <color rgb="FF098658"/>
        <rFont val="Menlo"/>
        <family val="2"/>
      </rPr>
      <t>-0.016989</t>
    </r>
    <r>
      <rPr>
        <sz val="12"/>
        <color rgb="FF3B3B3B"/>
        <rFont val="Menlo"/>
        <family val="2"/>
      </rPr>
      <t>,</t>
    </r>
  </si>
  <si>
    <r>
      <t>"hdca_c"</t>
    </r>
    <r>
      <rPr>
        <sz val="12"/>
        <color rgb="FF3B3B3B"/>
        <rFont val="Menlo"/>
        <family val="2"/>
      </rPr>
      <t>:</t>
    </r>
    <r>
      <rPr>
        <sz val="12"/>
        <color rgb="FF098658"/>
        <rFont val="Menlo"/>
        <family val="2"/>
      </rPr>
      <t>-0.000478</t>
    </r>
    <r>
      <rPr>
        <sz val="12"/>
        <color rgb="FF3B3B3B"/>
        <rFont val="Menlo"/>
        <family val="2"/>
      </rPr>
      <t>,</t>
    </r>
  </si>
  <si>
    <r>
      <t>"hemeA_c"</t>
    </r>
    <r>
      <rPr>
        <sz val="12"/>
        <color rgb="FF3B3B3B"/>
        <rFont val="Menlo"/>
        <family val="2"/>
      </rPr>
      <t>:</t>
    </r>
    <r>
      <rPr>
        <sz val="12"/>
        <color rgb="FF098658"/>
        <rFont val="Menlo"/>
        <family val="2"/>
      </rPr>
      <t>-0.0001</t>
    </r>
    <r>
      <rPr>
        <sz val="12"/>
        <color rgb="FF3B3B3B"/>
        <rFont val="Menlo"/>
        <family val="2"/>
      </rPr>
      <t>,</t>
    </r>
  </si>
  <si>
    <r>
      <t>"histrna_c"</t>
    </r>
    <r>
      <rPr>
        <sz val="12"/>
        <color rgb="FF3B3B3B"/>
        <rFont val="Menlo"/>
        <family val="2"/>
      </rPr>
      <t>:</t>
    </r>
    <r>
      <rPr>
        <sz val="12"/>
        <color rgb="FF098658"/>
        <rFont val="Menlo"/>
        <family val="2"/>
      </rPr>
      <t>-0.076302</t>
    </r>
    <r>
      <rPr>
        <sz val="12"/>
        <color rgb="FF3B3B3B"/>
        <rFont val="Menlo"/>
        <family val="2"/>
      </rPr>
      <t>,</t>
    </r>
  </si>
  <si>
    <r>
      <t>"iletrna_c"</t>
    </r>
    <r>
      <rPr>
        <sz val="12"/>
        <color rgb="FF3B3B3B"/>
        <rFont val="Menlo"/>
        <family val="2"/>
      </rPr>
      <t>:</t>
    </r>
    <r>
      <rPr>
        <sz val="12"/>
        <color rgb="FF098658"/>
        <rFont val="Menlo"/>
        <family val="2"/>
      </rPr>
      <t>-0.23286</t>
    </r>
    <r>
      <rPr>
        <sz val="12"/>
        <color rgb="FF3B3B3B"/>
        <rFont val="Menlo"/>
        <family val="2"/>
      </rPr>
      <t>,</t>
    </r>
  </si>
  <si>
    <r>
      <t>"ipc_g"</t>
    </r>
    <r>
      <rPr>
        <sz val="12"/>
        <color rgb="FF3B3B3B"/>
        <rFont val="Menlo"/>
        <family val="2"/>
      </rPr>
      <t>:</t>
    </r>
    <r>
      <rPr>
        <sz val="12"/>
        <color rgb="FF098658"/>
        <rFont val="Menlo"/>
        <family val="2"/>
      </rPr>
      <t>-0.008081</t>
    </r>
    <r>
      <rPr>
        <sz val="12"/>
        <color rgb="FF3B3B3B"/>
        <rFont val="Menlo"/>
        <family val="2"/>
      </rPr>
      <t>,</t>
    </r>
  </si>
  <si>
    <r>
      <t>"k_c"</t>
    </r>
    <r>
      <rPr>
        <sz val="12"/>
        <color rgb="FF3B3B3B"/>
        <rFont val="Menlo"/>
        <family val="2"/>
      </rPr>
      <t>:</t>
    </r>
    <r>
      <rPr>
        <sz val="12"/>
        <color rgb="FF098658"/>
        <rFont val="Menlo"/>
        <family val="2"/>
      </rPr>
      <t>-0.60365</t>
    </r>
    <r>
      <rPr>
        <sz val="12"/>
        <color rgb="FF3B3B3B"/>
        <rFont val="Menlo"/>
        <family val="2"/>
      </rPr>
      <t>,</t>
    </r>
  </si>
  <si>
    <r>
      <t>"leutrna_c"</t>
    </r>
    <r>
      <rPr>
        <sz val="12"/>
        <color rgb="FF3B3B3B"/>
        <rFont val="Menlo"/>
        <family val="2"/>
      </rPr>
      <t>:</t>
    </r>
    <r>
      <rPr>
        <sz val="12"/>
        <color rgb="FF098658"/>
        <rFont val="Menlo"/>
        <family val="2"/>
      </rPr>
      <t>-0.316673</t>
    </r>
    <r>
      <rPr>
        <sz val="12"/>
        <color rgb="FF3B3B3B"/>
        <rFont val="Menlo"/>
        <family val="2"/>
      </rPr>
      <t>,</t>
    </r>
  </si>
  <si>
    <r>
      <t>"linoea_c"</t>
    </r>
    <r>
      <rPr>
        <sz val="12"/>
        <color rgb="FF3B3B3B"/>
        <rFont val="Menlo"/>
        <family val="2"/>
      </rPr>
      <t>:</t>
    </r>
    <r>
      <rPr>
        <sz val="12"/>
        <color rgb="FF098658"/>
        <rFont val="Menlo"/>
        <family val="2"/>
      </rPr>
      <t>-0.001219</t>
    </r>
    <r>
      <rPr>
        <sz val="12"/>
        <color rgb="FF3B3B3B"/>
        <rFont val="Menlo"/>
        <family val="2"/>
      </rPr>
      <t>,</t>
    </r>
  </si>
  <si>
    <r>
      <t>"linolen_c"</t>
    </r>
    <r>
      <rPr>
        <sz val="12"/>
        <color rgb="FF3B3B3B"/>
        <rFont val="Menlo"/>
        <family val="2"/>
      </rPr>
      <t>:</t>
    </r>
    <r>
      <rPr>
        <sz val="12"/>
        <color rgb="FF098658"/>
        <rFont val="Menlo"/>
        <family val="2"/>
      </rPr>
      <t>-0.000327</t>
    </r>
    <r>
      <rPr>
        <sz val="12"/>
        <color rgb="FF3B3B3B"/>
        <rFont val="Menlo"/>
        <family val="2"/>
      </rPr>
      <t>,</t>
    </r>
  </si>
  <si>
    <r>
      <t>"lystrna_c"</t>
    </r>
    <r>
      <rPr>
        <sz val="12"/>
        <color rgb="FF3B3B3B"/>
        <rFont val="Menlo"/>
        <family val="2"/>
      </rPr>
      <t>:</t>
    </r>
    <r>
      <rPr>
        <sz val="12"/>
        <color rgb="FF098658"/>
        <rFont val="Menlo"/>
        <family val="2"/>
      </rPr>
      <t>-0.259743</t>
    </r>
    <r>
      <rPr>
        <sz val="12"/>
        <color rgb="FF3B3B3B"/>
        <rFont val="Menlo"/>
        <family val="2"/>
      </rPr>
      <t>,</t>
    </r>
  </si>
  <si>
    <r>
      <t>"mettrna_c"</t>
    </r>
    <r>
      <rPr>
        <sz val="12"/>
        <color rgb="FF3B3B3B"/>
        <rFont val="Menlo"/>
        <family val="2"/>
      </rPr>
      <t>:</t>
    </r>
    <r>
      <rPr>
        <sz val="12"/>
        <color rgb="FF098658"/>
        <rFont val="Menlo"/>
        <family val="2"/>
      </rPr>
      <t>-0.04507</t>
    </r>
    <r>
      <rPr>
        <sz val="12"/>
        <color rgb="FF3B3B3B"/>
        <rFont val="Menlo"/>
        <family val="2"/>
      </rPr>
      <t>,</t>
    </r>
  </si>
  <si>
    <r>
      <t>"mg2_c"</t>
    </r>
    <r>
      <rPr>
        <sz val="12"/>
        <color rgb="FF3B3B3B"/>
        <rFont val="Menlo"/>
        <family val="2"/>
      </rPr>
      <t>:</t>
    </r>
    <r>
      <rPr>
        <sz val="12"/>
        <color rgb="FF098658"/>
        <rFont val="Menlo"/>
        <family val="2"/>
      </rPr>
      <t>-0.063607</t>
    </r>
    <r>
      <rPr>
        <sz val="12"/>
        <color rgb="FF3B3B3B"/>
        <rFont val="Menlo"/>
        <family val="2"/>
      </rPr>
      <t>,</t>
    </r>
  </si>
  <si>
    <r>
      <t>"mn2_c"</t>
    </r>
    <r>
      <rPr>
        <sz val="12"/>
        <color rgb="FF3B3B3B"/>
        <rFont val="Menlo"/>
        <family val="2"/>
      </rPr>
      <t>:</t>
    </r>
    <r>
      <rPr>
        <sz val="12"/>
        <color rgb="FF098658"/>
        <rFont val="Menlo"/>
        <family val="2"/>
      </rPr>
      <t>-9.4e-05</t>
    </r>
    <r>
      <rPr>
        <sz val="12"/>
        <color rgb="FF3B3B3B"/>
        <rFont val="Menlo"/>
        <family val="2"/>
      </rPr>
      <t>,</t>
    </r>
  </si>
  <si>
    <r>
      <t>"nad_c"</t>
    </r>
    <r>
      <rPr>
        <sz val="12"/>
        <color rgb="FF3B3B3B"/>
        <rFont val="Menlo"/>
        <family val="2"/>
      </rPr>
      <t>:</t>
    </r>
    <r>
      <rPr>
        <sz val="12"/>
        <color rgb="FF098658"/>
        <rFont val="Menlo"/>
        <family val="2"/>
      </rPr>
      <t>-0.0001</t>
    </r>
    <r>
      <rPr>
        <sz val="12"/>
        <color rgb="FF3B3B3B"/>
        <rFont val="Menlo"/>
        <family val="2"/>
      </rPr>
      <t>,</t>
    </r>
  </si>
  <si>
    <r>
      <t>"nadp_c"</t>
    </r>
    <r>
      <rPr>
        <sz val="12"/>
        <color rgb="FF3B3B3B"/>
        <rFont val="Menlo"/>
        <family val="2"/>
      </rPr>
      <t>:</t>
    </r>
    <r>
      <rPr>
        <sz val="12"/>
        <color rgb="FF098658"/>
        <rFont val="Menlo"/>
        <family val="2"/>
      </rPr>
      <t>-0.0001</t>
    </r>
    <r>
      <rPr>
        <sz val="12"/>
        <color rgb="FF3B3B3B"/>
        <rFont val="Menlo"/>
        <family val="2"/>
      </rPr>
      <t>,</t>
    </r>
  </si>
  <si>
    <r>
      <t>"ocdca_c"</t>
    </r>
    <r>
      <rPr>
        <sz val="12"/>
        <color rgb="FF3B3B3B"/>
        <rFont val="Menlo"/>
        <family val="2"/>
      </rPr>
      <t>:</t>
    </r>
    <r>
      <rPr>
        <sz val="12"/>
        <color rgb="FF098658"/>
        <rFont val="Menlo"/>
        <family val="2"/>
      </rPr>
      <t>-0.000318</t>
    </r>
    <r>
      <rPr>
        <sz val="12"/>
        <color rgb="FF3B3B3B"/>
        <rFont val="Menlo"/>
        <family val="2"/>
      </rPr>
      <t>,</t>
    </r>
  </si>
  <si>
    <r>
      <t>"ocdcea_c"</t>
    </r>
    <r>
      <rPr>
        <sz val="12"/>
        <color rgb="FF3B3B3B"/>
        <rFont val="Menlo"/>
        <family val="2"/>
      </rPr>
      <t>:</t>
    </r>
    <r>
      <rPr>
        <sz val="12"/>
        <color rgb="FF098658"/>
        <rFont val="Menlo"/>
        <family val="2"/>
      </rPr>
      <t>-0.000584</t>
    </r>
    <r>
      <rPr>
        <sz val="12"/>
        <color rgb="FF3B3B3B"/>
        <rFont val="Menlo"/>
        <family val="2"/>
      </rPr>
      <t>,</t>
    </r>
  </si>
  <si>
    <r>
      <t>"oglycanSC_g"</t>
    </r>
    <r>
      <rPr>
        <sz val="12"/>
        <color rgb="FF3B3B3B"/>
        <rFont val="Menlo"/>
        <family val="2"/>
      </rPr>
      <t>:</t>
    </r>
    <r>
      <rPr>
        <sz val="12"/>
        <color rgb="FF098658"/>
        <rFont val="Menlo"/>
        <family val="2"/>
      </rPr>
      <t>-0.047788</t>
    </r>
    <r>
      <rPr>
        <sz val="12"/>
        <color rgb="FF3B3B3B"/>
        <rFont val="Menlo"/>
        <family val="2"/>
      </rPr>
      <t>,</t>
    </r>
  </si>
  <si>
    <r>
      <t>"pail_c"</t>
    </r>
    <r>
      <rPr>
        <sz val="12"/>
        <color rgb="FF3B3B3B"/>
        <rFont val="Menlo"/>
        <family val="2"/>
      </rPr>
      <t>:</t>
    </r>
    <r>
      <rPr>
        <sz val="12"/>
        <color rgb="FF098658"/>
        <rFont val="Menlo"/>
        <family val="2"/>
      </rPr>
      <t>-0.021936</t>
    </r>
    <r>
      <rPr>
        <sz val="12"/>
        <color rgb="FF3B3B3B"/>
        <rFont val="Menlo"/>
        <family val="2"/>
      </rPr>
      <t>,</t>
    </r>
  </si>
  <si>
    <r>
      <t>"pc_c"</t>
    </r>
    <r>
      <rPr>
        <sz val="12"/>
        <color rgb="FF3B3B3B"/>
        <rFont val="Menlo"/>
        <family val="2"/>
      </rPr>
      <t>:</t>
    </r>
    <r>
      <rPr>
        <sz val="12"/>
        <color rgb="FF098658"/>
        <rFont val="Menlo"/>
        <family val="2"/>
      </rPr>
      <t>-0.041166</t>
    </r>
    <r>
      <rPr>
        <sz val="12"/>
        <color rgb="FF3B3B3B"/>
        <rFont val="Menlo"/>
        <family val="2"/>
      </rPr>
      <t>,</t>
    </r>
  </si>
  <si>
    <r>
      <t>"pe_c"</t>
    </r>
    <r>
      <rPr>
        <sz val="12"/>
        <color rgb="FF3B3B3B"/>
        <rFont val="Menlo"/>
        <family val="2"/>
      </rPr>
      <t>:</t>
    </r>
    <r>
      <rPr>
        <sz val="12"/>
        <color rgb="FF098658"/>
        <rFont val="Menlo"/>
        <family val="2"/>
      </rPr>
      <t>-0.009943</t>
    </r>
    <r>
      <rPr>
        <sz val="12"/>
        <color rgb="FF3B3B3B"/>
        <rFont val="Menlo"/>
        <family val="2"/>
      </rPr>
      <t>,</t>
    </r>
  </si>
  <si>
    <r>
      <t>"phetrna_c"</t>
    </r>
    <r>
      <rPr>
        <sz val="12"/>
        <color rgb="FF3B3B3B"/>
        <rFont val="Menlo"/>
        <family val="2"/>
      </rPr>
      <t>:</t>
    </r>
    <r>
      <rPr>
        <sz val="12"/>
        <color rgb="FF098658"/>
        <rFont val="Menlo"/>
        <family val="2"/>
      </rPr>
      <t>-0.148651</t>
    </r>
    <r>
      <rPr>
        <sz val="12"/>
        <color rgb="FF3B3B3B"/>
        <rFont val="Menlo"/>
        <family val="2"/>
      </rPr>
      <t>,</t>
    </r>
  </si>
  <si>
    <r>
      <t>"protrna_c"</t>
    </r>
    <r>
      <rPr>
        <sz val="12"/>
        <color rgb="FF3B3B3B"/>
        <rFont val="Menlo"/>
        <family val="2"/>
      </rPr>
      <t>:</t>
    </r>
    <r>
      <rPr>
        <sz val="12"/>
        <color rgb="FF098658"/>
        <rFont val="Menlo"/>
        <family val="2"/>
      </rPr>
      <t>-0.166837</t>
    </r>
    <r>
      <rPr>
        <sz val="12"/>
        <color rgb="FF3B3B3B"/>
        <rFont val="Menlo"/>
        <family val="2"/>
      </rPr>
      <t>,</t>
    </r>
  </si>
  <si>
    <r>
      <t>"ps_c"</t>
    </r>
    <r>
      <rPr>
        <sz val="12"/>
        <color rgb="FF3B3B3B"/>
        <rFont val="Menlo"/>
        <family val="2"/>
      </rPr>
      <t>:</t>
    </r>
    <r>
      <rPr>
        <sz val="12"/>
        <color rgb="FF098658"/>
        <rFont val="Menlo"/>
        <family val="2"/>
      </rPr>
      <t>-0.005332</t>
    </r>
    <r>
      <rPr>
        <sz val="12"/>
        <color rgb="FF3B3B3B"/>
        <rFont val="Menlo"/>
        <family val="2"/>
      </rPr>
      <t>,</t>
    </r>
  </si>
  <si>
    <r>
      <t>"pydx5p_c"</t>
    </r>
    <r>
      <rPr>
        <sz val="12"/>
        <color rgb="FF3B3B3B"/>
        <rFont val="Menlo"/>
        <family val="2"/>
      </rPr>
      <t>:</t>
    </r>
    <r>
      <rPr>
        <sz val="12"/>
        <color rgb="FF098658"/>
        <rFont val="Menlo"/>
        <family val="2"/>
      </rPr>
      <t>-0.0001</t>
    </r>
    <r>
      <rPr>
        <sz val="12"/>
        <color rgb="FF3B3B3B"/>
        <rFont val="Menlo"/>
        <family val="2"/>
      </rPr>
      <t>,</t>
    </r>
  </si>
  <si>
    <r>
      <t>"ribflv_c"</t>
    </r>
    <r>
      <rPr>
        <sz val="12"/>
        <color rgb="FF3B3B3B"/>
        <rFont val="Menlo"/>
        <family val="2"/>
      </rPr>
      <t>:</t>
    </r>
    <r>
      <rPr>
        <sz val="12"/>
        <color rgb="FF098658"/>
        <rFont val="Menlo"/>
        <family val="2"/>
      </rPr>
      <t>-0.0001</t>
    </r>
    <r>
      <rPr>
        <sz val="12"/>
        <color rgb="FF3B3B3B"/>
        <rFont val="Menlo"/>
        <family val="2"/>
      </rPr>
      <t>,</t>
    </r>
  </si>
  <si>
    <r>
      <t>"sertrna_c"</t>
    </r>
    <r>
      <rPr>
        <sz val="12"/>
        <color rgb="FF3B3B3B"/>
        <rFont val="Menlo"/>
        <family val="2"/>
      </rPr>
      <t>:</t>
    </r>
    <r>
      <rPr>
        <sz val="12"/>
        <color rgb="FF098658"/>
        <rFont val="Menlo"/>
        <family val="2"/>
      </rPr>
      <t>-0.21072</t>
    </r>
    <r>
      <rPr>
        <sz val="12"/>
        <color rgb="FF3B3B3B"/>
        <rFont val="Menlo"/>
        <family val="2"/>
      </rPr>
      <t>,</t>
    </r>
  </si>
  <si>
    <r>
      <t>"so4_c"</t>
    </r>
    <r>
      <rPr>
        <sz val="12"/>
        <color rgb="FF3B3B3B"/>
        <rFont val="Menlo"/>
        <family val="2"/>
      </rPr>
      <t>:</t>
    </r>
    <r>
      <rPr>
        <sz val="12"/>
        <color rgb="FF098658"/>
        <rFont val="Menlo"/>
        <family val="2"/>
      </rPr>
      <t>-0.031223</t>
    </r>
    <r>
      <rPr>
        <sz val="12"/>
        <color rgb="FF3B3B3B"/>
        <rFont val="Menlo"/>
        <family val="2"/>
      </rPr>
      <t>,</t>
    </r>
  </si>
  <si>
    <r>
      <t>"spmd_c"</t>
    </r>
    <r>
      <rPr>
        <sz val="12"/>
        <color rgb="FF3B3B3B"/>
        <rFont val="Menlo"/>
        <family val="2"/>
      </rPr>
      <t>:</t>
    </r>
    <r>
      <rPr>
        <sz val="12"/>
        <color rgb="FF098658"/>
        <rFont val="Menlo"/>
        <family val="2"/>
      </rPr>
      <t>-0.0001</t>
    </r>
    <r>
      <rPr>
        <sz val="12"/>
        <color rgb="FF3B3B3B"/>
        <rFont val="Menlo"/>
        <family val="2"/>
      </rPr>
      <t>,</t>
    </r>
  </si>
  <si>
    <r>
      <t>"tag_c"</t>
    </r>
    <r>
      <rPr>
        <sz val="12"/>
        <color rgb="FF3B3B3B"/>
        <rFont val="Menlo"/>
        <family val="2"/>
      </rPr>
      <t>:</t>
    </r>
    <r>
      <rPr>
        <sz val="12"/>
        <color rgb="FF098658"/>
        <rFont val="Menlo"/>
        <family val="2"/>
      </rPr>
      <t>-0.012646</t>
    </r>
    <r>
      <rPr>
        <sz val="12"/>
        <color rgb="FF3B3B3B"/>
        <rFont val="Menlo"/>
        <family val="2"/>
      </rPr>
      <t>,</t>
    </r>
  </si>
  <si>
    <r>
      <t>"thf_c"</t>
    </r>
    <r>
      <rPr>
        <sz val="12"/>
        <color rgb="FF3B3B3B"/>
        <rFont val="Menlo"/>
        <family val="2"/>
      </rPr>
      <t>:</t>
    </r>
    <r>
      <rPr>
        <sz val="12"/>
        <color rgb="FF098658"/>
        <rFont val="Menlo"/>
        <family val="2"/>
      </rPr>
      <t>-0.0001</t>
    </r>
    <r>
      <rPr>
        <sz val="12"/>
        <color rgb="FF3B3B3B"/>
        <rFont val="Menlo"/>
        <family val="2"/>
      </rPr>
      <t>,</t>
    </r>
  </si>
  <si>
    <r>
      <t>"thmpp_c"</t>
    </r>
    <r>
      <rPr>
        <sz val="12"/>
        <color rgb="FF3B3B3B"/>
        <rFont val="Menlo"/>
        <family val="2"/>
      </rPr>
      <t>:</t>
    </r>
    <r>
      <rPr>
        <sz val="12"/>
        <color rgb="FF098658"/>
        <rFont val="Menlo"/>
        <family val="2"/>
      </rPr>
      <t>-0.0001</t>
    </r>
    <r>
      <rPr>
        <sz val="12"/>
        <color rgb="FF3B3B3B"/>
        <rFont val="Menlo"/>
        <family val="2"/>
      </rPr>
      <t>,</t>
    </r>
  </si>
  <si>
    <r>
      <t>"thrtrna_c"</t>
    </r>
    <r>
      <rPr>
        <sz val="12"/>
        <color rgb="FF3B3B3B"/>
        <rFont val="Menlo"/>
        <family val="2"/>
      </rPr>
      <t>:</t>
    </r>
    <r>
      <rPr>
        <sz val="12"/>
        <color rgb="FF098658"/>
        <rFont val="Menlo"/>
        <family val="2"/>
      </rPr>
      <t>-0.220209</t>
    </r>
    <r>
      <rPr>
        <sz val="12"/>
        <color rgb="FF3B3B3B"/>
        <rFont val="Menlo"/>
        <family val="2"/>
      </rPr>
      <t>,</t>
    </r>
  </si>
  <si>
    <r>
      <t>"trnaala_c"</t>
    </r>
    <r>
      <rPr>
        <sz val="12"/>
        <color rgb="FF3B3B3B"/>
        <rFont val="Menlo"/>
        <family val="2"/>
      </rPr>
      <t>:</t>
    </r>
    <r>
      <rPr>
        <sz val="12"/>
        <color rgb="FF098658"/>
        <rFont val="Menlo"/>
        <family val="2"/>
      </rPr>
      <t>0.386254</t>
    </r>
    <r>
      <rPr>
        <sz val="12"/>
        <color rgb="FF3B3B3B"/>
        <rFont val="Menlo"/>
        <family val="2"/>
      </rPr>
      <t>,</t>
    </r>
  </si>
  <si>
    <r>
      <t>"trnaarg_c"</t>
    </r>
    <r>
      <rPr>
        <sz val="12"/>
        <color rgb="FF3B3B3B"/>
        <rFont val="Menlo"/>
        <family val="2"/>
      </rPr>
      <t>:</t>
    </r>
    <r>
      <rPr>
        <sz val="12"/>
        <color rgb="FF098658"/>
        <rFont val="Menlo"/>
        <family val="2"/>
      </rPr>
      <t>0.152604</t>
    </r>
    <r>
      <rPr>
        <sz val="12"/>
        <color rgb="FF3B3B3B"/>
        <rFont val="Menlo"/>
        <family val="2"/>
      </rPr>
      <t>,</t>
    </r>
  </si>
  <si>
    <r>
      <t>"trnaasn_c"</t>
    </r>
    <r>
      <rPr>
        <sz val="12"/>
        <color rgb="FF3B3B3B"/>
        <rFont val="Menlo"/>
        <family val="2"/>
      </rPr>
      <t>:</t>
    </r>
    <r>
      <rPr>
        <sz val="12"/>
        <color rgb="FF098658"/>
        <rFont val="Menlo"/>
        <family val="2"/>
      </rPr>
      <t>0.183441</t>
    </r>
    <r>
      <rPr>
        <sz val="12"/>
        <color rgb="FF3B3B3B"/>
        <rFont val="Menlo"/>
        <family val="2"/>
      </rPr>
      <t>,</t>
    </r>
  </si>
  <si>
    <r>
      <t>"trnaasp_c"</t>
    </r>
    <r>
      <rPr>
        <sz val="12"/>
        <color rgb="FF3B3B3B"/>
        <rFont val="Menlo"/>
        <family val="2"/>
      </rPr>
      <t>:</t>
    </r>
    <r>
      <rPr>
        <sz val="12"/>
        <color rgb="FF098658"/>
        <rFont val="Menlo"/>
        <family val="2"/>
      </rPr>
      <t>0.183441</t>
    </r>
    <r>
      <rPr>
        <sz val="12"/>
        <color rgb="FF3B3B3B"/>
        <rFont val="Menlo"/>
        <family val="2"/>
      </rPr>
      <t>,</t>
    </r>
  </si>
  <si>
    <r>
      <t>"trnacys_c"</t>
    </r>
    <r>
      <rPr>
        <sz val="12"/>
        <color rgb="FF3B3B3B"/>
        <rFont val="Menlo"/>
        <family val="2"/>
      </rPr>
      <t>:</t>
    </r>
    <r>
      <rPr>
        <sz val="12"/>
        <color rgb="FF098658"/>
        <rFont val="Menlo"/>
        <family val="2"/>
      </rPr>
      <t>0.005535</t>
    </r>
    <r>
      <rPr>
        <sz val="12"/>
        <color rgb="FF3B3B3B"/>
        <rFont val="Menlo"/>
        <family val="2"/>
      </rPr>
      <t>,</t>
    </r>
  </si>
  <si>
    <r>
      <t>"trnagln_c"</t>
    </r>
    <r>
      <rPr>
        <sz val="12"/>
        <color rgb="FF3B3B3B"/>
        <rFont val="Menlo"/>
        <family val="2"/>
      </rPr>
      <t>:</t>
    </r>
    <r>
      <rPr>
        <sz val="12"/>
        <color rgb="FF098658"/>
        <rFont val="Menlo"/>
        <family val="2"/>
      </rPr>
      <t>0.305999</t>
    </r>
    <r>
      <rPr>
        <sz val="12"/>
        <color rgb="FF3B3B3B"/>
        <rFont val="Menlo"/>
        <family val="2"/>
      </rPr>
      <t>,</t>
    </r>
  </si>
  <si>
    <r>
      <t>"trnaglu_c"</t>
    </r>
    <r>
      <rPr>
        <sz val="12"/>
        <color rgb="FF3B3B3B"/>
        <rFont val="Menlo"/>
        <family val="2"/>
      </rPr>
      <t>:</t>
    </r>
    <r>
      <rPr>
        <sz val="12"/>
        <color rgb="FF098658"/>
        <rFont val="Menlo"/>
        <family val="2"/>
      </rPr>
      <t>0.305999</t>
    </r>
    <r>
      <rPr>
        <sz val="12"/>
        <color rgb="FF3B3B3B"/>
        <rFont val="Menlo"/>
        <family val="2"/>
      </rPr>
      <t>,</t>
    </r>
  </si>
  <si>
    <r>
      <t>"trnagly_c"</t>
    </r>
    <r>
      <rPr>
        <sz val="12"/>
        <color rgb="FF3B3B3B"/>
        <rFont val="Menlo"/>
        <family val="2"/>
      </rPr>
      <t>:</t>
    </r>
    <r>
      <rPr>
        <sz val="12"/>
        <color rgb="FF098658"/>
        <rFont val="Menlo"/>
        <family val="2"/>
      </rPr>
      <t>0.351464</t>
    </r>
    <r>
      <rPr>
        <sz val="12"/>
        <color rgb="FF3B3B3B"/>
        <rFont val="Menlo"/>
        <family val="2"/>
      </rPr>
      <t>,</t>
    </r>
  </si>
  <si>
    <r>
      <t>"trnahis_c"</t>
    </r>
    <r>
      <rPr>
        <sz val="12"/>
        <color rgb="FF3B3B3B"/>
        <rFont val="Menlo"/>
        <family val="2"/>
      </rPr>
      <t>:</t>
    </r>
    <r>
      <rPr>
        <sz val="12"/>
        <color rgb="FF098658"/>
        <rFont val="Menlo"/>
        <family val="2"/>
      </rPr>
      <t>0.076302</t>
    </r>
    <r>
      <rPr>
        <sz val="12"/>
        <color rgb="FF3B3B3B"/>
        <rFont val="Menlo"/>
        <family val="2"/>
      </rPr>
      <t>,</t>
    </r>
  </si>
  <si>
    <r>
      <t>"trnaile_c"</t>
    </r>
    <r>
      <rPr>
        <sz val="12"/>
        <color rgb="FF3B3B3B"/>
        <rFont val="Menlo"/>
        <family val="2"/>
      </rPr>
      <t>:</t>
    </r>
    <r>
      <rPr>
        <sz val="12"/>
        <color rgb="FF098658"/>
        <rFont val="Menlo"/>
        <family val="2"/>
      </rPr>
      <t>0.23286</t>
    </r>
    <r>
      <rPr>
        <sz val="12"/>
        <color rgb="FF3B3B3B"/>
        <rFont val="Menlo"/>
        <family val="2"/>
      </rPr>
      <t>,</t>
    </r>
  </si>
  <si>
    <r>
      <t>"trnaleu_c"</t>
    </r>
    <r>
      <rPr>
        <sz val="12"/>
        <color rgb="FF3B3B3B"/>
        <rFont val="Menlo"/>
        <family val="2"/>
      </rPr>
      <t>:</t>
    </r>
    <r>
      <rPr>
        <sz val="12"/>
        <color rgb="FF098658"/>
        <rFont val="Menlo"/>
        <family val="2"/>
      </rPr>
      <t>0.316673</t>
    </r>
    <r>
      <rPr>
        <sz val="12"/>
        <color rgb="FF3B3B3B"/>
        <rFont val="Menlo"/>
        <family val="2"/>
      </rPr>
      <t>,</t>
    </r>
  </si>
  <si>
    <r>
      <t>"trnalys_c"</t>
    </r>
    <r>
      <rPr>
        <sz val="12"/>
        <color rgb="FF3B3B3B"/>
        <rFont val="Menlo"/>
        <family val="2"/>
      </rPr>
      <t>:</t>
    </r>
    <r>
      <rPr>
        <sz val="12"/>
        <color rgb="FF098658"/>
        <rFont val="Menlo"/>
        <family val="2"/>
      </rPr>
      <t>0.259743</t>
    </r>
    <r>
      <rPr>
        <sz val="12"/>
        <color rgb="FF3B3B3B"/>
        <rFont val="Menlo"/>
        <family val="2"/>
      </rPr>
      <t>,</t>
    </r>
  </si>
  <si>
    <r>
      <t>"trnamet_c"</t>
    </r>
    <r>
      <rPr>
        <sz val="12"/>
        <color rgb="FF3B3B3B"/>
        <rFont val="Menlo"/>
        <family val="2"/>
      </rPr>
      <t>:</t>
    </r>
    <r>
      <rPr>
        <sz val="12"/>
        <color rgb="FF098658"/>
        <rFont val="Menlo"/>
        <family val="2"/>
      </rPr>
      <t>0.04507</t>
    </r>
    <r>
      <rPr>
        <sz val="12"/>
        <color rgb="FF3B3B3B"/>
        <rFont val="Menlo"/>
        <family val="2"/>
      </rPr>
      <t>,</t>
    </r>
  </si>
  <si>
    <r>
      <t>"trnaphe_c"</t>
    </r>
    <r>
      <rPr>
        <sz val="12"/>
        <color rgb="FF3B3B3B"/>
        <rFont val="Menlo"/>
        <family val="2"/>
      </rPr>
      <t>:</t>
    </r>
    <r>
      <rPr>
        <sz val="12"/>
        <color rgb="FF098658"/>
        <rFont val="Menlo"/>
        <family val="2"/>
      </rPr>
      <t>0.148651</t>
    </r>
    <r>
      <rPr>
        <sz val="12"/>
        <color rgb="FF3B3B3B"/>
        <rFont val="Menlo"/>
        <family val="2"/>
      </rPr>
      <t>,</t>
    </r>
  </si>
  <si>
    <r>
      <t>"trnapro_c"</t>
    </r>
    <r>
      <rPr>
        <sz val="12"/>
        <color rgb="FF3B3B3B"/>
        <rFont val="Menlo"/>
        <family val="2"/>
      </rPr>
      <t>:</t>
    </r>
    <r>
      <rPr>
        <sz val="12"/>
        <color rgb="FF098658"/>
        <rFont val="Menlo"/>
        <family val="2"/>
      </rPr>
      <t>0.166837</t>
    </r>
    <r>
      <rPr>
        <sz val="12"/>
        <color rgb="FF3B3B3B"/>
        <rFont val="Menlo"/>
        <family val="2"/>
      </rPr>
      <t>,</t>
    </r>
  </si>
  <si>
    <r>
      <t>"trnaser_c"</t>
    </r>
    <r>
      <rPr>
        <sz val="12"/>
        <color rgb="FF3B3B3B"/>
        <rFont val="Menlo"/>
        <family val="2"/>
      </rPr>
      <t>:</t>
    </r>
    <r>
      <rPr>
        <sz val="12"/>
        <color rgb="FF098658"/>
        <rFont val="Menlo"/>
        <family val="2"/>
      </rPr>
      <t>0.21072</t>
    </r>
    <r>
      <rPr>
        <sz val="12"/>
        <color rgb="FF3B3B3B"/>
        <rFont val="Menlo"/>
        <family val="2"/>
      </rPr>
      <t>,</t>
    </r>
  </si>
  <si>
    <r>
      <t>"trnathr_c"</t>
    </r>
    <r>
      <rPr>
        <sz val="12"/>
        <color rgb="FF3B3B3B"/>
        <rFont val="Menlo"/>
        <family val="2"/>
      </rPr>
      <t>:</t>
    </r>
    <r>
      <rPr>
        <sz val="12"/>
        <color rgb="FF098658"/>
        <rFont val="Menlo"/>
        <family val="2"/>
      </rPr>
      <t>0.220209</t>
    </r>
    <r>
      <rPr>
        <sz val="12"/>
        <color rgb="FF3B3B3B"/>
        <rFont val="Menlo"/>
        <family val="2"/>
      </rPr>
      <t>,</t>
    </r>
  </si>
  <si>
    <r>
      <t>"trnatrp_c"</t>
    </r>
    <r>
      <rPr>
        <sz val="12"/>
        <color rgb="FF3B3B3B"/>
        <rFont val="Menlo"/>
        <family val="2"/>
      </rPr>
      <t>:</t>
    </r>
    <r>
      <rPr>
        <sz val="12"/>
        <color rgb="FF098658"/>
        <rFont val="Menlo"/>
        <family val="2"/>
      </rPr>
      <t>0.025698</t>
    </r>
    <r>
      <rPr>
        <sz val="12"/>
        <color rgb="FF3B3B3B"/>
        <rFont val="Menlo"/>
        <family val="2"/>
      </rPr>
      <t>,</t>
    </r>
  </si>
  <si>
    <r>
      <t>"trnatyr_c"</t>
    </r>
    <r>
      <rPr>
        <sz val="12"/>
        <color rgb="FF3B3B3B"/>
        <rFont val="Menlo"/>
        <family val="2"/>
      </rPr>
      <t>:</t>
    </r>
    <r>
      <rPr>
        <sz val="12"/>
        <color rgb="FF098658"/>
        <rFont val="Menlo"/>
        <family val="2"/>
      </rPr>
      <t>0.077488</t>
    </r>
    <r>
      <rPr>
        <sz val="12"/>
        <color rgb="FF3B3B3B"/>
        <rFont val="Menlo"/>
        <family val="2"/>
      </rPr>
      <t>,</t>
    </r>
  </si>
  <si>
    <r>
      <t>"trnaval_c"</t>
    </r>
    <r>
      <rPr>
        <sz val="12"/>
        <color rgb="FF3B3B3B"/>
        <rFont val="Menlo"/>
        <family val="2"/>
      </rPr>
      <t>:</t>
    </r>
    <r>
      <rPr>
        <sz val="12"/>
        <color rgb="FF098658"/>
        <rFont val="Menlo"/>
        <family val="2"/>
      </rPr>
      <t>0.28979</t>
    </r>
    <r>
      <rPr>
        <sz val="12"/>
        <color rgb="FF3B3B3B"/>
        <rFont val="Menlo"/>
        <family val="2"/>
      </rPr>
      <t>,</t>
    </r>
  </si>
  <si>
    <r>
      <t>"trptrna_c"</t>
    </r>
    <r>
      <rPr>
        <sz val="12"/>
        <color rgb="FF3B3B3B"/>
        <rFont val="Menlo"/>
        <family val="2"/>
      </rPr>
      <t>:</t>
    </r>
    <r>
      <rPr>
        <sz val="12"/>
        <color rgb="FF098658"/>
        <rFont val="Menlo"/>
        <family val="2"/>
      </rPr>
      <t>-0.025698</t>
    </r>
    <r>
      <rPr>
        <sz val="12"/>
        <color rgb="FF3B3B3B"/>
        <rFont val="Menlo"/>
        <family val="2"/>
      </rPr>
      <t>,</t>
    </r>
  </si>
  <si>
    <r>
      <t>"ttcosa_c"</t>
    </r>
    <r>
      <rPr>
        <sz val="12"/>
        <color rgb="FF3B3B3B"/>
        <rFont val="Menlo"/>
        <family val="2"/>
      </rPr>
      <t>:</t>
    </r>
    <r>
      <rPr>
        <sz val="12"/>
        <color rgb="FF098658"/>
        <rFont val="Menlo"/>
        <family val="2"/>
      </rPr>
      <t>-0.000252</t>
    </r>
    <r>
      <rPr>
        <sz val="12"/>
        <color rgb="FF3B3B3B"/>
        <rFont val="Menlo"/>
        <family val="2"/>
      </rPr>
      <t>,</t>
    </r>
  </si>
  <si>
    <r>
      <t>"tyrtrna_c"</t>
    </r>
    <r>
      <rPr>
        <sz val="12"/>
        <color rgb="FF3B3B3B"/>
        <rFont val="Menlo"/>
        <family val="2"/>
      </rPr>
      <t>:</t>
    </r>
    <r>
      <rPr>
        <sz val="12"/>
        <color rgb="FF098658"/>
        <rFont val="Menlo"/>
        <family val="2"/>
      </rPr>
      <t>-0.077488</t>
    </r>
    <r>
      <rPr>
        <sz val="12"/>
        <color rgb="FF3B3B3B"/>
        <rFont val="Menlo"/>
        <family val="2"/>
      </rPr>
      <t>,</t>
    </r>
  </si>
  <si>
    <r>
      <t>"valtrna_c"</t>
    </r>
    <r>
      <rPr>
        <sz val="12"/>
        <color rgb="FF3B3B3B"/>
        <rFont val="Menlo"/>
        <family val="2"/>
      </rPr>
      <t>:</t>
    </r>
    <r>
      <rPr>
        <sz val="12"/>
        <color rgb="FF098658"/>
        <rFont val="Menlo"/>
        <family val="2"/>
      </rPr>
      <t>-0.28979</t>
    </r>
    <r>
      <rPr>
        <sz val="12"/>
        <color rgb="FF3B3B3B"/>
        <rFont val="Menlo"/>
        <family val="2"/>
      </rPr>
      <t>,</t>
    </r>
  </si>
  <si>
    <r>
      <t>"zn2_c"</t>
    </r>
    <r>
      <rPr>
        <sz val="12"/>
        <color rgb="FF3B3B3B"/>
        <rFont val="Menlo"/>
        <family val="2"/>
      </rPr>
      <t>:</t>
    </r>
    <r>
      <rPr>
        <sz val="12"/>
        <color rgb="FF098658"/>
        <rFont val="Menlo"/>
        <family val="2"/>
      </rPr>
      <t>-0.001576</t>
    </r>
  </si>
  <si>
    <r>
      <t>"atp_c"</t>
    </r>
    <r>
      <rPr>
        <sz val="12"/>
        <color rgb="FF3B3B3B"/>
        <rFont val="Menlo"/>
        <family val="2"/>
      </rPr>
      <t>:</t>
    </r>
    <r>
      <rPr>
        <sz val="12"/>
        <color rgb="FF098658"/>
        <rFont val="Menlo"/>
        <family val="2"/>
      </rPr>
      <t>-187.181502</t>
    </r>
    <r>
      <rPr>
        <sz val="12"/>
        <color rgb="FF3B3B3B"/>
        <rFont val="Menlo"/>
        <family val="2"/>
      </rPr>
      <t>,</t>
    </r>
  </si>
  <si>
    <r>
      <t>"ctp_c"</t>
    </r>
    <r>
      <rPr>
        <sz val="12"/>
        <color rgb="FF3B3B3B"/>
        <rFont val="Menlo"/>
        <family val="2"/>
      </rPr>
      <t>:</t>
    </r>
    <r>
      <rPr>
        <sz val="12"/>
        <color rgb="FF098658"/>
        <rFont val="Menlo"/>
        <family val="2"/>
      </rPr>
      <t>-0.070532</t>
    </r>
    <r>
      <rPr>
        <sz val="12"/>
        <color rgb="FF3B3B3B"/>
        <rFont val="Menlo"/>
        <family val="2"/>
      </rPr>
      <t>,</t>
    </r>
  </si>
  <si>
    <r>
      <t>"gtp_c"</t>
    </r>
    <r>
      <rPr>
        <sz val="12"/>
        <color rgb="FF3B3B3B"/>
        <rFont val="Menlo"/>
        <family val="2"/>
      </rPr>
      <t>:</t>
    </r>
    <r>
      <rPr>
        <sz val="12"/>
        <color rgb="FF098658"/>
        <rFont val="Menlo"/>
        <family val="2"/>
      </rPr>
      <t>-0.061801</t>
    </r>
    <r>
      <rPr>
        <sz val="12"/>
        <color rgb="FF3B3B3B"/>
        <rFont val="Menlo"/>
        <family val="2"/>
      </rPr>
      <t>,</t>
    </r>
  </si>
  <si>
    <r>
      <t>"pi_c"</t>
    </r>
    <r>
      <rPr>
        <sz val="12"/>
        <color rgb="FF3B3B3B"/>
        <rFont val="Menlo"/>
        <family val="2"/>
      </rPr>
      <t>:</t>
    </r>
    <r>
      <rPr>
        <sz val="12"/>
        <color rgb="FF098658"/>
        <rFont val="Menlo"/>
        <family val="2"/>
      </rPr>
      <t>187.03544</t>
    </r>
    <r>
      <rPr>
        <sz val="12"/>
        <color rgb="FF3B3B3B"/>
        <rFont val="Menlo"/>
        <family val="2"/>
      </rPr>
      <t>,</t>
    </r>
  </si>
  <si>
    <r>
      <t>"ppi_c"</t>
    </r>
    <r>
      <rPr>
        <sz val="12"/>
        <color rgb="FF3B3B3B"/>
        <rFont val="Menlo"/>
        <family val="2"/>
      </rPr>
      <t>:</t>
    </r>
    <r>
      <rPr>
        <sz val="12"/>
        <color rgb="FF098658"/>
        <rFont val="Menlo"/>
        <family val="2"/>
      </rPr>
      <t>0.24605</t>
    </r>
    <r>
      <rPr>
        <sz val="12"/>
        <color rgb="FF3B3B3B"/>
        <rFont val="Menlo"/>
        <family val="2"/>
      </rPr>
      <t>,</t>
    </r>
  </si>
  <si>
    <r>
      <t>"utp_c"</t>
    </r>
    <r>
      <rPr>
        <sz val="12"/>
        <color rgb="FF3B3B3B"/>
        <rFont val="Menlo"/>
        <family val="2"/>
      </rPr>
      <t>:</t>
    </r>
    <r>
      <rPr>
        <sz val="12"/>
        <color rgb="FF098658"/>
        <rFont val="Menlo"/>
        <family val="2"/>
      </rPr>
      <t>-0.036972</t>
    </r>
    <r>
      <rPr>
        <sz val="12"/>
        <color rgb="FF3B3B3B"/>
        <rFont val="Menlo"/>
        <family val="2"/>
      </rPr>
      <t>,</t>
    </r>
  </si>
  <si>
    <t>Biomass MW (g/mmol, should be 1 at the last step)</t>
  </si>
  <si>
    <t>pre-determined coeffs</t>
  </si>
  <si>
    <t>original coeffs from input</t>
  </si>
  <si>
    <t>Deriving RBA biomass synthesis network (retained in case the older format is needed)</t>
  </si>
  <si>
    <t>new GSM coeffs</t>
  </si>
  <si>
    <t>RBA stoich. In JSON form w/o additions from "new GSM coeffs" (e.g., ATPM fixes, adding ppi, etc.; copy below)</t>
  </si>
  <si>
    <r>
      <t>"13BDglucan_c"</t>
    </r>
    <r>
      <rPr>
        <sz val="12"/>
        <color rgb="FF3B3B3B"/>
        <rFont val="Menlo"/>
        <family val="2"/>
      </rPr>
      <t>:</t>
    </r>
    <r>
      <rPr>
        <sz val="12"/>
        <color rgb="FF098658"/>
        <rFont val="Menlo"/>
        <family val="2"/>
      </rPr>
      <t>-0.383841</t>
    </r>
    <r>
      <rPr>
        <sz val="12"/>
        <color rgb="FF3B3B3B"/>
        <rFont val="Menlo"/>
        <family val="2"/>
      </rPr>
      <t>,</t>
    </r>
  </si>
  <si>
    <r>
      <t>"16BDglucan_en"</t>
    </r>
    <r>
      <rPr>
        <sz val="12"/>
        <color rgb="FF3B3B3B"/>
        <rFont val="Menlo"/>
        <family val="2"/>
      </rPr>
      <t>:</t>
    </r>
    <r>
      <rPr>
        <sz val="12"/>
        <color rgb="FF098658"/>
        <rFont val="Menlo"/>
        <family val="2"/>
      </rPr>
      <t>-0.101011</t>
    </r>
    <r>
      <rPr>
        <sz val="12"/>
        <color rgb="FF3B3B3B"/>
        <rFont val="Menlo"/>
        <family val="2"/>
      </rPr>
      <t>,</t>
    </r>
  </si>
  <si>
    <r>
      <t>"G00006_c"</t>
    </r>
    <r>
      <rPr>
        <sz val="12"/>
        <color rgb="FF3B3B3B"/>
        <rFont val="Menlo"/>
        <family val="2"/>
      </rPr>
      <t>:</t>
    </r>
    <r>
      <rPr>
        <sz val="12"/>
        <color rgb="FF098658"/>
        <rFont val="Menlo"/>
        <family val="2"/>
      </rPr>
      <t>-0.005671</t>
    </r>
    <r>
      <rPr>
        <sz val="12"/>
        <color rgb="FF3B3B3B"/>
        <rFont val="Menlo"/>
        <family val="2"/>
      </rPr>
      <t>,</t>
    </r>
  </si>
  <si>
    <r>
      <t>"adp_c"</t>
    </r>
    <r>
      <rPr>
        <sz val="12"/>
        <color rgb="FF3B3B3B"/>
        <rFont val="Menlo"/>
        <family val="2"/>
      </rPr>
      <t>:</t>
    </r>
    <r>
      <rPr>
        <sz val="12"/>
        <color rgb="FF098658"/>
        <rFont val="Menlo"/>
        <family val="2"/>
      </rPr>
      <t>189.454734</t>
    </r>
    <r>
      <rPr>
        <sz val="12"/>
        <color rgb="FF3B3B3B"/>
        <rFont val="Menlo"/>
        <family val="2"/>
      </rPr>
      <t>,</t>
    </r>
  </si>
  <si>
    <r>
      <t>"alatrna_c"</t>
    </r>
    <r>
      <rPr>
        <sz val="12"/>
        <color rgb="FF3B3B3B"/>
        <rFont val="Menlo"/>
        <family val="2"/>
      </rPr>
      <t>:</t>
    </r>
    <r>
      <rPr>
        <sz val="12"/>
        <color rgb="FF098658"/>
        <rFont val="Menlo"/>
        <family val="2"/>
      </rPr>
      <t>-0.273846</t>
    </r>
    <r>
      <rPr>
        <sz val="12"/>
        <color rgb="FF3B3B3B"/>
        <rFont val="Menlo"/>
        <family val="2"/>
      </rPr>
      <t>,</t>
    </r>
  </si>
  <si>
    <r>
      <t>"argtrna_c"</t>
    </r>
    <r>
      <rPr>
        <sz val="12"/>
        <color rgb="FF3B3B3B"/>
        <rFont val="Menlo"/>
        <family val="2"/>
      </rPr>
      <t>:</t>
    </r>
    <r>
      <rPr>
        <sz val="12"/>
        <color rgb="FF098658"/>
        <rFont val="Menlo"/>
        <family val="2"/>
      </rPr>
      <t>-0.108193</t>
    </r>
    <r>
      <rPr>
        <sz val="12"/>
        <color rgb="FF3B3B3B"/>
        <rFont val="Menlo"/>
        <family val="2"/>
      </rPr>
      <t>,</t>
    </r>
  </si>
  <si>
    <r>
      <t>"asntrna_c"</t>
    </r>
    <r>
      <rPr>
        <sz val="12"/>
        <color rgb="FF3B3B3B"/>
        <rFont val="Menlo"/>
        <family val="2"/>
      </rPr>
      <t>:</t>
    </r>
    <r>
      <rPr>
        <sz val="12"/>
        <color rgb="FF098658"/>
        <rFont val="Menlo"/>
        <family val="2"/>
      </rPr>
      <t>-0.130056</t>
    </r>
    <r>
      <rPr>
        <sz val="12"/>
        <color rgb="FF3B3B3B"/>
        <rFont val="Menlo"/>
        <family val="2"/>
      </rPr>
      <t>,</t>
    </r>
  </si>
  <si>
    <r>
      <t>"asptrna_c"</t>
    </r>
    <r>
      <rPr>
        <sz val="12"/>
        <color rgb="FF3B3B3B"/>
        <rFont val="Menlo"/>
        <family val="2"/>
      </rPr>
      <t>:</t>
    </r>
    <r>
      <rPr>
        <sz val="12"/>
        <color rgb="FF098658"/>
        <rFont val="Menlo"/>
        <family val="2"/>
      </rPr>
      <t>-0.130056</t>
    </r>
    <r>
      <rPr>
        <sz val="12"/>
        <color rgb="FF3B3B3B"/>
        <rFont val="Menlo"/>
        <family val="2"/>
      </rPr>
      <t>,</t>
    </r>
  </si>
  <si>
    <r>
      <t>"atp_c"</t>
    </r>
    <r>
      <rPr>
        <sz val="12"/>
        <color rgb="FF3B3B3B"/>
        <rFont val="Menlo"/>
        <family val="2"/>
      </rPr>
      <t>:</t>
    </r>
    <r>
      <rPr>
        <sz val="12"/>
        <color rgb="FF098658"/>
        <rFont val="Menlo"/>
        <family val="2"/>
      </rPr>
      <t>-189.456335</t>
    </r>
    <r>
      <rPr>
        <sz val="12"/>
        <color rgb="FF3B3B3B"/>
        <rFont val="Menlo"/>
        <family val="2"/>
      </rPr>
      <t>,</t>
    </r>
  </si>
  <si>
    <r>
      <t>"chtn_c"</t>
    </r>
    <r>
      <rPr>
        <sz val="12"/>
        <color rgb="FF3B3B3B"/>
        <rFont val="Menlo"/>
        <family val="2"/>
      </rPr>
      <t>:</t>
    </r>
    <r>
      <rPr>
        <sz val="12"/>
        <color rgb="FF098658"/>
        <rFont val="Menlo"/>
        <family val="2"/>
      </rPr>
      <t>-0.009075</t>
    </r>
    <r>
      <rPr>
        <sz val="12"/>
        <color rgb="FF3B3B3B"/>
        <rFont val="Menlo"/>
        <family val="2"/>
      </rPr>
      <t>,</t>
    </r>
  </si>
  <si>
    <r>
      <t>"ctp_c"</t>
    </r>
    <r>
      <rPr>
        <sz val="12"/>
        <color rgb="FF3B3B3B"/>
        <rFont val="Menlo"/>
        <family val="2"/>
      </rPr>
      <t>:</t>
    </r>
    <r>
      <rPr>
        <sz val="12"/>
        <color rgb="FF098658"/>
        <rFont val="Menlo"/>
        <family val="2"/>
      </rPr>
      <t>-0.049138</t>
    </r>
    <r>
      <rPr>
        <sz val="12"/>
        <color rgb="FF3B3B3B"/>
        <rFont val="Menlo"/>
        <family val="2"/>
      </rPr>
      <t>,</t>
    </r>
  </si>
  <si>
    <r>
      <t>"cystrna_c"</t>
    </r>
    <r>
      <rPr>
        <sz val="12"/>
        <color rgb="FF3B3B3B"/>
        <rFont val="Menlo"/>
        <family val="2"/>
      </rPr>
      <t>:</t>
    </r>
    <r>
      <rPr>
        <sz val="12"/>
        <color rgb="FF098658"/>
        <rFont val="Menlo"/>
        <family val="2"/>
      </rPr>
      <t>-0.003924</t>
    </r>
    <r>
      <rPr>
        <sz val="12"/>
        <color rgb="FF3B3B3B"/>
        <rFont val="Menlo"/>
        <family val="2"/>
      </rPr>
      <t>,</t>
    </r>
  </si>
  <si>
    <r>
      <t>"datp_c"</t>
    </r>
    <r>
      <rPr>
        <sz val="12"/>
        <color rgb="FF3B3B3B"/>
        <rFont val="Menlo"/>
        <family val="2"/>
      </rPr>
      <t>:</t>
    </r>
    <r>
      <rPr>
        <sz val="12"/>
        <color rgb="FF098658"/>
        <rFont val="Menlo"/>
        <family val="2"/>
      </rPr>
      <t>-0.021281</t>
    </r>
    <r>
      <rPr>
        <sz val="12"/>
        <color rgb="FF3B3B3B"/>
        <rFont val="Menlo"/>
        <family val="2"/>
      </rPr>
      <t>,</t>
    </r>
  </si>
  <si>
    <r>
      <t>"dctp_c"</t>
    </r>
    <r>
      <rPr>
        <sz val="12"/>
        <color rgb="FF3B3B3B"/>
        <rFont val="Menlo"/>
        <family val="2"/>
      </rPr>
      <t>:</t>
    </r>
    <r>
      <rPr>
        <sz val="12"/>
        <color rgb="FF098658"/>
        <rFont val="Menlo"/>
        <family val="2"/>
      </rPr>
      <t>-0.033216</t>
    </r>
    <r>
      <rPr>
        <sz val="12"/>
        <color rgb="FF3B3B3B"/>
        <rFont val="Menlo"/>
        <family val="2"/>
      </rPr>
      <t>,</t>
    </r>
  </si>
  <si>
    <r>
      <t>"dgtp_c"</t>
    </r>
    <r>
      <rPr>
        <sz val="12"/>
        <color rgb="FF3B3B3B"/>
        <rFont val="Menlo"/>
        <family val="2"/>
      </rPr>
      <t>:</t>
    </r>
    <r>
      <rPr>
        <sz val="12"/>
        <color rgb="FF098658"/>
        <rFont val="Menlo"/>
        <family val="2"/>
      </rPr>
      <t>-0.033216</t>
    </r>
    <r>
      <rPr>
        <sz val="12"/>
        <color rgb="FF3B3B3B"/>
        <rFont val="Menlo"/>
        <family val="2"/>
      </rPr>
      <t>,</t>
    </r>
  </si>
  <si>
    <r>
      <t>"docosa_c"</t>
    </r>
    <r>
      <rPr>
        <sz val="12"/>
        <color rgb="FF3B3B3B"/>
        <rFont val="Menlo"/>
        <family val="2"/>
      </rPr>
      <t>:</t>
    </r>
    <r>
      <rPr>
        <sz val="12"/>
        <color rgb="FF098658"/>
        <rFont val="Menlo"/>
        <family val="2"/>
      </rPr>
      <t>-0.000313</t>
    </r>
    <r>
      <rPr>
        <sz val="12"/>
        <color rgb="FF3B3B3B"/>
        <rFont val="Menlo"/>
        <family val="2"/>
      </rPr>
      <t>,</t>
    </r>
  </si>
  <si>
    <r>
      <t>"dttp_c"</t>
    </r>
    <r>
      <rPr>
        <sz val="12"/>
        <color rgb="FF3B3B3B"/>
        <rFont val="Menlo"/>
        <family val="2"/>
      </rPr>
      <t>:</t>
    </r>
    <r>
      <rPr>
        <sz val="12"/>
        <color rgb="FF098658"/>
        <rFont val="Menlo"/>
        <family val="2"/>
      </rPr>
      <t>-0.021281</t>
    </r>
    <r>
      <rPr>
        <sz val="12"/>
        <color rgb="FF3B3B3B"/>
        <rFont val="Menlo"/>
        <family val="2"/>
      </rPr>
      <t>,</t>
    </r>
  </si>
  <si>
    <r>
      <t>"epist_c"</t>
    </r>
    <r>
      <rPr>
        <sz val="12"/>
        <color rgb="FF3B3B3B"/>
        <rFont val="Menlo"/>
        <family val="2"/>
      </rPr>
      <t>:</t>
    </r>
    <r>
      <rPr>
        <sz val="12"/>
        <color rgb="FF098658"/>
        <rFont val="Menlo"/>
        <family val="2"/>
      </rPr>
      <t>-0.791386</t>
    </r>
    <r>
      <rPr>
        <sz val="12"/>
        <color rgb="FF3B3B3B"/>
        <rFont val="Menlo"/>
        <family val="2"/>
      </rPr>
      <t>,</t>
    </r>
  </si>
  <si>
    <r>
      <t>"glntrna_c"</t>
    </r>
    <r>
      <rPr>
        <sz val="12"/>
        <color rgb="FF3B3B3B"/>
        <rFont val="Menlo"/>
        <family val="2"/>
      </rPr>
      <t>:</t>
    </r>
    <r>
      <rPr>
        <sz val="12"/>
        <color rgb="FF098658"/>
        <rFont val="Menlo"/>
        <family val="2"/>
      </rPr>
      <t>-0.216946</t>
    </r>
    <r>
      <rPr>
        <sz val="12"/>
        <color rgb="FF3B3B3B"/>
        <rFont val="Menlo"/>
        <family val="2"/>
      </rPr>
      <t>,</t>
    </r>
  </si>
  <si>
    <r>
      <t>"glutrna_c"</t>
    </r>
    <r>
      <rPr>
        <sz val="12"/>
        <color rgb="FF3B3B3B"/>
        <rFont val="Menlo"/>
        <family val="2"/>
      </rPr>
      <t>:</t>
    </r>
    <r>
      <rPr>
        <sz val="12"/>
        <color rgb="FF098658"/>
        <rFont val="Menlo"/>
        <family val="2"/>
      </rPr>
      <t>-0.216946</t>
    </r>
    <r>
      <rPr>
        <sz val="12"/>
        <color rgb="FF3B3B3B"/>
        <rFont val="Menlo"/>
        <family val="2"/>
      </rPr>
      <t>,</t>
    </r>
  </si>
  <si>
    <r>
      <t>"glytrna_c"</t>
    </r>
    <r>
      <rPr>
        <sz val="12"/>
        <color rgb="FF3B3B3B"/>
        <rFont val="Menlo"/>
        <family val="2"/>
      </rPr>
      <t>:</t>
    </r>
    <r>
      <rPr>
        <sz val="12"/>
        <color rgb="FF098658"/>
        <rFont val="Menlo"/>
        <family val="2"/>
      </rPr>
      <t>-0.24918</t>
    </r>
    <r>
      <rPr>
        <sz val="12"/>
        <color rgb="FF3B3B3B"/>
        <rFont val="Menlo"/>
        <family val="2"/>
      </rPr>
      <t>,</t>
    </r>
  </si>
  <si>
    <r>
      <t>"gpianchorSC_r"</t>
    </r>
    <r>
      <rPr>
        <sz val="12"/>
        <color rgb="FF3B3B3B"/>
        <rFont val="Menlo"/>
        <family val="2"/>
      </rPr>
      <t>:</t>
    </r>
    <r>
      <rPr>
        <sz val="12"/>
        <color rgb="FF098658"/>
        <rFont val="Menlo"/>
        <family val="2"/>
      </rPr>
      <t>-0.00652</t>
    </r>
    <r>
      <rPr>
        <sz val="12"/>
        <color rgb="FF3B3B3B"/>
        <rFont val="Menlo"/>
        <family val="2"/>
      </rPr>
      <t>,</t>
    </r>
  </si>
  <si>
    <r>
      <t>"gtp_c"</t>
    </r>
    <r>
      <rPr>
        <sz val="12"/>
        <color rgb="FF3B3B3B"/>
        <rFont val="Menlo"/>
        <family val="2"/>
      </rPr>
      <t>:</t>
    </r>
    <r>
      <rPr>
        <sz val="12"/>
        <color rgb="FF098658"/>
        <rFont val="Menlo"/>
        <family val="2"/>
      </rPr>
      <t>-0.043055</t>
    </r>
    <r>
      <rPr>
        <sz val="12"/>
        <color rgb="FF3B3B3B"/>
        <rFont val="Menlo"/>
        <family val="2"/>
      </rPr>
      <t>,</t>
    </r>
  </si>
  <si>
    <r>
      <t>"h2o_c"</t>
    </r>
    <r>
      <rPr>
        <sz val="12"/>
        <color rgb="FF3B3B3B"/>
        <rFont val="Menlo"/>
        <family val="2"/>
      </rPr>
      <t>:</t>
    </r>
    <r>
      <rPr>
        <sz val="12"/>
        <color rgb="FF098658"/>
        <rFont val="Menlo"/>
        <family val="2"/>
      </rPr>
      <t>-189.454734</t>
    </r>
    <r>
      <rPr>
        <sz val="12"/>
        <color rgb="FF3B3B3B"/>
        <rFont val="Menlo"/>
        <family val="2"/>
      </rPr>
      <t>,</t>
    </r>
  </si>
  <si>
    <r>
      <t>"h_c"</t>
    </r>
    <r>
      <rPr>
        <sz val="12"/>
        <color rgb="FF3B3B3B"/>
        <rFont val="Menlo"/>
        <family val="2"/>
      </rPr>
      <t>:</t>
    </r>
    <r>
      <rPr>
        <sz val="12"/>
        <color rgb="FF098658"/>
        <rFont val="Menlo"/>
        <family val="2"/>
      </rPr>
      <t>189.454734</t>
    </r>
    <r>
      <rPr>
        <sz val="12"/>
        <color rgb="FF3B3B3B"/>
        <rFont val="Menlo"/>
        <family val="2"/>
      </rPr>
      <t>,</t>
    </r>
  </si>
  <si>
    <r>
      <t>"hdca_c"</t>
    </r>
    <r>
      <rPr>
        <sz val="12"/>
        <color rgb="FF3B3B3B"/>
        <rFont val="Menlo"/>
        <family val="2"/>
      </rPr>
      <t>:</t>
    </r>
    <r>
      <rPr>
        <sz val="12"/>
        <color rgb="FF098658"/>
        <rFont val="Menlo"/>
        <family val="2"/>
      </rPr>
      <t>-0.003776</t>
    </r>
    <r>
      <rPr>
        <sz val="12"/>
        <color rgb="FF3B3B3B"/>
        <rFont val="Menlo"/>
        <family val="2"/>
      </rPr>
      <t>,</t>
    </r>
  </si>
  <si>
    <r>
      <t>"histrna_c"</t>
    </r>
    <r>
      <rPr>
        <sz val="12"/>
        <color rgb="FF3B3B3B"/>
        <rFont val="Menlo"/>
        <family val="2"/>
      </rPr>
      <t>:</t>
    </r>
    <r>
      <rPr>
        <sz val="12"/>
        <color rgb="FF098658"/>
        <rFont val="Menlo"/>
        <family val="2"/>
      </rPr>
      <t>-0.054096</t>
    </r>
    <r>
      <rPr>
        <sz val="12"/>
        <color rgb="FF3B3B3B"/>
        <rFont val="Menlo"/>
        <family val="2"/>
      </rPr>
      <t>,</t>
    </r>
  </si>
  <si>
    <r>
      <t>"iletrna_c"</t>
    </r>
    <r>
      <rPr>
        <sz val="12"/>
        <color rgb="FF3B3B3B"/>
        <rFont val="Menlo"/>
        <family val="2"/>
      </rPr>
      <t>:</t>
    </r>
    <r>
      <rPr>
        <sz val="12"/>
        <color rgb="FF098658"/>
        <rFont val="Menlo"/>
        <family val="2"/>
      </rPr>
      <t>-0.165092</t>
    </r>
    <r>
      <rPr>
        <sz val="12"/>
        <color rgb="FF3B3B3B"/>
        <rFont val="Menlo"/>
        <family val="2"/>
      </rPr>
      <t>,</t>
    </r>
  </si>
  <si>
    <r>
      <t>"ipc_g"</t>
    </r>
    <r>
      <rPr>
        <sz val="12"/>
        <color rgb="FF3B3B3B"/>
        <rFont val="Menlo"/>
        <family val="2"/>
      </rPr>
      <t>:</t>
    </r>
    <r>
      <rPr>
        <sz val="12"/>
        <color rgb="FF098658"/>
        <rFont val="Menlo"/>
        <family val="2"/>
      </rPr>
      <t>-0.022537</t>
    </r>
    <r>
      <rPr>
        <sz val="12"/>
        <color rgb="FF3B3B3B"/>
        <rFont val="Menlo"/>
        <family val="2"/>
      </rPr>
      <t>,</t>
    </r>
  </si>
  <si>
    <r>
      <t>"leutrna_c"</t>
    </r>
    <r>
      <rPr>
        <sz val="12"/>
        <color rgb="FF3B3B3B"/>
        <rFont val="Menlo"/>
        <family val="2"/>
      </rPr>
      <t>:</t>
    </r>
    <r>
      <rPr>
        <sz val="12"/>
        <color rgb="FF098658"/>
        <rFont val="Menlo"/>
        <family val="2"/>
      </rPr>
      <t>-0.224514</t>
    </r>
    <r>
      <rPr>
        <sz val="12"/>
        <color rgb="FF3B3B3B"/>
        <rFont val="Menlo"/>
        <family val="2"/>
      </rPr>
      <t>,</t>
    </r>
  </si>
  <si>
    <r>
      <t>"linoea_c"</t>
    </r>
    <r>
      <rPr>
        <sz val="12"/>
        <color rgb="FF3B3B3B"/>
        <rFont val="Menlo"/>
        <family val="2"/>
      </rPr>
      <t>:</t>
    </r>
    <r>
      <rPr>
        <sz val="12"/>
        <color rgb="FF098658"/>
        <rFont val="Menlo"/>
        <family val="2"/>
      </rPr>
      <t>-0.004771</t>
    </r>
    <r>
      <rPr>
        <sz val="12"/>
        <color rgb="FF3B3B3B"/>
        <rFont val="Menlo"/>
        <family val="2"/>
      </rPr>
      <t>,</t>
    </r>
  </si>
  <si>
    <r>
      <t>"linolen_c"</t>
    </r>
    <r>
      <rPr>
        <sz val="12"/>
        <color rgb="FF3B3B3B"/>
        <rFont val="Menlo"/>
        <family val="2"/>
      </rPr>
      <t>:</t>
    </r>
    <r>
      <rPr>
        <sz val="12"/>
        <color rgb="FF098658"/>
        <rFont val="Menlo"/>
        <family val="2"/>
      </rPr>
      <t>-0.001887</t>
    </r>
    <r>
      <rPr>
        <sz val="12"/>
        <color rgb="FF3B3B3B"/>
        <rFont val="Menlo"/>
        <family val="2"/>
      </rPr>
      <t>,</t>
    </r>
  </si>
  <si>
    <r>
      <t>"lystrna_c"</t>
    </r>
    <r>
      <rPr>
        <sz val="12"/>
        <color rgb="FF3B3B3B"/>
        <rFont val="Menlo"/>
        <family val="2"/>
      </rPr>
      <t>:</t>
    </r>
    <r>
      <rPr>
        <sz val="12"/>
        <color rgb="FF098658"/>
        <rFont val="Menlo"/>
        <family val="2"/>
      </rPr>
      <t>-0.184152</t>
    </r>
    <r>
      <rPr>
        <sz val="12"/>
        <color rgb="FF3B3B3B"/>
        <rFont val="Menlo"/>
        <family val="2"/>
      </rPr>
      <t>,</t>
    </r>
  </si>
  <si>
    <r>
      <t>"mettrna_c"</t>
    </r>
    <r>
      <rPr>
        <sz val="12"/>
        <color rgb="FF3B3B3B"/>
        <rFont val="Menlo"/>
        <family val="2"/>
      </rPr>
      <t>:</t>
    </r>
    <r>
      <rPr>
        <sz val="12"/>
        <color rgb="FF098658"/>
        <rFont val="Menlo"/>
        <family val="2"/>
      </rPr>
      <t>-0.031953</t>
    </r>
    <r>
      <rPr>
        <sz val="12"/>
        <color rgb="FF3B3B3B"/>
        <rFont val="Menlo"/>
        <family val="2"/>
      </rPr>
      <t>,</t>
    </r>
  </si>
  <si>
    <r>
      <t>"ocdca_c"</t>
    </r>
    <r>
      <rPr>
        <sz val="12"/>
        <color rgb="FF3B3B3B"/>
        <rFont val="Menlo"/>
        <family val="2"/>
      </rPr>
      <t>:</t>
    </r>
    <r>
      <rPr>
        <sz val="12"/>
        <color rgb="FF098658"/>
        <rFont val="Menlo"/>
        <family val="2"/>
      </rPr>
      <t>-0.003208</t>
    </r>
    <r>
      <rPr>
        <sz val="12"/>
        <color rgb="FF3B3B3B"/>
        <rFont val="Menlo"/>
        <family val="2"/>
      </rPr>
      <t>,</t>
    </r>
  </si>
  <si>
    <r>
      <t>"ocdcea_c"</t>
    </r>
    <r>
      <rPr>
        <sz val="12"/>
        <color rgb="FF3B3B3B"/>
        <rFont val="Menlo"/>
        <family val="2"/>
      </rPr>
      <t>:</t>
    </r>
    <r>
      <rPr>
        <sz val="12"/>
        <color rgb="FF098658"/>
        <rFont val="Menlo"/>
        <family val="2"/>
      </rPr>
      <t>-0.009807</t>
    </r>
    <r>
      <rPr>
        <sz val="12"/>
        <color rgb="FF3B3B3B"/>
        <rFont val="Menlo"/>
        <family val="2"/>
      </rPr>
      <t>,</t>
    </r>
  </si>
  <si>
    <r>
      <t>"oglycanSC_g"</t>
    </r>
    <r>
      <rPr>
        <sz val="12"/>
        <color rgb="FF3B3B3B"/>
        <rFont val="Menlo"/>
        <family val="2"/>
      </rPr>
      <t>:</t>
    </r>
    <r>
      <rPr>
        <sz val="12"/>
        <color rgb="FF098658"/>
        <rFont val="Menlo"/>
        <family val="2"/>
      </rPr>
      <t>-0.018322</t>
    </r>
    <r>
      <rPr>
        <sz val="12"/>
        <color rgb="FF3B3B3B"/>
        <rFont val="Menlo"/>
        <family val="2"/>
      </rPr>
      <t>,</t>
    </r>
  </si>
  <si>
    <r>
      <t>"pail_c"</t>
    </r>
    <r>
      <rPr>
        <sz val="12"/>
        <color rgb="FF3B3B3B"/>
        <rFont val="Menlo"/>
        <family val="2"/>
      </rPr>
      <t>:</t>
    </r>
    <r>
      <rPr>
        <sz val="12"/>
        <color rgb="FF098658"/>
        <rFont val="Menlo"/>
        <family val="2"/>
      </rPr>
      <t>-0.006587</t>
    </r>
    <r>
      <rPr>
        <sz val="12"/>
        <color rgb="FF3B3B3B"/>
        <rFont val="Menlo"/>
        <family val="2"/>
      </rPr>
      <t>,</t>
    </r>
  </si>
  <si>
    <r>
      <t>"pc_c"</t>
    </r>
    <r>
      <rPr>
        <sz val="12"/>
        <color rgb="FF3B3B3B"/>
        <rFont val="Menlo"/>
        <family val="2"/>
      </rPr>
      <t>:</t>
    </r>
    <r>
      <rPr>
        <sz val="12"/>
        <color rgb="FF098658"/>
        <rFont val="Menlo"/>
        <family val="2"/>
      </rPr>
      <t>-0.012365</t>
    </r>
    <r>
      <rPr>
        <sz val="12"/>
        <color rgb="FF3B3B3B"/>
        <rFont val="Menlo"/>
        <family val="2"/>
      </rPr>
      <t>,</t>
    </r>
  </si>
  <si>
    <r>
      <t>"pe_c"</t>
    </r>
    <r>
      <rPr>
        <sz val="12"/>
        <color rgb="FF3B3B3B"/>
        <rFont val="Menlo"/>
        <family val="2"/>
      </rPr>
      <t>:</t>
    </r>
    <r>
      <rPr>
        <sz val="12"/>
        <color rgb="FF098658"/>
        <rFont val="Menlo"/>
        <family val="2"/>
      </rPr>
      <t>-0.002987</t>
    </r>
    <r>
      <rPr>
        <sz val="12"/>
        <color rgb="FF3B3B3B"/>
        <rFont val="Menlo"/>
        <family val="2"/>
      </rPr>
      <t>,</t>
    </r>
  </si>
  <si>
    <r>
      <t>"phetrna_c"</t>
    </r>
    <r>
      <rPr>
        <sz val="12"/>
        <color rgb="FF3B3B3B"/>
        <rFont val="Menlo"/>
        <family val="2"/>
      </rPr>
      <t>:</t>
    </r>
    <r>
      <rPr>
        <sz val="12"/>
        <color rgb="FF098658"/>
        <rFont val="Menlo"/>
        <family val="2"/>
      </rPr>
      <t>-0.10539</t>
    </r>
    <r>
      <rPr>
        <sz val="12"/>
        <color rgb="FF3B3B3B"/>
        <rFont val="Menlo"/>
        <family val="2"/>
      </rPr>
      <t>,</t>
    </r>
  </si>
  <si>
    <r>
      <t>"pi_c"</t>
    </r>
    <r>
      <rPr>
        <sz val="12"/>
        <color rgb="FF3B3B3B"/>
        <rFont val="Menlo"/>
        <family val="2"/>
      </rPr>
      <t>:</t>
    </r>
    <r>
      <rPr>
        <sz val="12"/>
        <color rgb="FF098658"/>
        <rFont val="Menlo"/>
        <family val="2"/>
      </rPr>
      <t>189.349079</t>
    </r>
    <r>
      <rPr>
        <sz val="12"/>
        <color rgb="FF3B3B3B"/>
        <rFont val="Menlo"/>
        <family val="2"/>
      </rPr>
      <t>,</t>
    </r>
  </si>
  <si>
    <r>
      <t>"ppi_c"</t>
    </r>
    <r>
      <rPr>
        <sz val="12"/>
        <color rgb="FF3B3B3B"/>
        <rFont val="Menlo"/>
        <family val="2"/>
      </rPr>
      <t>:</t>
    </r>
    <r>
      <rPr>
        <sz val="12"/>
        <color rgb="FF098658"/>
        <rFont val="Menlo"/>
        <family val="2"/>
      </rPr>
      <t>0.255097</t>
    </r>
    <r>
      <rPr>
        <sz val="12"/>
        <color rgb="FF3B3B3B"/>
        <rFont val="Menlo"/>
        <family val="2"/>
      </rPr>
      <t>,</t>
    </r>
  </si>
  <si>
    <r>
      <t>"protrna_c"</t>
    </r>
    <r>
      <rPr>
        <sz val="12"/>
        <color rgb="FF3B3B3B"/>
        <rFont val="Menlo"/>
        <family val="2"/>
      </rPr>
      <t>:</t>
    </r>
    <r>
      <rPr>
        <sz val="12"/>
        <color rgb="FF098658"/>
        <rFont val="Menlo"/>
        <family val="2"/>
      </rPr>
      <t>-0.118283</t>
    </r>
    <r>
      <rPr>
        <sz val="12"/>
        <color rgb="FF3B3B3B"/>
        <rFont val="Menlo"/>
        <family val="2"/>
      </rPr>
      <t>,</t>
    </r>
  </si>
  <si>
    <r>
      <t>"ps_c"</t>
    </r>
    <r>
      <rPr>
        <sz val="12"/>
        <color rgb="FF3B3B3B"/>
        <rFont val="Menlo"/>
        <family val="2"/>
      </rPr>
      <t>:</t>
    </r>
    <r>
      <rPr>
        <sz val="12"/>
        <color rgb="FF098658"/>
        <rFont val="Menlo"/>
        <family val="2"/>
      </rPr>
      <t>-0.001601</t>
    </r>
    <r>
      <rPr>
        <sz val="12"/>
        <color rgb="FF3B3B3B"/>
        <rFont val="Menlo"/>
        <family val="2"/>
      </rPr>
      <t>,</t>
    </r>
  </si>
  <si>
    <r>
      <t>"sertrna_c"</t>
    </r>
    <r>
      <rPr>
        <sz val="12"/>
        <color rgb="FF3B3B3B"/>
        <rFont val="Menlo"/>
        <family val="2"/>
      </rPr>
      <t>:</t>
    </r>
    <r>
      <rPr>
        <sz val="12"/>
        <color rgb="FF098658"/>
        <rFont val="Menlo"/>
        <family val="2"/>
      </rPr>
      <t>-0.149396</t>
    </r>
    <r>
      <rPr>
        <sz val="12"/>
        <color rgb="FF3B3B3B"/>
        <rFont val="Menlo"/>
        <family val="2"/>
      </rPr>
      <t>,</t>
    </r>
  </si>
  <si>
    <r>
      <t>"tag_c"</t>
    </r>
    <r>
      <rPr>
        <sz val="12"/>
        <color rgb="FF3B3B3B"/>
        <rFont val="Menlo"/>
        <family val="2"/>
      </rPr>
      <t>:</t>
    </r>
    <r>
      <rPr>
        <sz val="12"/>
        <color rgb="FF098658"/>
        <rFont val="Menlo"/>
        <family val="2"/>
      </rPr>
      <t>-0.097911</t>
    </r>
    <r>
      <rPr>
        <sz val="12"/>
        <color rgb="FF3B3B3B"/>
        <rFont val="Menlo"/>
        <family val="2"/>
      </rPr>
      <t>,</t>
    </r>
  </si>
  <si>
    <r>
      <t>"thrtrna_c"</t>
    </r>
    <r>
      <rPr>
        <sz val="12"/>
        <color rgb="FF3B3B3B"/>
        <rFont val="Menlo"/>
        <family val="2"/>
      </rPr>
      <t>:</t>
    </r>
    <r>
      <rPr>
        <sz val="12"/>
        <color rgb="FF098658"/>
        <rFont val="Menlo"/>
        <family val="2"/>
      </rPr>
      <t>-0.156123</t>
    </r>
    <r>
      <rPr>
        <sz val="12"/>
        <color rgb="FF3B3B3B"/>
        <rFont val="Menlo"/>
        <family val="2"/>
      </rPr>
      <t>,</t>
    </r>
  </si>
  <si>
    <r>
      <t>"trnaala_c"</t>
    </r>
    <r>
      <rPr>
        <sz val="12"/>
        <color rgb="FF3B3B3B"/>
        <rFont val="Menlo"/>
        <family val="2"/>
      </rPr>
      <t>:</t>
    </r>
    <r>
      <rPr>
        <sz val="12"/>
        <color rgb="FF098658"/>
        <rFont val="Menlo"/>
        <family val="2"/>
      </rPr>
      <t>0.273846</t>
    </r>
    <r>
      <rPr>
        <sz val="12"/>
        <color rgb="FF3B3B3B"/>
        <rFont val="Menlo"/>
        <family val="2"/>
      </rPr>
      <t>,</t>
    </r>
  </si>
  <si>
    <r>
      <t>"trnaarg_c"</t>
    </r>
    <r>
      <rPr>
        <sz val="12"/>
        <color rgb="FF3B3B3B"/>
        <rFont val="Menlo"/>
        <family val="2"/>
      </rPr>
      <t>:</t>
    </r>
    <r>
      <rPr>
        <sz val="12"/>
        <color rgb="FF098658"/>
        <rFont val="Menlo"/>
        <family val="2"/>
      </rPr>
      <t>0.108193</t>
    </r>
    <r>
      <rPr>
        <sz val="12"/>
        <color rgb="FF3B3B3B"/>
        <rFont val="Menlo"/>
        <family val="2"/>
      </rPr>
      <t>,</t>
    </r>
  </si>
  <si>
    <r>
      <t>"trnaasn_c"</t>
    </r>
    <r>
      <rPr>
        <sz val="12"/>
        <color rgb="FF3B3B3B"/>
        <rFont val="Menlo"/>
        <family val="2"/>
      </rPr>
      <t>:</t>
    </r>
    <r>
      <rPr>
        <sz val="12"/>
        <color rgb="FF098658"/>
        <rFont val="Menlo"/>
        <family val="2"/>
      </rPr>
      <t>0.130056</t>
    </r>
    <r>
      <rPr>
        <sz val="12"/>
        <color rgb="FF3B3B3B"/>
        <rFont val="Menlo"/>
        <family val="2"/>
      </rPr>
      <t>,</t>
    </r>
  </si>
  <si>
    <r>
      <t>"trnaasp_c"</t>
    </r>
    <r>
      <rPr>
        <sz val="12"/>
        <color rgb="FF3B3B3B"/>
        <rFont val="Menlo"/>
        <family val="2"/>
      </rPr>
      <t>:</t>
    </r>
    <r>
      <rPr>
        <sz val="12"/>
        <color rgb="FF098658"/>
        <rFont val="Menlo"/>
        <family val="2"/>
      </rPr>
      <t>0.130056</t>
    </r>
    <r>
      <rPr>
        <sz val="12"/>
        <color rgb="FF3B3B3B"/>
        <rFont val="Menlo"/>
        <family val="2"/>
      </rPr>
      <t>,</t>
    </r>
  </si>
  <si>
    <r>
      <t>"trnacys_c"</t>
    </r>
    <r>
      <rPr>
        <sz val="12"/>
        <color rgb="FF3B3B3B"/>
        <rFont val="Menlo"/>
        <family val="2"/>
      </rPr>
      <t>:</t>
    </r>
    <r>
      <rPr>
        <sz val="12"/>
        <color rgb="FF098658"/>
        <rFont val="Menlo"/>
        <family val="2"/>
      </rPr>
      <t>0.003924</t>
    </r>
    <r>
      <rPr>
        <sz val="12"/>
        <color rgb="FF3B3B3B"/>
        <rFont val="Menlo"/>
        <family val="2"/>
      </rPr>
      <t>,</t>
    </r>
  </si>
  <si>
    <r>
      <t>"trnagln_c"</t>
    </r>
    <r>
      <rPr>
        <sz val="12"/>
        <color rgb="FF3B3B3B"/>
        <rFont val="Menlo"/>
        <family val="2"/>
      </rPr>
      <t>:</t>
    </r>
    <r>
      <rPr>
        <sz val="12"/>
        <color rgb="FF098658"/>
        <rFont val="Menlo"/>
        <family val="2"/>
      </rPr>
      <t>0.216946</t>
    </r>
    <r>
      <rPr>
        <sz val="12"/>
        <color rgb="FF3B3B3B"/>
        <rFont val="Menlo"/>
        <family val="2"/>
      </rPr>
      <t>,</t>
    </r>
  </si>
  <si>
    <r>
      <t>"trnaglu_c"</t>
    </r>
    <r>
      <rPr>
        <sz val="12"/>
        <color rgb="FF3B3B3B"/>
        <rFont val="Menlo"/>
        <family val="2"/>
      </rPr>
      <t>:</t>
    </r>
    <r>
      <rPr>
        <sz val="12"/>
        <color rgb="FF098658"/>
        <rFont val="Menlo"/>
        <family val="2"/>
      </rPr>
      <t>0.216946</t>
    </r>
    <r>
      <rPr>
        <sz val="12"/>
        <color rgb="FF3B3B3B"/>
        <rFont val="Menlo"/>
        <family val="2"/>
      </rPr>
      <t>,</t>
    </r>
  </si>
  <si>
    <r>
      <t>"trnagly_c"</t>
    </r>
    <r>
      <rPr>
        <sz val="12"/>
        <color rgb="FF3B3B3B"/>
        <rFont val="Menlo"/>
        <family val="2"/>
      </rPr>
      <t>:</t>
    </r>
    <r>
      <rPr>
        <sz val="12"/>
        <color rgb="FF098658"/>
        <rFont val="Menlo"/>
        <family val="2"/>
      </rPr>
      <t>0.24918</t>
    </r>
    <r>
      <rPr>
        <sz val="12"/>
        <color rgb="FF3B3B3B"/>
        <rFont val="Menlo"/>
        <family val="2"/>
      </rPr>
      <t>,</t>
    </r>
  </si>
  <si>
    <r>
      <t>"trnahis_c"</t>
    </r>
    <r>
      <rPr>
        <sz val="12"/>
        <color rgb="FF3B3B3B"/>
        <rFont val="Menlo"/>
        <family val="2"/>
      </rPr>
      <t>:</t>
    </r>
    <r>
      <rPr>
        <sz val="12"/>
        <color rgb="FF098658"/>
        <rFont val="Menlo"/>
        <family val="2"/>
      </rPr>
      <t>0.054096</t>
    </r>
    <r>
      <rPr>
        <sz val="12"/>
        <color rgb="FF3B3B3B"/>
        <rFont val="Menlo"/>
        <family val="2"/>
      </rPr>
      <t>,</t>
    </r>
  </si>
  <si>
    <r>
      <t>"trnaile_c"</t>
    </r>
    <r>
      <rPr>
        <sz val="12"/>
        <color rgb="FF3B3B3B"/>
        <rFont val="Menlo"/>
        <family val="2"/>
      </rPr>
      <t>:</t>
    </r>
    <r>
      <rPr>
        <sz val="12"/>
        <color rgb="FF098658"/>
        <rFont val="Menlo"/>
        <family val="2"/>
      </rPr>
      <t>0.165092</t>
    </r>
    <r>
      <rPr>
        <sz val="12"/>
        <color rgb="FF3B3B3B"/>
        <rFont val="Menlo"/>
        <family val="2"/>
      </rPr>
      <t>,</t>
    </r>
  </si>
  <si>
    <r>
      <t>"trnaleu_c"</t>
    </r>
    <r>
      <rPr>
        <sz val="12"/>
        <color rgb="FF3B3B3B"/>
        <rFont val="Menlo"/>
        <family val="2"/>
      </rPr>
      <t>:</t>
    </r>
    <r>
      <rPr>
        <sz val="12"/>
        <color rgb="FF098658"/>
        <rFont val="Menlo"/>
        <family val="2"/>
      </rPr>
      <t>0.224514</t>
    </r>
    <r>
      <rPr>
        <sz val="12"/>
        <color rgb="FF3B3B3B"/>
        <rFont val="Menlo"/>
        <family val="2"/>
      </rPr>
      <t>,</t>
    </r>
  </si>
  <si>
    <r>
      <t>"trnalys_c"</t>
    </r>
    <r>
      <rPr>
        <sz val="12"/>
        <color rgb="FF3B3B3B"/>
        <rFont val="Menlo"/>
        <family val="2"/>
      </rPr>
      <t>:</t>
    </r>
    <r>
      <rPr>
        <sz val="12"/>
        <color rgb="FF098658"/>
        <rFont val="Menlo"/>
        <family val="2"/>
      </rPr>
      <t>0.184152</t>
    </r>
    <r>
      <rPr>
        <sz val="12"/>
        <color rgb="FF3B3B3B"/>
        <rFont val="Menlo"/>
        <family val="2"/>
      </rPr>
      <t>,</t>
    </r>
  </si>
  <si>
    <r>
      <t>"trnamet_c"</t>
    </r>
    <r>
      <rPr>
        <sz val="12"/>
        <color rgb="FF3B3B3B"/>
        <rFont val="Menlo"/>
        <family val="2"/>
      </rPr>
      <t>:</t>
    </r>
    <r>
      <rPr>
        <sz val="12"/>
        <color rgb="FF098658"/>
        <rFont val="Menlo"/>
        <family val="2"/>
      </rPr>
      <t>0.031953</t>
    </r>
    <r>
      <rPr>
        <sz val="12"/>
        <color rgb="FF3B3B3B"/>
        <rFont val="Menlo"/>
        <family val="2"/>
      </rPr>
      <t>,</t>
    </r>
  </si>
  <si>
    <r>
      <t>"trnaphe_c"</t>
    </r>
    <r>
      <rPr>
        <sz val="12"/>
        <color rgb="FF3B3B3B"/>
        <rFont val="Menlo"/>
        <family val="2"/>
      </rPr>
      <t>:</t>
    </r>
    <r>
      <rPr>
        <sz val="12"/>
        <color rgb="FF098658"/>
        <rFont val="Menlo"/>
        <family val="2"/>
      </rPr>
      <t>0.10539</t>
    </r>
    <r>
      <rPr>
        <sz val="12"/>
        <color rgb="FF3B3B3B"/>
        <rFont val="Menlo"/>
        <family val="2"/>
      </rPr>
      <t>,</t>
    </r>
  </si>
  <si>
    <r>
      <t>"trnapro_c"</t>
    </r>
    <r>
      <rPr>
        <sz val="12"/>
        <color rgb="FF3B3B3B"/>
        <rFont val="Menlo"/>
        <family val="2"/>
      </rPr>
      <t>:</t>
    </r>
    <r>
      <rPr>
        <sz val="12"/>
        <color rgb="FF098658"/>
        <rFont val="Menlo"/>
        <family val="2"/>
      </rPr>
      <t>0.118283</t>
    </r>
    <r>
      <rPr>
        <sz val="12"/>
        <color rgb="FF3B3B3B"/>
        <rFont val="Menlo"/>
        <family val="2"/>
      </rPr>
      <t>,</t>
    </r>
  </si>
  <si>
    <r>
      <t>"trnaser_c"</t>
    </r>
    <r>
      <rPr>
        <sz val="12"/>
        <color rgb="FF3B3B3B"/>
        <rFont val="Menlo"/>
        <family val="2"/>
      </rPr>
      <t>:</t>
    </r>
    <r>
      <rPr>
        <sz val="12"/>
        <color rgb="FF098658"/>
        <rFont val="Menlo"/>
        <family val="2"/>
      </rPr>
      <t>0.149396</t>
    </r>
    <r>
      <rPr>
        <sz val="12"/>
        <color rgb="FF3B3B3B"/>
        <rFont val="Menlo"/>
        <family val="2"/>
      </rPr>
      <t>,</t>
    </r>
  </si>
  <si>
    <r>
      <t>"trnathr_c"</t>
    </r>
    <r>
      <rPr>
        <sz val="12"/>
        <color rgb="FF3B3B3B"/>
        <rFont val="Menlo"/>
        <family val="2"/>
      </rPr>
      <t>:</t>
    </r>
    <r>
      <rPr>
        <sz val="12"/>
        <color rgb="FF098658"/>
        <rFont val="Menlo"/>
        <family val="2"/>
      </rPr>
      <t>0.156123</t>
    </r>
    <r>
      <rPr>
        <sz val="12"/>
        <color rgb="FF3B3B3B"/>
        <rFont val="Menlo"/>
        <family val="2"/>
      </rPr>
      <t>,</t>
    </r>
  </si>
  <si>
    <r>
      <t>"trnatrp_c"</t>
    </r>
    <r>
      <rPr>
        <sz val="12"/>
        <color rgb="FF3B3B3B"/>
        <rFont val="Menlo"/>
        <family val="2"/>
      </rPr>
      <t>:</t>
    </r>
    <r>
      <rPr>
        <sz val="12"/>
        <color rgb="FF098658"/>
        <rFont val="Menlo"/>
        <family val="2"/>
      </rPr>
      <t>0.018219</t>
    </r>
    <r>
      <rPr>
        <sz val="12"/>
        <color rgb="FF3B3B3B"/>
        <rFont val="Menlo"/>
        <family val="2"/>
      </rPr>
      <t>,</t>
    </r>
  </si>
  <si>
    <r>
      <t>"trnatyr_c"</t>
    </r>
    <r>
      <rPr>
        <sz val="12"/>
        <color rgb="FF3B3B3B"/>
        <rFont val="Menlo"/>
        <family val="2"/>
      </rPr>
      <t>:</t>
    </r>
    <r>
      <rPr>
        <sz val="12"/>
        <color rgb="FF098658"/>
        <rFont val="Menlo"/>
        <family val="2"/>
      </rPr>
      <t>0.054937</t>
    </r>
    <r>
      <rPr>
        <sz val="12"/>
        <color rgb="FF3B3B3B"/>
        <rFont val="Menlo"/>
        <family val="2"/>
      </rPr>
      <t>,</t>
    </r>
  </si>
  <si>
    <r>
      <t>"trnaval_c"</t>
    </r>
    <r>
      <rPr>
        <sz val="12"/>
        <color rgb="FF3B3B3B"/>
        <rFont val="Menlo"/>
        <family val="2"/>
      </rPr>
      <t>:</t>
    </r>
    <r>
      <rPr>
        <sz val="12"/>
        <color rgb="FF098658"/>
        <rFont val="Menlo"/>
        <family val="2"/>
      </rPr>
      <t>0.205454</t>
    </r>
    <r>
      <rPr>
        <sz val="12"/>
        <color rgb="FF3B3B3B"/>
        <rFont val="Menlo"/>
        <family val="2"/>
      </rPr>
      <t>,</t>
    </r>
  </si>
  <si>
    <r>
      <t>"trptrna_c"</t>
    </r>
    <r>
      <rPr>
        <sz val="12"/>
        <color rgb="FF3B3B3B"/>
        <rFont val="Menlo"/>
        <family val="2"/>
      </rPr>
      <t>:</t>
    </r>
    <r>
      <rPr>
        <sz val="12"/>
        <color rgb="FF098658"/>
        <rFont val="Menlo"/>
        <family val="2"/>
      </rPr>
      <t>-0.018219</t>
    </r>
    <r>
      <rPr>
        <sz val="12"/>
        <color rgb="FF3B3B3B"/>
        <rFont val="Menlo"/>
        <family val="2"/>
      </rPr>
      <t>,</t>
    </r>
  </si>
  <si>
    <r>
      <t>"ttcosa_c"</t>
    </r>
    <r>
      <rPr>
        <sz val="12"/>
        <color rgb="FF3B3B3B"/>
        <rFont val="Menlo"/>
        <family val="2"/>
      </rPr>
      <t>:</t>
    </r>
    <r>
      <rPr>
        <sz val="12"/>
        <color rgb="FF098658"/>
        <rFont val="Menlo"/>
        <family val="2"/>
      </rPr>
      <t>-0.001249</t>
    </r>
    <r>
      <rPr>
        <sz val="12"/>
        <color rgb="FF3B3B3B"/>
        <rFont val="Menlo"/>
        <family val="2"/>
      </rPr>
      <t>,</t>
    </r>
  </si>
  <si>
    <r>
      <t>"tyrtrna_c"</t>
    </r>
    <r>
      <rPr>
        <sz val="12"/>
        <color rgb="FF3B3B3B"/>
        <rFont val="Menlo"/>
        <family val="2"/>
      </rPr>
      <t>:</t>
    </r>
    <r>
      <rPr>
        <sz val="12"/>
        <color rgb="FF098658"/>
        <rFont val="Menlo"/>
        <family val="2"/>
      </rPr>
      <t>-0.054937</t>
    </r>
    <r>
      <rPr>
        <sz val="12"/>
        <color rgb="FF3B3B3B"/>
        <rFont val="Menlo"/>
        <family val="2"/>
      </rPr>
      <t>,</t>
    </r>
  </si>
  <si>
    <r>
      <t>"utp_c"</t>
    </r>
    <r>
      <rPr>
        <sz val="12"/>
        <color rgb="FF3B3B3B"/>
        <rFont val="Menlo"/>
        <family val="2"/>
      </rPr>
      <t>:</t>
    </r>
    <r>
      <rPr>
        <sz val="12"/>
        <color rgb="FF098658"/>
        <rFont val="Menlo"/>
        <family val="2"/>
      </rPr>
      <t>-0.025757</t>
    </r>
    <r>
      <rPr>
        <sz val="12"/>
        <color rgb="FF3B3B3B"/>
        <rFont val="Menlo"/>
        <family val="2"/>
      </rPr>
      <t>,</t>
    </r>
  </si>
  <si>
    <r>
      <t>"valtrna_c"</t>
    </r>
    <r>
      <rPr>
        <sz val="12"/>
        <color rgb="FF3B3B3B"/>
        <rFont val="Menlo"/>
        <family val="2"/>
      </rPr>
      <t>:</t>
    </r>
    <r>
      <rPr>
        <sz val="12"/>
        <color rgb="FF098658"/>
        <rFont val="Menlo"/>
        <family val="2"/>
      </rPr>
      <t>-0.205454</t>
    </r>
    <r>
      <rPr>
        <sz val="12"/>
        <color rgb="FF3B3B3B"/>
        <rFont val="Menlo"/>
        <family val="2"/>
      </rPr>
      <t>,</t>
    </r>
  </si>
  <si>
    <t>RBA stoich. In JSON form</t>
  </si>
  <si>
    <r>
      <t>"13BDglucan_c"</t>
    </r>
    <r>
      <rPr>
        <sz val="12"/>
        <color rgb="FF3B3B3B"/>
        <rFont val="Menlo"/>
        <family val="2"/>
      </rPr>
      <t>:</t>
    </r>
    <r>
      <rPr>
        <sz val="12"/>
        <color rgb="FF098658"/>
        <rFont val="Menlo"/>
        <family val="2"/>
      </rPr>
      <t>-1.390551</t>
    </r>
    <r>
      <rPr>
        <sz val="12"/>
        <color rgb="FF3B3B3B"/>
        <rFont val="Menlo"/>
        <family val="2"/>
      </rPr>
      <t>,</t>
    </r>
  </si>
  <si>
    <r>
      <t>"16BDglucan_en"</t>
    </r>
    <r>
      <rPr>
        <sz val="12"/>
        <color rgb="FF3B3B3B"/>
        <rFont val="Menlo"/>
        <family val="2"/>
      </rPr>
      <t>:</t>
    </r>
    <r>
      <rPr>
        <sz val="12"/>
        <color rgb="FF098658"/>
        <rFont val="Menlo"/>
        <family val="2"/>
      </rPr>
      <t>-0.365935</t>
    </r>
    <r>
      <rPr>
        <sz val="12"/>
        <color rgb="FF3B3B3B"/>
        <rFont val="Menlo"/>
        <family val="2"/>
      </rPr>
      <t>,</t>
    </r>
  </si>
  <si>
    <r>
      <t>"G00006_c"</t>
    </r>
    <r>
      <rPr>
        <sz val="12"/>
        <color rgb="FF3B3B3B"/>
        <rFont val="Menlo"/>
        <family val="2"/>
      </rPr>
      <t>:</t>
    </r>
    <r>
      <rPr>
        <sz val="12"/>
        <color rgb="FF098658"/>
        <rFont val="Menlo"/>
        <family val="2"/>
      </rPr>
      <t>-0.021534</t>
    </r>
    <r>
      <rPr>
        <sz val="12"/>
        <color rgb="FF3B3B3B"/>
        <rFont val="Menlo"/>
        <family val="2"/>
      </rPr>
      <t>,</t>
    </r>
  </si>
  <si>
    <r>
      <t>"adp_c"</t>
    </r>
    <r>
      <rPr>
        <sz val="12"/>
        <color rgb="FF3B3B3B"/>
        <rFont val="Menlo"/>
        <family val="2"/>
      </rPr>
      <t>:</t>
    </r>
    <r>
      <rPr>
        <sz val="12"/>
        <color rgb="FF098658"/>
        <rFont val="Menlo"/>
        <family val="2"/>
      </rPr>
      <t>213.585046</t>
    </r>
    <r>
      <rPr>
        <sz val="12"/>
        <color rgb="FF3B3B3B"/>
        <rFont val="Menlo"/>
        <family val="2"/>
      </rPr>
      <t>,</t>
    </r>
  </si>
  <si>
    <r>
      <t>"alatrna_c"</t>
    </r>
    <r>
      <rPr>
        <sz val="12"/>
        <color rgb="FF3B3B3B"/>
        <rFont val="Menlo"/>
        <family val="2"/>
      </rPr>
      <t>:</t>
    </r>
    <r>
      <rPr>
        <sz val="12"/>
        <color rgb="FF098658"/>
        <rFont val="Menlo"/>
        <family val="2"/>
      </rPr>
      <t>-0.316243</t>
    </r>
    <r>
      <rPr>
        <sz val="12"/>
        <color rgb="FF3B3B3B"/>
        <rFont val="Menlo"/>
        <family val="2"/>
      </rPr>
      <t>,</t>
    </r>
  </si>
  <si>
    <r>
      <t>"argtrna_c"</t>
    </r>
    <r>
      <rPr>
        <sz val="12"/>
        <color rgb="FF3B3B3B"/>
        <rFont val="Menlo"/>
        <family val="2"/>
      </rPr>
      <t>:</t>
    </r>
    <r>
      <rPr>
        <sz val="12"/>
        <color rgb="FF098658"/>
        <rFont val="Menlo"/>
        <family val="2"/>
      </rPr>
      <t>-0.124943</t>
    </r>
    <r>
      <rPr>
        <sz val="12"/>
        <color rgb="FF3B3B3B"/>
        <rFont val="Menlo"/>
        <family val="2"/>
      </rPr>
      <t>,</t>
    </r>
  </si>
  <si>
    <r>
      <t>"asntrna_c"</t>
    </r>
    <r>
      <rPr>
        <sz val="12"/>
        <color rgb="FF3B3B3B"/>
        <rFont val="Menlo"/>
        <family val="2"/>
      </rPr>
      <t>:</t>
    </r>
    <r>
      <rPr>
        <sz val="12"/>
        <color rgb="FF098658"/>
        <rFont val="Menlo"/>
        <family val="2"/>
      </rPr>
      <t>-0.150191</t>
    </r>
    <r>
      <rPr>
        <sz val="12"/>
        <color rgb="FF3B3B3B"/>
        <rFont val="Menlo"/>
        <family val="2"/>
      </rPr>
      <t>,</t>
    </r>
  </si>
  <si>
    <r>
      <t>"asptrna_c"</t>
    </r>
    <r>
      <rPr>
        <sz val="12"/>
        <color rgb="FF3B3B3B"/>
        <rFont val="Menlo"/>
        <family val="2"/>
      </rPr>
      <t>:</t>
    </r>
    <r>
      <rPr>
        <sz val="12"/>
        <color rgb="FF098658"/>
        <rFont val="Menlo"/>
        <family val="2"/>
      </rPr>
      <t>-0.150191</t>
    </r>
    <r>
      <rPr>
        <sz val="12"/>
        <color rgb="FF3B3B3B"/>
        <rFont val="Menlo"/>
        <family val="2"/>
      </rPr>
      <t>,</t>
    </r>
  </si>
  <si>
    <r>
      <t>"atp_c"</t>
    </r>
    <r>
      <rPr>
        <sz val="12"/>
        <color rgb="FF3B3B3B"/>
        <rFont val="Menlo"/>
        <family val="2"/>
      </rPr>
      <t>:</t>
    </r>
    <r>
      <rPr>
        <sz val="12"/>
        <color rgb="FF098658"/>
        <rFont val="Menlo"/>
        <family val="2"/>
      </rPr>
      <t>-213.618525</t>
    </r>
    <r>
      <rPr>
        <sz val="12"/>
        <color rgb="FF3B3B3B"/>
        <rFont val="Menlo"/>
        <family val="2"/>
      </rPr>
      <t>,</t>
    </r>
  </si>
  <si>
    <r>
      <t>"ca2_c"</t>
    </r>
    <r>
      <rPr>
        <sz val="12"/>
        <color rgb="FF3B3B3B"/>
        <rFont val="Menlo"/>
        <family val="2"/>
      </rPr>
      <t>:</t>
    </r>
    <r>
      <rPr>
        <sz val="12"/>
        <color rgb="FF098658"/>
        <rFont val="Menlo"/>
        <family val="2"/>
      </rPr>
      <t>-0.001284</t>
    </r>
    <r>
      <rPr>
        <sz val="12"/>
        <color rgb="FF3B3B3B"/>
        <rFont val="Menlo"/>
        <family val="2"/>
      </rPr>
      <t>,</t>
    </r>
  </si>
  <si>
    <r>
      <t>"chtn_c"</t>
    </r>
    <r>
      <rPr>
        <sz val="12"/>
        <color rgb="FF3B3B3B"/>
        <rFont val="Menlo"/>
        <family val="2"/>
      </rPr>
      <t>:</t>
    </r>
    <r>
      <rPr>
        <sz val="12"/>
        <color rgb="FF098658"/>
        <rFont val="Menlo"/>
        <family val="2"/>
      </rPr>
      <t>-0.032876</t>
    </r>
    <r>
      <rPr>
        <sz val="12"/>
        <color rgb="FF3B3B3B"/>
        <rFont val="Menlo"/>
        <family val="2"/>
      </rPr>
      <t>,</t>
    </r>
  </si>
  <si>
    <r>
      <t>"ctp_c"</t>
    </r>
    <r>
      <rPr>
        <sz val="12"/>
        <color rgb="FF3B3B3B"/>
        <rFont val="Menlo"/>
        <family val="2"/>
      </rPr>
      <t>:</t>
    </r>
    <r>
      <rPr>
        <sz val="12"/>
        <color rgb="FF098658"/>
        <rFont val="Menlo"/>
        <family val="2"/>
      </rPr>
      <t>-0.05844</t>
    </r>
    <r>
      <rPr>
        <sz val="12"/>
        <color rgb="FF3B3B3B"/>
        <rFont val="Menlo"/>
        <family val="2"/>
      </rPr>
      <t>,</t>
    </r>
  </si>
  <si>
    <r>
      <t>"cystrna_c"</t>
    </r>
    <r>
      <rPr>
        <sz val="12"/>
        <color rgb="FF3B3B3B"/>
        <rFont val="Menlo"/>
        <family val="2"/>
      </rPr>
      <t>:</t>
    </r>
    <r>
      <rPr>
        <sz val="12"/>
        <color rgb="FF098658"/>
        <rFont val="Menlo"/>
        <family val="2"/>
      </rPr>
      <t>-0.004532</t>
    </r>
    <r>
      <rPr>
        <sz val="12"/>
        <color rgb="FF3B3B3B"/>
        <rFont val="Menlo"/>
        <family val="2"/>
      </rPr>
      <t>,</t>
    </r>
  </si>
  <si>
    <r>
      <t>"datp_c"</t>
    </r>
    <r>
      <rPr>
        <sz val="12"/>
        <color rgb="FF3B3B3B"/>
        <rFont val="Menlo"/>
        <family val="2"/>
      </rPr>
      <t>:</t>
    </r>
    <r>
      <rPr>
        <sz val="12"/>
        <color rgb="FF098658"/>
        <rFont val="Menlo"/>
        <family val="2"/>
      </rPr>
      <t>-0.004874</t>
    </r>
    <r>
      <rPr>
        <sz val="12"/>
        <color rgb="FF3B3B3B"/>
        <rFont val="Menlo"/>
        <family val="2"/>
      </rPr>
      <t>,</t>
    </r>
  </si>
  <si>
    <r>
      <t>"dctp_c"</t>
    </r>
    <r>
      <rPr>
        <sz val="12"/>
        <color rgb="FF3B3B3B"/>
        <rFont val="Menlo"/>
        <family val="2"/>
      </rPr>
      <t>:</t>
    </r>
    <r>
      <rPr>
        <sz val="12"/>
        <color rgb="FF098658"/>
        <rFont val="Menlo"/>
        <family val="2"/>
      </rPr>
      <t>-0.007607</t>
    </r>
    <r>
      <rPr>
        <sz val="12"/>
        <color rgb="FF3B3B3B"/>
        <rFont val="Menlo"/>
        <family val="2"/>
      </rPr>
      <t>,</t>
    </r>
  </si>
  <si>
    <r>
      <t>"dgtp_c"</t>
    </r>
    <r>
      <rPr>
        <sz val="12"/>
        <color rgb="FF3B3B3B"/>
        <rFont val="Menlo"/>
        <family val="2"/>
      </rPr>
      <t>:</t>
    </r>
    <r>
      <rPr>
        <sz val="12"/>
        <color rgb="FF098658"/>
        <rFont val="Menlo"/>
        <family val="2"/>
      </rPr>
      <t>-0.007607</t>
    </r>
    <r>
      <rPr>
        <sz val="12"/>
        <color rgb="FF3B3B3B"/>
        <rFont val="Menlo"/>
        <family val="2"/>
      </rPr>
      <t>,</t>
    </r>
  </si>
  <si>
    <r>
      <t>"docosa_c"</t>
    </r>
    <r>
      <rPr>
        <sz val="12"/>
        <color rgb="FF3B3B3B"/>
        <rFont val="Menlo"/>
        <family val="2"/>
      </rPr>
      <t>:</t>
    </r>
    <r>
      <rPr>
        <sz val="12"/>
        <color rgb="FF098658"/>
        <rFont val="Menlo"/>
        <family val="2"/>
      </rPr>
      <t>-2.9e-05</t>
    </r>
    <r>
      <rPr>
        <sz val="12"/>
        <color rgb="FF3B3B3B"/>
        <rFont val="Menlo"/>
        <family val="2"/>
      </rPr>
      <t>,</t>
    </r>
  </si>
  <si>
    <r>
      <t>"dttp_c"</t>
    </r>
    <r>
      <rPr>
        <sz val="12"/>
        <color rgb="FF3B3B3B"/>
        <rFont val="Menlo"/>
        <family val="2"/>
      </rPr>
      <t>:</t>
    </r>
    <r>
      <rPr>
        <sz val="12"/>
        <color rgb="FF098658"/>
        <rFont val="Menlo"/>
        <family val="2"/>
      </rPr>
      <t>-0.004874</t>
    </r>
    <r>
      <rPr>
        <sz val="12"/>
        <color rgb="FF3B3B3B"/>
        <rFont val="Menlo"/>
        <family val="2"/>
      </rPr>
      <t>,</t>
    </r>
  </si>
  <si>
    <r>
      <t>"epist_c"</t>
    </r>
    <r>
      <rPr>
        <sz val="12"/>
        <color rgb="FF3B3B3B"/>
        <rFont val="Menlo"/>
        <family val="2"/>
      </rPr>
      <t>:</t>
    </r>
    <r>
      <rPr>
        <sz val="12"/>
        <color rgb="FF098658"/>
        <rFont val="Menlo"/>
        <family val="2"/>
      </rPr>
      <t>-0.072767</t>
    </r>
    <r>
      <rPr>
        <sz val="12"/>
        <color rgb="FF3B3B3B"/>
        <rFont val="Menlo"/>
        <family val="2"/>
      </rPr>
      <t>,</t>
    </r>
  </si>
  <si>
    <r>
      <t>"fe2_c"</t>
    </r>
    <r>
      <rPr>
        <sz val="12"/>
        <color rgb="FF3B3B3B"/>
        <rFont val="Menlo"/>
        <family val="2"/>
      </rPr>
      <t>:</t>
    </r>
    <r>
      <rPr>
        <sz val="12"/>
        <color rgb="FF098658"/>
        <rFont val="Menlo"/>
        <family val="2"/>
      </rPr>
      <t>-0.000663</t>
    </r>
    <r>
      <rPr>
        <sz val="12"/>
        <color rgb="FF3B3B3B"/>
        <rFont val="Menlo"/>
        <family val="2"/>
      </rPr>
      <t>,</t>
    </r>
  </si>
  <si>
    <r>
      <t>"glntrna_c"</t>
    </r>
    <r>
      <rPr>
        <sz val="12"/>
        <color rgb="FF3B3B3B"/>
        <rFont val="Menlo"/>
        <family val="2"/>
      </rPr>
      <t>:</t>
    </r>
    <r>
      <rPr>
        <sz val="12"/>
        <color rgb="FF098658"/>
        <rFont val="Menlo"/>
        <family val="2"/>
      </rPr>
      <t>-0.250534</t>
    </r>
    <r>
      <rPr>
        <sz val="12"/>
        <color rgb="FF3B3B3B"/>
        <rFont val="Menlo"/>
        <family val="2"/>
      </rPr>
      <t>,</t>
    </r>
  </si>
  <si>
    <r>
      <t>"glutrna_c"</t>
    </r>
    <r>
      <rPr>
        <sz val="12"/>
        <color rgb="FF3B3B3B"/>
        <rFont val="Menlo"/>
        <family val="2"/>
      </rPr>
      <t>:</t>
    </r>
    <r>
      <rPr>
        <sz val="12"/>
        <color rgb="FF098658"/>
        <rFont val="Menlo"/>
        <family val="2"/>
      </rPr>
      <t>-0.250534</t>
    </r>
    <r>
      <rPr>
        <sz val="12"/>
        <color rgb="FF3B3B3B"/>
        <rFont val="Menlo"/>
        <family val="2"/>
      </rPr>
      <t>,</t>
    </r>
  </si>
  <si>
    <r>
      <t>"glytrna_c"</t>
    </r>
    <r>
      <rPr>
        <sz val="12"/>
        <color rgb="FF3B3B3B"/>
        <rFont val="Menlo"/>
        <family val="2"/>
      </rPr>
      <t>:</t>
    </r>
    <r>
      <rPr>
        <sz val="12"/>
        <color rgb="FF098658"/>
        <rFont val="Menlo"/>
        <family val="2"/>
      </rPr>
      <t>-0.287758</t>
    </r>
    <r>
      <rPr>
        <sz val="12"/>
        <color rgb="FF3B3B3B"/>
        <rFont val="Menlo"/>
        <family val="2"/>
      </rPr>
      <t>,</t>
    </r>
  </si>
  <si>
    <r>
      <t>"gpianchorSC_r"</t>
    </r>
    <r>
      <rPr>
        <sz val="12"/>
        <color rgb="FF3B3B3B"/>
        <rFont val="Menlo"/>
        <family val="2"/>
      </rPr>
      <t>:</t>
    </r>
    <r>
      <rPr>
        <sz val="12"/>
        <color rgb="FF098658"/>
        <rFont val="Menlo"/>
        <family val="2"/>
      </rPr>
      <t>-0.023598</t>
    </r>
    <r>
      <rPr>
        <sz val="12"/>
        <color rgb="FF3B3B3B"/>
        <rFont val="Menlo"/>
        <family val="2"/>
      </rPr>
      <t>,</t>
    </r>
  </si>
  <si>
    <r>
      <t>"gtp_c"</t>
    </r>
    <r>
      <rPr>
        <sz val="12"/>
        <color rgb="FF3B3B3B"/>
        <rFont val="Menlo"/>
        <family val="2"/>
      </rPr>
      <t>:</t>
    </r>
    <r>
      <rPr>
        <sz val="12"/>
        <color rgb="FF098658"/>
        <rFont val="Menlo"/>
        <family val="2"/>
      </rPr>
      <t>-0.051206</t>
    </r>
    <r>
      <rPr>
        <sz val="12"/>
        <color rgb="FF3B3B3B"/>
        <rFont val="Menlo"/>
        <family val="2"/>
      </rPr>
      <t>,</t>
    </r>
  </si>
  <si>
    <r>
      <t>"h2o_c"</t>
    </r>
    <r>
      <rPr>
        <sz val="12"/>
        <color rgb="FF3B3B3B"/>
        <rFont val="Menlo"/>
        <family val="2"/>
      </rPr>
      <t>:</t>
    </r>
    <r>
      <rPr>
        <sz val="12"/>
        <color rgb="FF098658"/>
        <rFont val="Menlo"/>
        <family val="2"/>
      </rPr>
      <t>-213.585046</t>
    </r>
    <r>
      <rPr>
        <sz val="12"/>
        <color rgb="FF3B3B3B"/>
        <rFont val="Menlo"/>
        <family val="2"/>
      </rPr>
      <t>,</t>
    </r>
  </si>
  <si>
    <r>
      <t>"h_c"</t>
    </r>
    <r>
      <rPr>
        <sz val="12"/>
        <color rgb="FF3B3B3B"/>
        <rFont val="Menlo"/>
        <family val="2"/>
      </rPr>
      <t>:</t>
    </r>
    <r>
      <rPr>
        <sz val="12"/>
        <color rgb="FF098658"/>
        <rFont val="Menlo"/>
        <family val="2"/>
      </rPr>
      <t>213.585046</t>
    </r>
    <r>
      <rPr>
        <sz val="12"/>
        <color rgb="FF3B3B3B"/>
        <rFont val="Menlo"/>
        <family val="2"/>
      </rPr>
      <t>,</t>
    </r>
  </si>
  <si>
    <r>
      <t>"hdca_c"</t>
    </r>
    <r>
      <rPr>
        <sz val="12"/>
        <color rgb="FF3B3B3B"/>
        <rFont val="Menlo"/>
        <family val="2"/>
      </rPr>
      <t>:</t>
    </r>
    <r>
      <rPr>
        <sz val="12"/>
        <color rgb="FF098658"/>
        <rFont val="Menlo"/>
        <family val="2"/>
      </rPr>
      <t>-0.000339</t>
    </r>
    <r>
      <rPr>
        <sz val="12"/>
        <color rgb="FF3B3B3B"/>
        <rFont val="Menlo"/>
        <family val="2"/>
      </rPr>
      <t>,</t>
    </r>
  </si>
  <si>
    <r>
      <t>"histrna_c"</t>
    </r>
    <r>
      <rPr>
        <sz val="12"/>
        <color rgb="FF3B3B3B"/>
        <rFont val="Menlo"/>
        <family val="2"/>
      </rPr>
      <t>:</t>
    </r>
    <r>
      <rPr>
        <sz val="12"/>
        <color rgb="FF098658"/>
        <rFont val="Menlo"/>
        <family val="2"/>
      </rPr>
      <t>-0.062472</t>
    </r>
    <r>
      <rPr>
        <sz val="12"/>
        <color rgb="FF3B3B3B"/>
        <rFont val="Menlo"/>
        <family val="2"/>
      </rPr>
      <t>,</t>
    </r>
  </si>
  <si>
    <r>
      <t>"iletrna_c"</t>
    </r>
    <r>
      <rPr>
        <sz val="12"/>
        <color rgb="FF3B3B3B"/>
        <rFont val="Menlo"/>
        <family val="2"/>
      </rPr>
      <t>:</t>
    </r>
    <r>
      <rPr>
        <sz val="12"/>
        <color rgb="FF098658"/>
        <rFont val="Menlo"/>
        <family val="2"/>
      </rPr>
      <t>-0.190652</t>
    </r>
    <r>
      <rPr>
        <sz val="12"/>
        <color rgb="FF3B3B3B"/>
        <rFont val="Menlo"/>
        <family val="2"/>
      </rPr>
      <t>,</t>
    </r>
  </si>
  <si>
    <r>
      <t>"ipc_g"</t>
    </r>
    <r>
      <rPr>
        <sz val="12"/>
        <color rgb="FF3B3B3B"/>
        <rFont val="Menlo"/>
        <family val="2"/>
      </rPr>
      <t>:</t>
    </r>
    <r>
      <rPr>
        <sz val="12"/>
        <color rgb="FF098658"/>
        <rFont val="Menlo"/>
        <family val="2"/>
      </rPr>
      <t>-0.005733</t>
    </r>
    <r>
      <rPr>
        <sz val="12"/>
        <color rgb="FF3B3B3B"/>
        <rFont val="Menlo"/>
        <family val="2"/>
      </rPr>
      <t>,</t>
    </r>
  </si>
  <si>
    <r>
      <t>"k_c"</t>
    </r>
    <r>
      <rPr>
        <sz val="12"/>
        <color rgb="FF3B3B3B"/>
        <rFont val="Menlo"/>
        <family val="2"/>
      </rPr>
      <t>:</t>
    </r>
    <r>
      <rPr>
        <sz val="12"/>
        <color rgb="FF098658"/>
        <rFont val="Menlo"/>
        <family val="2"/>
      </rPr>
      <t>-0.602526</t>
    </r>
    <r>
      <rPr>
        <sz val="12"/>
        <color rgb="FF3B3B3B"/>
        <rFont val="Menlo"/>
        <family val="2"/>
      </rPr>
      <t>,</t>
    </r>
  </si>
  <si>
    <r>
      <t>"leutrna_c"</t>
    </r>
    <r>
      <rPr>
        <sz val="12"/>
        <color rgb="FF3B3B3B"/>
        <rFont val="Menlo"/>
        <family val="2"/>
      </rPr>
      <t>:</t>
    </r>
    <r>
      <rPr>
        <sz val="12"/>
        <color rgb="FF098658"/>
        <rFont val="Menlo"/>
        <family val="2"/>
      </rPr>
      <t>-0.259274</t>
    </r>
    <r>
      <rPr>
        <sz val="12"/>
        <color rgb="FF3B3B3B"/>
        <rFont val="Menlo"/>
        <family val="2"/>
      </rPr>
      <t>,</t>
    </r>
  </si>
  <si>
    <r>
      <t>"linoea_c"</t>
    </r>
    <r>
      <rPr>
        <sz val="12"/>
        <color rgb="FF3B3B3B"/>
        <rFont val="Menlo"/>
        <family val="2"/>
      </rPr>
      <t>:</t>
    </r>
    <r>
      <rPr>
        <sz val="12"/>
        <color rgb="FF098658"/>
        <rFont val="Menlo"/>
        <family val="2"/>
      </rPr>
      <t>-0.000865</t>
    </r>
    <r>
      <rPr>
        <sz val="12"/>
        <color rgb="FF3B3B3B"/>
        <rFont val="Menlo"/>
        <family val="2"/>
      </rPr>
      <t>,</t>
    </r>
  </si>
  <si>
    <r>
      <t>"linolen_c"</t>
    </r>
    <r>
      <rPr>
        <sz val="12"/>
        <color rgb="FF3B3B3B"/>
        <rFont val="Menlo"/>
        <family val="2"/>
      </rPr>
      <t>:</t>
    </r>
    <r>
      <rPr>
        <sz val="12"/>
        <color rgb="FF098658"/>
        <rFont val="Menlo"/>
        <family val="2"/>
      </rPr>
      <t>-0.000232</t>
    </r>
    <r>
      <rPr>
        <sz val="12"/>
        <color rgb="FF3B3B3B"/>
        <rFont val="Menlo"/>
        <family val="2"/>
      </rPr>
      <t>,</t>
    </r>
  </si>
  <si>
    <r>
      <t>"lystrna_c"</t>
    </r>
    <r>
      <rPr>
        <sz val="12"/>
        <color rgb="FF3B3B3B"/>
        <rFont val="Menlo"/>
        <family val="2"/>
      </rPr>
      <t>:</t>
    </r>
    <r>
      <rPr>
        <sz val="12"/>
        <color rgb="FF098658"/>
        <rFont val="Menlo"/>
        <family val="2"/>
      </rPr>
      <t>-0.212663</t>
    </r>
    <r>
      <rPr>
        <sz val="12"/>
        <color rgb="FF3B3B3B"/>
        <rFont val="Menlo"/>
        <family val="2"/>
      </rPr>
      <t>,</t>
    </r>
  </si>
  <si>
    <r>
      <t>"mettrna_c"</t>
    </r>
    <r>
      <rPr>
        <sz val="12"/>
        <color rgb="FF3B3B3B"/>
        <rFont val="Menlo"/>
        <family val="2"/>
      </rPr>
      <t>:</t>
    </r>
    <r>
      <rPr>
        <sz val="12"/>
        <color rgb="FF098658"/>
        <rFont val="Menlo"/>
        <family val="2"/>
      </rPr>
      <t>-0.036901</t>
    </r>
    <r>
      <rPr>
        <sz val="12"/>
        <color rgb="FF3B3B3B"/>
        <rFont val="Menlo"/>
        <family val="2"/>
      </rPr>
      <t>,</t>
    </r>
  </si>
  <si>
    <r>
      <t>"mg2_c"</t>
    </r>
    <r>
      <rPr>
        <sz val="12"/>
        <color rgb="FF3B3B3B"/>
        <rFont val="Menlo"/>
        <family val="2"/>
      </rPr>
      <t>:</t>
    </r>
    <r>
      <rPr>
        <sz val="12"/>
        <color rgb="FF098658"/>
        <rFont val="Menlo"/>
        <family val="2"/>
      </rPr>
      <t>-0.063489</t>
    </r>
    <r>
      <rPr>
        <sz val="12"/>
        <color rgb="FF3B3B3B"/>
        <rFont val="Menlo"/>
        <family val="2"/>
      </rPr>
      <t>,</t>
    </r>
  </si>
  <si>
    <r>
      <t>"ocdca_c"</t>
    </r>
    <r>
      <rPr>
        <sz val="12"/>
        <color rgb="FF3B3B3B"/>
        <rFont val="Menlo"/>
        <family val="2"/>
      </rPr>
      <t>:</t>
    </r>
    <r>
      <rPr>
        <sz val="12"/>
        <color rgb="FF098658"/>
        <rFont val="Menlo"/>
        <family val="2"/>
      </rPr>
      <t>-0.000226</t>
    </r>
    <r>
      <rPr>
        <sz val="12"/>
        <color rgb="FF3B3B3B"/>
        <rFont val="Menlo"/>
        <family val="2"/>
      </rPr>
      <t>,</t>
    </r>
  </si>
  <si>
    <r>
      <t>"ocdcea_c"</t>
    </r>
    <r>
      <rPr>
        <sz val="12"/>
        <color rgb="FF3B3B3B"/>
        <rFont val="Menlo"/>
        <family val="2"/>
      </rPr>
      <t>:</t>
    </r>
    <r>
      <rPr>
        <sz val="12"/>
        <color rgb="FF098658"/>
        <rFont val="Menlo"/>
        <family val="2"/>
      </rPr>
      <t>-0.000414</t>
    </r>
    <r>
      <rPr>
        <sz val="12"/>
        <color rgb="FF3B3B3B"/>
        <rFont val="Menlo"/>
        <family val="2"/>
      </rPr>
      <t>,</t>
    </r>
  </si>
  <si>
    <r>
      <t>"oglycanSC_g"</t>
    </r>
    <r>
      <rPr>
        <sz val="12"/>
        <color rgb="FF3B3B3B"/>
        <rFont val="Menlo"/>
        <family val="2"/>
      </rPr>
      <t>:</t>
    </r>
    <r>
      <rPr>
        <sz val="12"/>
        <color rgb="FF098658"/>
        <rFont val="Menlo"/>
        <family val="2"/>
      </rPr>
      <t>-0.066377</t>
    </r>
    <r>
      <rPr>
        <sz val="12"/>
        <color rgb="FF3B3B3B"/>
        <rFont val="Menlo"/>
        <family val="2"/>
      </rPr>
      <t>,</t>
    </r>
  </si>
  <si>
    <r>
      <t>"pail_c"</t>
    </r>
    <r>
      <rPr>
        <sz val="12"/>
        <color rgb="FF3B3B3B"/>
        <rFont val="Menlo"/>
        <family val="2"/>
      </rPr>
      <t>:</t>
    </r>
    <r>
      <rPr>
        <sz val="12"/>
        <color rgb="FF098658"/>
        <rFont val="Menlo"/>
        <family val="2"/>
      </rPr>
      <t>-0.015562</t>
    </r>
    <r>
      <rPr>
        <sz val="12"/>
        <color rgb="FF3B3B3B"/>
        <rFont val="Menlo"/>
        <family val="2"/>
      </rPr>
      <t>,</t>
    </r>
  </si>
  <si>
    <r>
      <t>"pc_c"</t>
    </r>
    <r>
      <rPr>
        <sz val="12"/>
        <color rgb="FF3B3B3B"/>
        <rFont val="Menlo"/>
        <family val="2"/>
      </rPr>
      <t>:</t>
    </r>
    <r>
      <rPr>
        <sz val="12"/>
        <color rgb="FF098658"/>
        <rFont val="Menlo"/>
        <family val="2"/>
      </rPr>
      <t>-0.029204</t>
    </r>
    <r>
      <rPr>
        <sz val="12"/>
        <color rgb="FF3B3B3B"/>
        <rFont val="Menlo"/>
        <family val="2"/>
      </rPr>
      <t>,</t>
    </r>
  </si>
  <si>
    <r>
      <t>"pe_c"</t>
    </r>
    <r>
      <rPr>
        <sz val="12"/>
        <color rgb="FF3B3B3B"/>
        <rFont val="Menlo"/>
        <family val="2"/>
      </rPr>
      <t>:</t>
    </r>
    <r>
      <rPr>
        <sz val="12"/>
        <color rgb="FF098658"/>
        <rFont val="Menlo"/>
        <family val="2"/>
      </rPr>
      <t>-0.007054</t>
    </r>
    <r>
      <rPr>
        <sz val="12"/>
        <color rgb="FF3B3B3B"/>
        <rFont val="Menlo"/>
        <family val="2"/>
      </rPr>
      <t>,</t>
    </r>
  </si>
  <si>
    <r>
      <t>"phetrna_c"</t>
    </r>
    <r>
      <rPr>
        <sz val="12"/>
        <color rgb="FF3B3B3B"/>
        <rFont val="Menlo"/>
        <family val="2"/>
      </rPr>
      <t>:</t>
    </r>
    <r>
      <rPr>
        <sz val="12"/>
        <color rgb="FF098658"/>
        <rFont val="Menlo"/>
        <family val="2"/>
      </rPr>
      <t>-0.121707</t>
    </r>
    <r>
      <rPr>
        <sz val="12"/>
        <color rgb="FF3B3B3B"/>
        <rFont val="Menlo"/>
        <family val="2"/>
      </rPr>
      <t>,</t>
    </r>
  </si>
  <si>
    <r>
      <t>"pi_c"</t>
    </r>
    <r>
      <rPr>
        <sz val="12"/>
        <color rgb="FF3B3B3B"/>
        <rFont val="Menlo"/>
        <family val="2"/>
      </rPr>
      <t>:</t>
    </r>
    <r>
      <rPr>
        <sz val="12"/>
        <color rgb="FF098658"/>
        <rFont val="Menlo"/>
        <family val="2"/>
      </rPr>
      <t>213.479588</t>
    </r>
    <r>
      <rPr>
        <sz val="12"/>
        <color rgb="FF3B3B3B"/>
        <rFont val="Menlo"/>
        <family val="2"/>
      </rPr>
      <t>,</t>
    </r>
  </si>
  <si>
    <r>
      <t>"ppi_c"</t>
    </r>
    <r>
      <rPr>
        <sz val="12"/>
        <color rgb="FF3B3B3B"/>
        <rFont val="Menlo"/>
        <family val="2"/>
      </rPr>
      <t>:</t>
    </r>
    <r>
      <rPr>
        <sz val="12"/>
        <color rgb="FF098658"/>
        <rFont val="Menlo"/>
        <family val="2"/>
      </rPr>
      <t>0.198895</t>
    </r>
    <r>
      <rPr>
        <sz val="12"/>
        <color rgb="FF3B3B3B"/>
        <rFont val="Menlo"/>
        <family val="2"/>
      </rPr>
      <t>,</t>
    </r>
  </si>
  <si>
    <r>
      <t>"protrna_c"</t>
    </r>
    <r>
      <rPr>
        <sz val="12"/>
        <color rgb="FF3B3B3B"/>
        <rFont val="Menlo"/>
        <family val="2"/>
      </rPr>
      <t>:</t>
    </r>
    <r>
      <rPr>
        <sz val="12"/>
        <color rgb="FF098658"/>
        <rFont val="Menlo"/>
        <family val="2"/>
      </rPr>
      <t>-0.136597</t>
    </r>
    <r>
      <rPr>
        <sz val="12"/>
        <color rgb="FF3B3B3B"/>
        <rFont val="Menlo"/>
        <family val="2"/>
      </rPr>
      <t>,</t>
    </r>
  </si>
  <si>
    <r>
      <t>"ps_c"</t>
    </r>
    <r>
      <rPr>
        <sz val="12"/>
        <color rgb="FF3B3B3B"/>
        <rFont val="Menlo"/>
        <family val="2"/>
      </rPr>
      <t>:</t>
    </r>
    <r>
      <rPr>
        <sz val="12"/>
        <color rgb="FF098658"/>
        <rFont val="Menlo"/>
        <family val="2"/>
      </rPr>
      <t>-0.003783</t>
    </r>
    <r>
      <rPr>
        <sz val="12"/>
        <color rgb="FF3B3B3B"/>
        <rFont val="Menlo"/>
        <family val="2"/>
      </rPr>
      <t>,</t>
    </r>
  </si>
  <si>
    <r>
      <t>"sertrna_c"</t>
    </r>
    <r>
      <rPr>
        <sz val="12"/>
        <color rgb="FF3B3B3B"/>
        <rFont val="Menlo"/>
        <family val="2"/>
      </rPr>
      <t>:</t>
    </r>
    <r>
      <rPr>
        <sz val="12"/>
        <color rgb="FF098658"/>
        <rFont val="Menlo"/>
        <family val="2"/>
      </rPr>
      <t>-0.172525</t>
    </r>
    <r>
      <rPr>
        <sz val="12"/>
        <color rgb="FF3B3B3B"/>
        <rFont val="Menlo"/>
        <family val="2"/>
      </rPr>
      <t>,</t>
    </r>
  </si>
  <si>
    <r>
      <t>"so4_c"</t>
    </r>
    <r>
      <rPr>
        <sz val="12"/>
        <color rgb="FF3B3B3B"/>
        <rFont val="Menlo"/>
        <family val="2"/>
      </rPr>
      <t>:</t>
    </r>
    <r>
      <rPr>
        <sz val="12"/>
        <color rgb="FF098658"/>
        <rFont val="Menlo"/>
        <family val="2"/>
      </rPr>
      <t>-0.031165</t>
    </r>
    <r>
      <rPr>
        <sz val="12"/>
        <color rgb="FF3B3B3B"/>
        <rFont val="Menlo"/>
        <family val="2"/>
      </rPr>
      <t>,</t>
    </r>
  </si>
  <si>
    <r>
      <t>"tag_c"</t>
    </r>
    <r>
      <rPr>
        <sz val="12"/>
        <color rgb="FF3B3B3B"/>
        <rFont val="Menlo"/>
        <family val="2"/>
      </rPr>
      <t>:</t>
    </r>
    <r>
      <rPr>
        <sz val="12"/>
        <color rgb="FF098658"/>
        <rFont val="Menlo"/>
        <family val="2"/>
      </rPr>
      <t>-0.008971</t>
    </r>
    <r>
      <rPr>
        <sz val="12"/>
        <color rgb="FF3B3B3B"/>
        <rFont val="Menlo"/>
        <family val="2"/>
      </rPr>
      <t>,</t>
    </r>
  </si>
  <si>
    <r>
      <t>"thrtrna_c"</t>
    </r>
    <r>
      <rPr>
        <sz val="12"/>
        <color rgb="FF3B3B3B"/>
        <rFont val="Menlo"/>
        <family val="2"/>
      </rPr>
      <t>:</t>
    </r>
    <r>
      <rPr>
        <sz val="12"/>
        <color rgb="FF098658"/>
        <rFont val="Menlo"/>
        <family val="2"/>
      </rPr>
      <t>-0.180294</t>
    </r>
    <r>
      <rPr>
        <sz val="12"/>
        <color rgb="FF3B3B3B"/>
        <rFont val="Menlo"/>
        <family val="2"/>
      </rPr>
      <t>,</t>
    </r>
  </si>
  <si>
    <r>
      <t>"trnaala_c"</t>
    </r>
    <r>
      <rPr>
        <sz val="12"/>
        <color rgb="FF3B3B3B"/>
        <rFont val="Menlo"/>
        <family val="2"/>
      </rPr>
      <t>:</t>
    </r>
    <r>
      <rPr>
        <sz val="12"/>
        <color rgb="FF098658"/>
        <rFont val="Menlo"/>
        <family val="2"/>
      </rPr>
      <t>0.316243</t>
    </r>
    <r>
      <rPr>
        <sz val="12"/>
        <color rgb="FF3B3B3B"/>
        <rFont val="Menlo"/>
        <family val="2"/>
      </rPr>
      <t>,</t>
    </r>
  </si>
  <si>
    <r>
      <t>"trnaarg_c"</t>
    </r>
    <r>
      <rPr>
        <sz val="12"/>
        <color rgb="FF3B3B3B"/>
        <rFont val="Menlo"/>
        <family val="2"/>
      </rPr>
      <t>:</t>
    </r>
    <r>
      <rPr>
        <sz val="12"/>
        <color rgb="FF098658"/>
        <rFont val="Menlo"/>
        <family val="2"/>
      </rPr>
      <t>0.124943</t>
    </r>
    <r>
      <rPr>
        <sz val="12"/>
        <color rgb="FF3B3B3B"/>
        <rFont val="Menlo"/>
        <family val="2"/>
      </rPr>
      <t>,</t>
    </r>
  </si>
  <si>
    <r>
      <t>"trnaasn_c"</t>
    </r>
    <r>
      <rPr>
        <sz val="12"/>
        <color rgb="FF3B3B3B"/>
        <rFont val="Menlo"/>
        <family val="2"/>
      </rPr>
      <t>:</t>
    </r>
    <r>
      <rPr>
        <sz val="12"/>
        <color rgb="FF098658"/>
        <rFont val="Menlo"/>
        <family val="2"/>
      </rPr>
      <t>0.150191</t>
    </r>
    <r>
      <rPr>
        <sz val="12"/>
        <color rgb="FF3B3B3B"/>
        <rFont val="Menlo"/>
        <family val="2"/>
      </rPr>
      <t>,</t>
    </r>
  </si>
  <si>
    <r>
      <t>"trnaasp_c"</t>
    </r>
    <r>
      <rPr>
        <sz val="12"/>
        <color rgb="FF3B3B3B"/>
        <rFont val="Menlo"/>
        <family val="2"/>
      </rPr>
      <t>:</t>
    </r>
    <r>
      <rPr>
        <sz val="12"/>
        <color rgb="FF098658"/>
        <rFont val="Menlo"/>
        <family val="2"/>
      </rPr>
      <t>0.150191</t>
    </r>
    <r>
      <rPr>
        <sz val="12"/>
        <color rgb="FF3B3B3B"/>
        <rFont val="Menlo"/>
        <family val="2"/>
      </rPr>
      <t>,</t>
    </r>
  </si>
  <si>
    <r>
      <t>"trnacys_c"</t>
    </r>
    <r>
      <rPr>
        <sz val="12"/>
        <color rgb="FF3B3B3B"/>
        <rFont val="Menlo"/>
        <family val="2"/>
      </rPr>
      <t>:</t>
    </r>
    <r>
      <rPr>
        <sz val="12"/>
        <color rgb="FF098658"/>
        <rFont val="Menlo"/>
        <family val="2"/>
      </rPr>
      <t>0.004532</t>
    </r>
    <r>
      <rPr>
        <sz val="12"/>
        <color rgb="FF3B3B3B"/>
        <rFont val="Menlo"/>
        <family val="2"/>
      </rPr>
      <t>,</t>
    </r>
  </si>
  <si>
    <r>
      <t>"trnagln_c"</t>
    </r>
    <r>
      <rPr>
        <sz val="12"/>
        <color rgb="FF3B3B3B"/>
        <rFont val="Menlo"/>
        <family val="2"/>
      </rPr>
      <t>:</t>
    </r>
    <r>
      <rPr>
        <sz val="12"/>
        <color rgb="FF098658"/>
        <rFont val="Menlo"/>
        <family val="2"/>
      </rPr>
      <t>0.250534</t>
    </r>
    <r>
      <rPr>
        <sz val="12"/>
        <color rgb="FF3B3B3B"/>
        <rFont val="Menlo"/>
        <family val="2"/>
      </rPr>
      <t>,</t>
    </r>
  </si>
  <si>
    <r>
      <t>"trnaglu_c"</t>
    </r>
    <r>
      <rPr>
        <sz val="12"/>
        <color rgb="FF3B3B3B"/>
        <rFont val="Menlo"/>
        <family val="2"/>
      </rPr>
      <t>:</t>
    </r>
    <r>
      <rPr>
        <sz val="12"/>
        <color rgb="FF098658"/>
        <rFont val="Menlo"/>
        <family val="2"/>
      </rPr>
      <t>0.250534</t>
    </r>
    <r>
      <rPr>
        <sz val="12"/>
        <color rgb="FF3B3B3B"/>
        <rFont val="Menlo"/>
        <family val="2"/>
      </rPr>
      <t>,</t>
    </r>
  </si>
  <si>
    <r>
      <t>"trnagly_c"</t>
    </r>
    <r>
      <rPr>
        <sz val="12"/>
        <color rgb="FF3B3B3B"/>
        <rFont val="Menlo"/>
        <family val="2"/>
      </rPr>
      <t>:</t>
    </r>
    <r>
      <rPr>
        <sz val="12"/>
        <color rgb="FF098658"/>
        <rFont val="Menlo"/>
        <family val="2"/>
      </rPr>
      <t>0.287758</t>
    </r>
    <r>
      <rPr>
        <sz val="12"/>
        <color rgb="FF3B3B3B"/>
        <rFont val="Menlo"/>
        <family val="2"/>
      </rPr>
      <t>,</t>
    </r>
  </si>
  <si>
    <r>
      <t>"trnahis_c"</t>
    </r>
    <r>
      <rPr>
        <sz val="12"/>
        <color rgb="FF3B3B3B"/>
        <rFont val="Menlo"/>
        <family val="2"/>
      </rPr>
      <t>:</t>
    </r>
    <r>
      <rPr>
        <sz val="12"/>
        <color rgb="FF098658"/>
        <rFont val="Menlo"/>
        <family val="2"/>
      </rPr>
      <t>0.062472</t>
    </r>
    <r>
      <rPr>
        <sz val="12"/>
        <color rgb="FF3B3B3B"/>
        <rFont val="Menlo"/>
        <family val="2"/>
      </rPr>
      <t>,</t>
    </r>
  </si>
  <si>
    <r>
      <t>"trnaile_c"</t>
    </r>
    <r>
      <rPr>
        <sz val="12"/>
        <color rgb="FF3B3B3B"/>
        <rFont val="Menlo"/>
        <family val="2"/>
      </rPr>
      <t>:</t>
    </r>
    <r>
      <rPr>
        <sz val="12"/>
        <color rgb="FF098658"/>
        <rFont val="Menlo"/>
        <family val="2"/>
      </rPr>
      <t>0.190652</t>
    </r>
    <r>
      <rPr>
        <sz val="12"/>
        <color rgb="FF3B3B3B"/>
        <rFont val="Menlo"/>
        <family val="2"/>
      </rPr>
      <t>,</t>
    </r>
  </si>
  <si>
    <r>
      <t>"trnaleu_c"</t>
    </r>
    <r>
      <rPr>
        <sz val="12"/>
        <color rgb="FF3B3B3B"/>
        <rFont val="Menlo"/>
        <family val="2"/>
      </rPr>
      <t>:</t>
    </r>
    <r>
      <rPr>
        <sz val="12"/>
        <color rgb="FF098658"/>
        <rFont val="Menlo"/>
        <family val="2"/>
      </rPr>
      <t>0.259274</t>
    </r>
    <r>
      <rPr>
        <sz val="12"/>
        <color rgb="FF3B3B3B"/>
        <rFont val="Menlo"/>
        <family val="2"/>
      </rPr>
      <t>,</t>
    </r>
  </si>
  <si>
    <r>
      <t>"trnalys_c"</t>
    </r>
    <r>
      <rPr>
        <sz val="12"/>
        <color rgb="FF3B3B3B"/>
        <rFont val="Menlo"/>
        <family val="2"/>
      </rPr>
      <t>:</t>
    </r>
    <r>
      <rPr>
        <sz val="12"/>
        <color rgb="FF098658"/>
        <rFont val="Menlo"/>
        <family val="2"/>
      </rPr>
      <t>0.212663</t>
    </r>
    <r>
      <rPr>
        <sz val="12"/>
        <color rgb="FF3B3B3B"/>
        <rFont val="Menlo"/>
        <family val="2"/>
      </rPr>
      <t>,</t>
    </r>
  </si>
  <si>
    <r>
      <t>"trnamet_c"</t>
    </r>
    <r>
      <rPr>
        <sz val="12"/>
        <color rgb="FF3B3B3B"/>
        <rFont val="Menlo"/>
        <family val="2"/>
      </rPr>
      <t>:</t>
    </r>
    <r>
      <rPr>
        <sz val="12"/>
        <color rgb="FF098658"/>
        <rFont val="Menlo"/>
        <family val="2"/>
      </rPr>
      <t>0.036901</t>
    </r>
    <r>
      <rPr>
        <sz val="12"/>
        <color rgb="FF3B3B3B"/>
        <rFont val="Menlo"/>
        <family val="2"/>
      </rPr>
      <t>,</t>
    </r>
  </si>
  <si>
    <r>
      <t>"trnaphe_c"</t>
    </r>
    <r>
      <rPr>
        <sz val="12"/>
        <color rgb="FF3B3B3B"/>
        <rFont val="Menlo"/>
        <family val="2"/>
      </rPr>
      <t>:</t>
    </r>
    <r>
      <rPr>
        <sz val="12"/>
        <color rgb="FF098658"/>
        <rFont val="Menlo"/>
        <family val="2"/>
      </rPr>
      <t>0.121707</t>
    </r>
    <r>
      <rPr>
        <sz val="12"/>
        <color rgb="FF3B3B3B"/>
        <rFont val="Menlo"/>
        <family val="2"/>
      </rPr>
      <t>,</t>
    </r>
  </si>
  <si>
    <r>
      <t>"trnapro_c"</t>
    </r>
    <r>
      <rPr>
        <sz val="12"/>
        <color rgb="FF3B3B3B"/>
        <rFont val="Menlo"/>
        <family val="2"/>
      </rPr>
      <t>:</t>
    </r>
    <r>
      <rPr>
        <sz val="12"/>
        <color rgb="FF098658"/>
        <rFont val="Menlo"/>
        <family val="2"/>
      </rPr>
      <t>0.136597</t>
    </r>
    <r>
      <rPr>
        <sz val="12"/>
        <color rgb="FF3B3B3B"/>
        <rFont val="Menlo"/>
        <family val="2"/>
      </rPr>
      <t>,</t>
    </r>
  </si>
  <si>
    <r>
      <t>"trnaser_c"</t>
    </r>
    <r>
      <rPr>
        <sz val="12"/>
        <color rgb="FF3B3B3B"/>
        <rFont val="Menlo"/>
        <family val="2"/>
      </rPr>
      <t>:</t>
    </r>
    <r>
      <rPr>
        <sz val="12"/>
        <color rgb="FF098658"/>
        <rFont val="Menlo"/>
        <family val="2"/>
      </rPr>
      <t>0.172525</t>
    </r>
    <r>
      <rPr>
        <sz val="12"/>
        <color rgb="FF3B3B3B"/>
        <rFont val="Menlo"/>
        <family val="2"/>
      </rPr>
      <t>,</t>
    </r>
  </si>
  <si>
    <r>
      <t>"trnathr_c"</t>
    </r>
    <r>
      <rPr>
        <sz val="12"/>
        <color rgb="FF3B3B3B"/>
        <rFont val="Menlo"/>
        <family val="2"/>
      </rPr>
      <t>:</t>
    </r>
    <r>
      <rPr>
        <sz val="12"/>
        <color rgb="FF098658"/>
        <rFont val="Menlo"/>
        <family val="2"/>
      </rPr>
      <t>0.180294</t>
    </r>
    <r>
      <rPr>
        <sz val="12"/>
        <color rgb="FF3B3B3B"/>
        <rFont val="Menlo"/>
        <family val="2"/>
      </rPr>
      <t>,</t>
    </r>
  </si>
  <si>
    <r>
      <t>"trnatrp_c"</t>
    </r>
    <r>
      <rPr>
        <sz val="12"/>
        <color rgb="FF3B3B3B"/>
        <rFont val="Menlo"/>
        <family val="2"/>
      </rPr>
      <t>:</t>
    </r>
    <r>
      <rPr>
        <sz val="12"/>
        <color rgb="FF098658"/>
        <rFont val="Menlo"/>
        <family val="2"/>
      </rPr>
      <t>0.02104</t>
    </r>
    <r>
      <rPr>
        <sz val="12"/>
        <color rgb="FF3B3B3B"/>
        <rFont val="Menlo"/>
        <family val="2"/>
      </rPr>
      <t>,</t>
    </r>
  </si>
  <si>
    <r>
      <t>"trnatyr_c"</t>
    </r>
    <r>
      <rPr>
        <sz val="12"/>
        <color rgb="FF3B3B3B"/>
        <rFont val="Menlo"/>
        <family val="2"/>
      </rPr>
      <t>:</t>
    </r>
    <r>
      <rPr>
        <sz val="12"/>
        <color rgb="FF098658"/>
        <rFont val="Menlo"/>
        <family val="2"/>
      </rPr>
      <t>0.063443</t>
    </r>
    <r>
      <rPr>
        <sz val="12"/>
        <color rgb="FF3B3B3B"/>
        <rFont val="Menlo"/>
        <family val="2"/>
      </rPr>
      <t>,</t>
    </r>
  </si>
  <si>
    <r>
      <t>"trnaval_c"</t>
    </r>
    <r>
      <rPr>
        <sz val="12"/>
        <color rgb="FF3B3B3B"/>
        <rFont val="Menlo"/>
        <family val="2"/>
      </rPr>
      <t>:</t>
    </r>
    <r>
      <rPr>
        <sz val="12"/>
        <color rgb="FF098658"/>
        <rFont val="Menlo"/>
        <family val="2"/>
      </rPr>
      <t>0.237263</t>
    </r>
    <r>
      <rPr>
        <sz val="12"/>
        <color rgb="FF3B3B3B"/>
        <rFont val="Menlo"/>
        <family val="2"/>
      </rPr>
      <t>,</t>
    </r>
  </si>
  <si>
    <r>
      <t>"trptrna_c"</t>
    </r>
    <r>
      <rPr>
        <sz val="12"/>
        <color rgb="FF3B3B3B"/>
        <rFont val="Menlo"/>
        <family val="2"/>
      </rPr>
      <t>:</t>
    </r>
    <r>
      <rPr>
        <sz val="12"/>
        <color rgb="FF098658"/>
        <rFont val="Menlo"/>
        <family val="2"/>
      </rPr>
      <t>-0.02104</t>
    </r>
    <r>
      <rPr>
        <sz val="12"/>
        <color rgb="FF3B3B3B"/>
        <rFont val="Menlo"/>
        <family val="2"/>
      </rPr>
      <t>,</t>
    </r>
  </si>
  <si>
    <r>
      <t>"ttcosa_c"</t>
    </r>
    <r>
      <rPr>
        <sz val="12"/>
        <color rgb="FF3B3B3B"/>
        <rFont val="Menlo"/>
        <family val="2"/>
      </rPr>
      <t>:</t>
    </r>
    <r>
      <rPr>
        <sz val="12"/>
        <color rgb="FF098658"/>
        <rFont val="Menlo"/>
        <family val="2"/>
      </rPr>
      <t>-0.000179</t>
    </r>
    <r>
      <rPr>
        <sz val="12"/>
        <color rgb="FF3B3B3B"/>
        <rFont val="Menlo"/>
        <family val="2"/>
      </rPr>
      <t>,</t>
    </r>
  </si>
  <si>
    <r>
      <t>"tyrtrna_c"</t>
    </r>
    <r>
      <rPr>
        <sz val="12"/>
        <color rgb="FF3B3B3B"/>
        <rFont val="Menlo"/>
        <family val="2"/>
      </rPr>
      <t>:</t>
    </r>
    <r>
      <rPr>
        <sz val="12"/>
        <color rgb="FF098658"/>
        <rFont val="Menlo"/>
        <family val="2"/>
      </rPr>
      <t>-0.063443</t>
    </r>
    <r>
      <rPr>
        <sz val="12"/>
        <color rgb="FF3B3B3B"/>
        <rFont val="Menlo"/>
        <family val="2"/>
      </rPr>
      <t>,</t>
    </r>
  </si>
  <si>
    <r>
      <t>"utp_c"</t>
    </r>
    <r>
      <rPr>
        <sz val="12"/>
        <color rgb="FF3B3B3B"/>
        <rFont val="Menlo"/>
        <family val="2"/>
      </rPr>
      <t>:</t>
    </r>
    <r>
      <rPr>
        <sz val="12"/>
        <color rgb="FF098658"/>
        <rFont val="Menlo"/>
        <family val="2"/>
      </rPr>
      <t>-0.030633</t>
    </r>
    <r>
      <rPr>
        <sz val="12"/>
        <color rgb="FF3B3B3B"/>
        <rFont val="Menlo"/>
        <family val="2"/>
      </rPr>
      <t>,</t>
    </r>
  </si>
  <si>
    <r>
      <t>"valtrna_c"</t>
    </r>
    <r>
      <rPr>
        <sz val="12"/>
        <color rgb="FF3B3B3B"/>
        <rFont val="Menlo"/>
        <family val="2"/>
      </rPr>
      <t>:</t>
    </r>
    <r>
      <rPr>
        <sz val="12"/>
        <color rgb="FF098658"/>
        <rFont val="Menlo"/>
        <family val="2"/>
      </rPr>
      <t>-0.237263</t>
    </r>
    <r>
      <rPr>
        <sz val="12"/>
        <color rgb="FF3B3B3B"/>
        <rFont val="Menlo"/>
        <family val="2"/>
      </rPr>
      <t>,</t>
    </r>
  </si>
  <si>
    <r>
      <t>"zn2_c"</t>
    </r>
    <r>
      <rPr>
        <sz val="12"/>
        <color rgb="FF3B3B3B"/>
        <rFont val="Menlo"/>
        <family val="2"/>
      </rPr>
      <t>:</t>
    </r>
    <r>
      <rPr>
        <sz val="12"/>
        <color rgb="FF098658"/>
        <rFont val="Menlo"/>
        <family val="2"/>
      </rPr>
      <t>-0.001573</t>
    </r>
  </si>
  <si>
    <t>Converting release2 of GSM model to C-lim version</t>
  </si>
  <si>
    <t>Converting release2 of GSM model to N-lim version</t>
  </si>
  <si>
    <r>
      <t>"13BDglucan_c"</t>
    </r>
    <r>
      <rPr>
        <sz val="12"/>
        <color rgb="FF3B3B3B"/>
        <rFont val="Menlo"/>
        <family val="2"/>
      </rPr>
      <t>:</t>
    </r>
    <r>
      <rPr>
        <sz val="12"/>
        <color rgb="FF098658"/>
        <rFont val="Menlo"/>
        <family val="2"/>
      </rPr>
      <t>-1.505405</t>
    </r>
    <r>
      <rPr>
        <sz val="12"/>
        <color rgb="FF3B3B3B"/>
        <rFont val="Menlo"/>
        <family val="2"/>
      </rPr>
      <t>,</t>
    </r>
  </si>
  <si>
    <r>
      <t>"16BDglucan_en"</t>
    </r>
    <r>
      <rPr>
        <sz val="12"/>
        <color rgb="FF3B3B3B"/>
        <rFont val="Menlo"/>
        <family val="2"/>
      </rPr>
      <t>:</t>
    </r>
    <r>
      <rPr>
        <sz val="12"/>
        <color rgb="FF098658"/>
        <rFont val="Menlo"/>
        <family val="2"/>
      </rPr>
      <t>-0.39616</t>
    </r>
    <r>
      <rPr>
        <sz val="12"/>
        <color rgb="FF3B3B3B"/>
        <rFont val="Menlo"/>
        <family val="2"/>
      </rPr>
      <t>,</t>
    </r>
  </si>
  <si>
    <r>
      <t>"G00006_c"</t>
    </r>
    <r>
      <rPr>
        <sz val="12"/>
        <color rgb="FF3B3B3B"/>
        <rFont val="Menlo"/>
        <family val="2"/>
      </rPr>
      <t>:</t>
    </r>
    <r>
      <rPr>
        <sz val="12"/>
        <color rgb="FF098658"/>
        <rFont val="Menlo"/>
        <family val="2"/>
      </rPr>
      <t>-0.022241</t>
    </r>
    <r>
      <rPr>
        <sz val="12"/>
        <color rgb="FF3B3B3B"/>
        <rFont val="Menlo"/>
        <family val="2"/>
      </rPr>
      <t>,</t>
    </r>
  </si>
  <si>
    <r>
      <t>"adp_c"</t>
    </r>
    <r>
      <rPr>
        <sz val="12"/>
        <color rgb="FF3B3B3B"/>
        <rFont val="Menlo"/>
        <family val="2"/>
      </rPr>
      <t>:</t>
    </r>
    <r>
      <rPr>
        <sz val="12"/>
        <color rgb="FF098658"/>
        <rFont val="Menlo"/>
        <family val="2"/>
      </rPr>
      <t>183.6717</t>
    </r>
    <r>
      <rPr>
        <sz val="12"/>
        <color rgb="FF3B3B3B"/>
        <rFont val="Menlo"/>
        <family val="2"/>
      </rPr>
      <t>,</t>
    </r>
  </si>
  <si>
    <r>
      <t>"alatrna_c"</t>
    </r>
    <r>
      <rPr>
        <sz val="12"/>
        <color rgb="FF3B3B3B"/>
        <rFont val="Menlo"/>
        <family val="2"/>
      </rPr>
      <t>:</t>
    </r>
    <r>
      <rPr>
        <sz val="12"/>
        <color rgb="FF098658"/>
        <rFont val="Menlo"/>
        <family val="2"/>
      </rPr>
      <t>-0.121529</t>
    </r>
    <r>
      <rPr>
        <sz val="12"/>
        <color rgb="FF3B3B3B"/>
        <rFont val="Menlo"/>
        <family val="2"/>
      </rPr>
      <t>,</t>
    </r>
  </si>
  <si>
    <r>
      <t>"amet_c"</t>
    </r>
    <r>
      <rPr>
        <sz val="12"/>
        <color rgb="FF3B3B3B"/>
        <rFont val="Menlo"/>
        <family val="2"/>
      </rPr>
      <t>:</t>
    </r>
    <r>
      <rPr>
        <sz val="12"/>
        <color rgb="FF098658"/>
        <rFont val="Menlo"/>
        <family val="2"/>
      </rPr>
      <t>-0.000101</t>
    </r>
    <r>
      <rPr>
        <sz val="12"/>
        <color rgb="FF3B3B3B"/>
        <rFont val="Menlo"/>
        <family val="2"/>
      </rPr>
      <t>,</t>
    </r>
  </si>
  <si>
    <r>
      <t>"argtrna_c"</t>
    </r>
    <r>
      <rPr>
        <sz val="12"/>
        <color rgb="FF3B3B3B"/>
        <rFont val="Menlo"/>
        <family val="2"/>
      </rPr>
      <t>:</t>
    </r>
    <r>
      <rPr>
        <sz val="12"/>
        <color rgb="FF098658"/>
        <rFont val="Menlo"/>
        <family val="2"/>
      </rPr>
      <t>-0.048014</t>
    </r>
    <r>
      <rPr>
        <sz val="12"/>
        <color rgb="FF3B3B3B"/>
        <rFont val="Menlo"/>
        <family val="2"/>
      </rPr>
      <t>,</t>
    </r>
  </si>
  <si>
    <r>
      <t>"asntrna_c"</t>
    </r>
    <r>
      <rPr>
        <sz val="12"/>
        <color rgb="FF3B3B3B"/>
        <rFont val="Menlo"/>
        <family val="2"/>
      </rPr>
      <t>:</t>
    </r>
    <r>
      <rPr>
        <sz val="12"/>
        <color rgb="FF098658"/>
        <rFont val="Menlo"/>
        <family val="2"/>
      </rPr>
      <t>-0.057717</t>
    </r>
    <r>
      <rPr>
        <sz val="12"/>
        <color rgb="FF3B3B3B"/>
        <rFont val="Menlo"/>
        <family val="2"/>
      </rPr>
      <t>,</t>
    </r>
  </si>
  <si>
    <r>
      <t>"asptrna_c"</t>
    </r>
    <r>
      <rPr>
        <sz val="12"/>
        <color rgb="FF3B3B3B"/>
        <rFont val="Menlo"/>
        <family val="2"/>
      </rPr>
      <t>:</t>
    </r>
    <r>
      <rPr>
        <sz val="12"/>
        <color rgb="FF098658"/>
        <rFont val="Menlo"/>
        <family val="2"/>
      </rPr>
      <t>-0.057717</t>
    </r>
    <r>
      <rPr>
        <sz val="12"/>
        <color rgb="FF3B3B3B"/>
        <rFont val="Menlo"/>
        <family val="2"/>
      </rPr>
      <t>,</t>
    </r>
  </si>
  <si>
    <r>
      <t>"atp_c"</t>
    </r>
    <r>
      <rPr>
        <sz val="12"/>
        <color rgb="FF3B3B3B"/>
        <rFont val="Menlo"/>
        <family val="2"/>
      </rPr>
      <t>:</t>
    </r>
    <r>
      <rPr>
        <sz val="12"/>
        <color rgb="FF098658"/>
        <rFont val="Menlo"/>
        <family val="2"/>
      </rPr>
      <t>-183.672546</t>
    </r>
    <r>
      <rPr>
        <sz val="12"/>
        <color rgb="FF3B3B3B"/>
        <rFont val="Menlo"/>
        <family val="2"/>
      </rPr>
      <t>,</t>
    </r>
  </si>
  <si>
    <r>
      <t>"btn_c"</t>
    </r>
    <r>
      <rPr>
        <sz val="12"/>
        <color rgb="FF3B3B3B"/>
        <rFont val="Menlo"/>
        <family val="2"/>
      </rPr>
      <t>:</t>
    </r>
    <r>
      <rPr>
        <sz val="12"/>
        <color rgb="FF098658"/>
        <rFont val="Menlo"/>
        <family val="2"/>
      </rPr>
      <t>-0.000101</t>
    </r>
    <r>
      <rPr>
        <sz val="12"/>
        <color rgb="FF3B3B3B"/>
        <rFont val="Menlo"/>
        <family val="2"/>
      </rPr>
      <t>,</t>
    </r>
  </si>
  <si>
    <r>
      <t>"ca2_c"</t>
    </r>
    <r>
      <rPr>
        <sz val="12"/>
        <color rgb="FF3B3B3B"/>
        <rFont val="Menlo"/>
        <family val="2"/>
      </rPr>
      <t>:</t>
    </r>
    <r>
      <rPr>
        <sz val="12"/>
        <color rgb="FF098658"/>
        <rFont val="Menlo"/>
        <family val="2"/>
      </rPr>
      <t>-0.001297</t>
    </r>
    <r>
      <rPr>
        <sz val="12"/>
        <color rgb="FF3B3B3B"/>
        <rFont val="Menlo"/>
        <family val="2"/>
      </rPr>
      <t>,</t>
    </r>
  </si>
  <si>
    <r>
      <t>"chtn_c"</t>
    </r>
    <r>
      <rPr>
        <sz val="12"/>
        <color rgb="FF3B3B3B"/>
        <rFont val="Menlo"/>
        <family val="2"/>
      </rPr>
      <t>:</t>
    </r>
    <r>
      <rPr>
        <sz val="12"/>
        <color rgb="FF098658"/>
        <rFont val="Menlo"/>
        <family val="2"/>
      </rPr>
      <t>-0.035592</t>
    </r>
    <r>
      <rPr>
        <sz val="12"/>
        <color rgb="FF3B3B3B"/>
        <rFont val="Menlo"/>
        <family val="2"/>
      </rPr>
      <t>,</t>
    </r>
  </si>
  <si>
    <r>
      <t>"coa_c"</t>
    </r>
    <r>
      <rPr>
        <sz val="12"/>
        <color rgb="FF3B3B3B"/>
        <rFont val="Menlo"/>
        <family val="2"/>
      </rPr>
      <t>:</t>
    </r>
    <r>
      <rPr>
        <sz val="12"/>
        <color rgb="FF098658"/>
        <rFont val="Menlo"/>
        <family val="2"/>
      </rPr>
      <t>-0.000101</t>
    </r>
    <r>
      <rPr>
        <sz val="12"/>
        <color rgb="FF3B3B3B"/>
        <rFont val="Menlo"/>
        <family val="2"/>
      </rPr>
      <t>,</t>
    </r>
  </si>
  <si>
    <r>
      <t>"ctp_c"</t>
    </r>
    <r>
      <rPr>
        <sz val="12"/>
        <color rgb="FF3B3B3B"/>
        <rFont val="Menlo"/>
        <family val="2"/>
      </rPr>
      <t>:</t>
    </r>
    <r>
      <rPr>
        <sz val="12"/>
        <color rgb="FF098658"/>
        <rFont val="Menlo"/>
        <family val="2"/>
      </rPr>
      <t>-0.025956</t>
    </r>
    <r>
      <rPr>
        <sz val="12"/>
        <color rgb="FF3B3B3B"/>
        <rFont val="Menlo"/>
        <family val="2"/>
      </rPr>
      <t>,</t>
    </r>
  </si>
  <si>
    <r>
      <t>"cu2_c"</t>
    </r>
    <r>
      <rPr>
        <sz val="12"/>
        <color rgb="FF3B3B3B"/>
        <rFont val="Menlo"/>
        <family val="2"/>
      </rPr>
      <t>:</t>
    </r>
    <r>
      <rPr>
        <sz val="12"/>
        <color rgb="FF098658"/>
        <rFont val="Menlo"/>
        <family val="2"/>
      </rPr>
      <t>-0.000115</t>
    </r>
    <r>
      <rPr>
        <sz val="12"/>
        <color rgb="FF3B3B3B"/>
        <rFont val="Menlo"/>
        <family val="2"/>
      </rPr>
      <t>,</t>
    </r>
  </si>
  <si>
    <r>
      <t>"cystrna_c"</t>
    </r>
    <r>
      <rPr>
        <sz val="12"/>
        <color rgb="FF3B3B3B"/>
        <rFont val="Menlo"/>
        <family val="2"/>
      </rPr>
      <t>:</t>
    </r>
    <r>
      <rPr>
        <sz val="12"/>
        <color rgb="FF098658"/>
        <rFont val="Menlo"/>
        <family val="2"/>
      </rPr>
      <t>-0.001741</t>
    </r>
    <r>
      <rPr>
        <sz val="12"/>
        <color rgb="FF3B3B3B"/>
        <rFont val="Menlo"/>
        <family val="2"/>
      </rPr>
      <t>,</t>
    </r>
  </si>
  <si>
    <r>
      <t>"datp_c"</t>
    </r>
    <r>
      <rPr>
        <sz val="12"/>
        <color rgb="FF3B3B3B"/>
        <rFont val="Menlo"/>
        <family val="2"/>
      </rPr>
      <t>:</t>
    </r>
    <r>
      <rPr>
        <sz val="12"/>
        <color rgb="FF098658"/>
        <rFont val="Menlo"/>
        <family val="2"/>
      </rPr>
      <t>-0.015209</t>
    </r>
    <r>
      <rPr>
        <sz val="12"/>
        <color rgb="FF3B3B3B"/>
        <rFont val="Menlo"/>
        <family val="2"/>
      </rPr>
      <t>,</t>
    </r>
  </si>
  <si>
    <r>
      <t>"dctp_c"</t>
    </r>
    <r>
      <rPr>
        <sz val="12"/>
        <color rgb="FF3B3B3B"/>
        <rFont val="Menlo"/>
        <family val="2"/>
      </rPr>
      <t>:</t>
    </r>
    <r>
      <rPr>
        <sz val="12"/>
        <color rgb="FF098658"/>
        <rFont val="Menlo"/>
        <family val="2"/>
      </rPr>
      <t>-0.023738</t>
    </r>
    <r>
      <rPr>
        <sz val="12"/>
        <color rgb="FF3B3B3B"/>
        <rFont val="Menlo"/>
        <family val="2"/>
      </rPr>
      <t>,</t>
    </r>
  </si>
  <si>
    <r>
      <t>"dgtp_c"</t>
    </r>
    <r>
      <rPr>
        <sz val="12"/>
        <color rgb="FF3B3B3B"/>
        <rFont val="Menlo"/>
        <family val="2"/>
      </rPr>
      <t>:</t>
    </r>
    <r>
      <rPr>
        <sz val="12"/>
        <color rgb="FF098658"/>
        <rFont val="Menlo"/>
        <family val="2"/>
      </rPr>
      <t>-0.023738</t>
    </r>
    <r>
      <rPr>
        <sz val="12"/>
        <color rgb="FF3B3B3B"/>
        <rFont val="Menlo"/>
        <family val="2"/>
      </rPr>
      <t>,</t>
    </r>
  </si>
  <si>
    <r>
      <t>"docosa_c"</t>
    </r>
    <r>
      <rPr>
        <sz val="12"/>
        <color rgb="FF3B3B3B"/>
        <rFont val="Menlo"/>
        <family val="2"/>
      </rPr>
      <t>:</t>
    </r>
    <r>
      <rPr>
        <sz val="12"/>
        <color rgb="FF098658"/>
        <rFont val="Menlo"/>
        <family val="2"/>
      </rPr>
      <t>-0.000202</t>
    </r>
    <r>
      <rPr>
        <sz val="12"/>
        <color rgb="FF3B3B3B"/>
        <rFont val="Menlo"/>
        <family val="2"/>
      </rPr>
      <t>,</t>
    </r>
  </si>
  <si>
    <r>
      <t>"dttp_c"</t>
    </r>
    <r>
      <rPr>
        <sz val="12"/>
        <color rgb="FF3B3B3B"/>
        <rFont val="Menlo"/>
        <family val="2"/>
      </rPr>
      <t>:</t>
    </r>
    <r>
      <rPr>
        <sz val="12"/>
        <color rgb="FF098658"/>
        <rFont val="Menlo"/>
        <family val="2"/>
      </rPr>
      <t>-0.015209</t>
    </r>
    <r>
      <rPr>
        <sz val="12"/>
        <color rgb="FF3B3B3B"/>
        <rFont val="Menlo"/>
        <family val="2"/>
      </rPr>
      <t>,</t>
    </r>
  </si>
  <si>
    <r>
      <t>"epist_c"</t>
    </r>
    <r>
      <rPr>
        <sz val="12"/>
        <color rgb="FF3B3B3B"/>
        <rFont val="Menlo"/>
        <family val="2"/>
      </rPr>
      <t>:</t>
    </r>
    <r>
      <rPr>
        <sz val="12"/>
        <color rgb="FF098658"/>
        <rFont val="Menlo"/>
        <family val="2"/>
      </rPr>
      <t>-0.511075</t>
    </r>
    <r>
      <rPr>
        <sz val="12"/>
        <color rgb="FF3B3B3B"/>
        <rFont val="Menlo"/>
        <family val="2"/>
      </rPr>
      <t>,</t>
    </r>
  </si>
  <si>
    <r>
      <t>"fad_c"</t>
    </r>
    <r>
      <rPr>
        <sz val="12"/>
        <color rgb="FF3B3B3B"/>
        <rFont val="Menlo"/>
        <family val="2"/>
      </rPr>
      <t>:</t>
    </r>
    <r>
      <rPr>
        <sz val="12"/>
        <color rgb="FF098658"/>
        <rFont val="Menlo"/>
        <family val="2"/>
      </rPr>
      <t>-0.000101</t>
    </r>
    <r>
      <rPr>
        <sz val="12"/>
        <color rgb="FF3B3B3B"/>
        <rFont val="Menlo"/>
        <family val="2"/>
      </rPr>
      <t>,</t>
    </r>
  </si>
  <si>
    <r>
      <t>"fe2_c"</t>
    </r>
    <r>
      <rPr>
        <sz val="12"/>
        <color rgb="FF3B3B3B"/>
        <rFont val="Menlo"/>
        <family val="2"/>
      </rPr>
      <t>:</t>
    </r>
    <r>
      <rPr>
        <sz val="12"/>
        <color rgb="FF098658"/>
        <rFont val="Menlo"/>
        <family val="2"/>
      </rPr>
      <t>-0.00067</t>
    </r>
    <r>
      <rPr>
        <sz val="12"/>
        <color rgb="FF3B3B3B"/>
        <rFont val="Menlo"/>
        <family val="2"/>
      </rPr>
      <t>,</t>
    </r>
  </si>
  <si>
    <r>
      <t>"glntrna_c"</t>
    </r>
    <r>
      <rPr>
        <sz val="12"/>
        <color rgb="FF3B3B3B"/>
        <rFont val="Menlo"/>
        <family val="2"/>
      </rPr>
      <t>:</t>
    </r>
    <r>
      <rPr>
        <sz val="12"/>
        <color rgb="FF098658"/>
        <rFont val="Menlo"/>
        <family val="2"/>
      </rPr>
      <t>-0.096277</t>
    </r>
    <r>
      <rPr>
        <sz val="12"/>
        <color rgb="FF3B3B3B"/>
        <rFont val="Menlo"/>
        <family val="2"/>
      </rPr>
      <t>,</t>
    </r>
  </si>
  <si>
    <r>
      <t>"glutrna_c"</t>
    </r>
    <r>
      <rPr>
        <sz val="12"/>
        <color rgb="FF3B3B3B"/>
        <rFont val="Menlo"/>
        <family val="2"/>
      </rPr>
      <t>:</t>
    </r>
    <r>
      <rPr>
        <sz val="12"/>
        <color rgb="FF098658"/>
        <rFont val="Menlo"/>
        <family val="2"/>
      </rPr>
      <t>-0.096277</t>
    </r>
    <r>
      <rPr>
        <sz val="12"/>
        <color rgb="FF3B3B3B"/>
        <rFont val="Menlo"/>
        <family val="2"/>
      </rPr>
      <t>,</t>
    </r>
  </si>
  <si>
    <r>
      <t>"glytrna_c"</t>
    </r>
    <r>
      <rPr>
        <sz val="12"/>
        <color rgb="FF3B3B3B"/>
        <rFont val="Menlo"/>
        <family val="2"/>
      </rPr>
      <t>:</t>
    </r>
    <r>
      <rPr>
        <sz val="12"/>
        <color rgb="FF098658"/>
        <rFont val="Menlo"/>
        <family val="2"/>
      </rPr>
      <t>-0.110582</t>
    </r>
    <r>
      <rPr>
        <sz val="12"/>
        <color rgb="FF3B3B3B"/>
        <rFont val="Menlo"/>
        <family val="2"/>
      </rPr>
      <t>,</t>
    </r>
  </si>
  <si>
    <r>
      <t>"gpianchorSC_r"</t>
    </r>
    <r>
      <rPr>
        <sz val="12"/>
        <color rgb="FF3B3B3B"/>
        <rFont val="Menlo"/>
        <family val="2"/>
      </rPr>
      <t>:</t>
    </r>
    <r>
      <rPr>
        <sz val="12"/>
        <color rgb="FF098658"/>
        <rFont val="Menlo"/>
        <family val="2"/>
      </rPr>
      <t>-0.025571</t>
    </r>
    <r>
      <rPr>
        <sz val="12"/>
        <color rgb="FF3B3B3B"/>
        <rFont val="Menlo"/>
        <family val="2"/>
      </rPr>
      <t>,</t>
    </r>
  </si>
  <si>
    <r>
      <t>"gtp_c"</t>
    </r>
    <r>
      <rPr>
        <sz val="12"/>
        <color rgb="FF3B3B3B"/>
        <rFont val="Menlo"/>
        <family val="2"/>
      </rPr>
      <t>:</t>
    </r>
    <r>
      <rPr>
        <sz val="12"/>
        <color rgb="FF098658"/>
        <rFont val="Menlo"/>
        <family val="2"/>
      </rPr>
      <t>-0.022743</t>
    </r>
    <r>
      <rPr>
        <sz val="12"/>
        <color rgb="FF3B3B3B"/>
        <rFont val="Menlo"/>
        <family val="2"/>
      </rPr>
      <t>,</t>
    </r>
  </si>
  <si>
    <r>
      <t>"h2o_c"</t>
    </r>
    <r>
      <rPr>
        <sz val="12"/>
        <color rgb="FF3B3B3B"/>
        <rFont val="Menlo"/>
        <family val="2"/>
      </rPr>
      <t>:</t>
    </r>
    <r>
      <rPr>
        <sz val="12"/>
        <color rgb="FF098658"/>
        <rFont val="Menlo"/>
        <family val="2"/>
      </rPr>
      <t>-183.6717</t>
    </r>
    <r>
      <rPr>
        <sz val="12"/>
        <color rgb="FF3B3B3B"/>
        <rFont val="Menlo"/>
        <family val="2"/>
      </rPr>
      <t>,</t>
    </r>
  </si>
  <si>
    <r>
      <t>"h_c"</t>
    </r>
    <r>
      <rPr>
        <sz val="12"/>
        <color rgb="FF3B3B3B"/>
        <rFont val="Menlo"/>
        <family val="2"/>
      </rPr>
      <t>:</t>
    </r>
    <r>
      <rPr>
        <sz val="12"/>
        <color rgb="FF098658"/>
        <rFont val="Menlo"/>
        <family val="2"/>
      </rPr>
      <t>183.6717</t>
    </r>
    <r>
      <rPr>
        <sz val="12"/>
        <color rgb="FF3B3B3B"/>
        <rFont val="Menlo"/>
        <family val="2"/>
      </rPr>
      <t>,</t>
    </r>
  </si>
  <si>
    <r>
      <t>"hdca_c"</t>
    </r>
    <r>
      <rPr>
        <sz val="12"/>
        <color rgb="FF3B3B3B"/>
        <rFont val="Menlo"/>
        <family val="2"/>
      </rPr>
      <t>:</t>
    </r>
    <r>
      <rPr>
        <sz val="12"/>
        <color rgb="FF098658"/>
        <rFont val="Menlo"/>
        <family val="2"/>
      </rPr>
      <t>-0.002439</t>
    </r>
    <r>
      <rPr>
        <sz val="12"/>
        <color rgb="FF3B3B3B"/>
        <rFont val="Menlo"/>
        <family val="2"/>
      </rPr>
      <t>,</t>
    </r>
  </si>
  <si>
    <r>
      <t>"hemeA_c"</t>
    </r>
    <r>
      <rPr>
        <sz val="12"/>
        <color rgb="FF3B3B3B"/>
        <rFont val="Menlo"/>
        <family val="2"/>
      </rPr>
      <t>:</t>
    </r>
    <r>
      <rPr>
        <sz val="12"/>
        <color rgb="FF098658"/>
        <rFont val="Menlo"/>
        <family val="2"/>
      </rPr>
      <t>-0.000101</t>
    </r>
    <r>
      <rPr>
        <sz val="12"/>
        <color rgb="FF3B3B3B"/>
        <rFont val="Menlo"/>
        <family val="2"/>
      </rPr>
      <t>,</t>
    </r>
  </si>
  <si>
    <r>
      <t>"histrna_c"</t>
    </r>
    <r>
      <rPr>
        <sz val="12"/>
        <color rgb="FF3B3B3B"/>
        <rFont val="Menlo"/>
        <family val="2"/>
      </rPr>
      <t>:</t>
    </r>
    <r>
      <rPr>
        <sz val="12"/>
        <color rgb="FF098658"/>
        <rFont val="Menlo"/>
        <family val="2"/>
      </rPr>
      <t>-0.024007</t>
    </r>
    <r>
      <rPr>
        <sz val="12"/>
        <color rgb="FF3B3B3B"/>
        <rFont val="Menlo"/>
        <family val="2"/>
      </rPr>
      <t>,</t>
    </r>
  </si>
  <si>
    <r>
      <t>"iletrna_c"</t>
    </r>
    <r>
      <rPr>
        <sz val="12"/>
        <color rgb="FF3B3B3B"/>
        <rFont val="Menlo"/>
        <family val="2"/>
      </rPr>
      <t>:</t>
    </r>
    <r>
      <rPr>
        <sz val="12"/>
        <color rgb="FF098658"/>
        <rFont val="Menlo"/>
        <family val="2"/>
      </rPr>
      <t>-0.073265</t>
    </r>
    <r>
      <rPr>
        <sz val="12"/>
        <color rgb="FF3B3B3B"/>
        <rFont val="Menlo"/>
        <family val="2"/>
      </rPr>
      <t>,</t>
    </r>
  </si>
  <si>
    <r>
      <t>"ipc_g"</t>
    </r>
    <r>
      <rPr>
        <sz val="12"/>
        <color rgb="FF3B3B3B"/>
        <rFont val="Menlo"/>
        <family val="2"/>
      </rPr>
      <t>:</t>
    </r>
    <r>
      <rPr>
        <sz val="12"/>
        <color rgb="FF098658"/>
        <rFont val="Menlo"/>
        <family val="2"/>
      </rPr>
      <t>-0.014554</t>
    </r>
    <r>
      <rPr>
        <sz val="12"/>
        <color rgb="FF3B3B3B"/>
        <rFont val="Menlo"/>
        <family val="2"/>
      </rPr>
      <t>,</t>
    </r>
  </si>
  <si>
    <r>
      <t>"k_c"</t>
    </r>
    <r>
      <rPr>
        <sz val="12"/>
        <color rgb="FF3B3B3B"/>
        <rFont val="Menlo"/>
        <family val="2"/>
      </rPr>
      <t>:</t>
    </r>
    <r>
      <rPr>
        <sz val="12"/>
        <color rgb="FF098658"/>
        <rFont val="Menlo"/>
        <family val="2"/>
      </rPr>
      <t>-0.608732</t>
    </r>
    <r>
      <rPr>
        <sz val="12"/>
        <color rgb="FF3B3B3B"/>
        <rFont val="Menlo"/>
        <family val="2"/>
      </rPr>
      <t>,</t>
    </r>
  </si>
  <si>
    <r>
      <t>"leutrna_c"</t>
    </r>
    <r>
      <rPr>
        <sz val="12"/>
        <color rgb="FF3B3B3B"/>
        <rFont val="Menlo"/>
        <family val="2"/>
      </rPr>
      <t>:</t>
    </r>
    <r>
      <rPr>
        <sz val="12"/>
        <color rgb="FF098658"/>
        <rFont val="Menlo"/>
        <family val="2"/>
      </rPr>
      <t>-0.099636</t>
    </r>
    <r>
      <rPr>
        <sz val="12"/>
        <color rgb="FF3B3B3B"/>
        <rFont val="Menlo"/>
        <family val="2"/>
      </rPr>
      <t>,</t>
    </r>
  </si>
  <si>
    <r>
      <t>"linoea_c"</t>
    </r>
    <r>
      <rPr>
        <sz val="12"/>
        <color rgb="FF3B3B3B"/>
        <rFont val="Menlo"/>
        <family val="2"/>
      </rPr>
      <t>:</t>
    </r>
    <r>
      <rPr>
        <sz val="12"/>
        <color rgb="FF098658"/>
        <rFont val="Menlo"/>
        <family val="2"/>
      </rPr>
      <t>-0.003081</t>
    </r>
    <r>
      <rPr>
        <sz val="12"/>
        <color rgb="FF3B3B3B"/>
        <rFont val="Menlo"/>
        <family val="2"/>
      </rPr>
      <t>,</t>
    </r>
  </si>
  <si>
    <r>
      <t>"linolen_c"</t>
    </r>
    <r>
      <rPr>
        <sz val="12"/>
        <color rgb="FF3B3B3B"/>
        <rFont val="Menlo"/>
        <family val="2"/>
      </rPr>
      <t>:</t>
    </r>
    <r>
      <rPr>
        <sz val="12"/>
        <color rgb="FF098658"/>
        <rFont val="Menlo"/>
        <family val="2"/>
      </rPr>
      <t>-0.001219</t>
    </r>
    <r>
      <rPr>
        <sz val="12"/>
        <color rgb="FF3B3B3B"/>
        <rFont val="Menlo"/>
        <family val="2"/>
      </rPr>
      <t>,</t>
    </r>
  </si>
  <si>
    <r>
      <t>"lystrna_c"</t>
    </r>
    <r>
      <rPr>
        <sz val="12"/>
        <color rgb="FF3B3B3B"/>
        <rFont val="Menlo"/>
        <family val="2"/>
      </rPr>
      <t>:</t>
    </r>
    <r>
      <rPr>
        <sz val="12"/>
        <color rgb="FF098658"/>
        <rFont val="Menlo"/>
        <family val="2"/>
      </rPr>
      <t>-0.081724</t>
    </r>
    <r>
      <rPr>
        <sz val="12"/>
        <color rgb="FF3B3B3B"/>
        <rFont val="Menlo"/>
        <family val="2"/>
      </rPr>
      <t>,</t>
    </r>
  </si>
  <si>
    <r>
      <t>"mettrna_c"</t>
    </r>
    <r>
      <rPr>
        <sz val="12"/>
        <color rgb="FF3B3B3B"/>
        <rFont val="Menlo"/>
        <family val="2"/>
      </rPr>
      <t>:</t>
    </r>
    <r>
      <rPr>
        <sz val="12"/>
        <color rgb="FF098658"/>
        <rFont val="Menlo"/>
        <family val="2"/>
      </rPr>
      <t>-0.01418</t>
    </r>
    <r>
      <rPr>
        <sz val="12"/>
        <color rgb="FF3B3B3B"/>
        <rFont val="Menlo"/>
        <family val="2"/>
      </rPr>
      <t>,</t>
    </r>
  </si>
  <si>
    <r>
      <t>"mg2_c"</t>
    </r>
    <r>
      <rPr>
        <sz val="12"/>
        <color rgb="FF3B3B3B"/>
        <rFont val="Menlo"/>
        <family val="2"/>
      </rPr>
      <t>:</t>
    </r>
    <r>
      <rPr>
        <sz val="12"/>
        <color rgb="FF098658"/>
        <rFont val="Menlo"/>
        <family val="2"/>
      </rPr>
      <t>-0.064142</t>
    </r>
    <r>
      <rPr>
        <sz val="12"/>
        <color rgb="FF3B3B3B"/>
        <rFont val="Menlo"/>
        <family val="2"/>
      </rPr>
      <t>,</t>
    </r>
  </si>
  <si>
    <r>
      <t>"mn2_c"</t>
    </r>
    <r>
      <rPr>
        <sz val="12"/>
        <color rgb="FF3B3B3B"/>
        <rFont val="Menlo"/>
        <family val="2"/>
      </rPr>
      <t>:</t>
    </r>
    <r>
      <rPr>
        <sz val="12"/>
        <color rgb="FF098658"/>
        <rFont val="Menlo"/>
        <family val="2"/>
      </rPr>
      <t>-9.5e-05</t>
    </r>
    <r>
      <rPr>
        <sz val="12"/>
        <color rgb="FF3B3B3B"/>
        <rFont val="Menlo"/>
        <family val="2"/>
      </rPr>
      <t>,</t>
    </r>
  </si>
  <si>
    <r>
      <t>"nad_c"</t>
    </r>
    <r>
      <rPr>
        <sz val="12"/>
        <color rgb="FF3B3B3B"/>
        <rFont val="Menlo"/>
        <family val="2"/>
      </rPr>
      <t>:</t>
    </r>
    <r>
      <rPr>
        <sz val="12"/>
        <color rgb="FF098658"/>
        <rFont val="Menlo"/>
        <family val="2"/>
      </rPr>
      <t>-0.000101</t>
    </r>
    <r>
      <rPr>
        <sz val="12"/>
        <color rgb="FF3B3B3B"/>
        <rFont val="Menlo"/>
        <family val="2"/>
      </rPr>
      <t>,</t>
    </r>
  </si>
  <si>
    <r>
      <t>"nadp_c"</t>
    </r>
    <r>
      <rPr>
        <sz val="12"/>
        <color rgb="FF3B3B3B"/>
        <rFont val="Menlo"/>
        <family val="2"/>
      </rPr>
      <t>:</t>
    </r>
    <r>
      <rPr>
        <sz val="12"/>
        <color rgb="FF098658"/>
        <rFont val="Menlo"/>
        <family val="2"/>
      </rPr>
      <t>-0.000101</t>
    </r>
    <r>
      <rPr>
        <sz val="12"/>
        <color rgb="FF3B3B3B"/>
        <rFont val="Menlo"/>
        <family val="2"/>
      </rPr>
      <t>,</t>
    </r>
  </si>
  <si>
    <r>
      <t>"ocdca_c"</t>
    </r>
    <r>
      <rPr>
        <sz val="12"/>
        <color rgb="FF3B3B3B"/>
        <rFont val="Menlo"/>
        <family val="2"/>
      </rPr>
      <t>:</t>
    </r>
    <r>
      <rPr>
        <sz val="12"/>
        <color rgb="FF098658"/>
        <rFont val="Menlo"/>
        <family val="2"/>
      </rPr>
      <t>-0.002072</t>
    </r>
    <r>
      <rPr>
        <sz val="12"/>
        <color rgb="FF3B3B3B"/>
        <rFont val="Menlo"/>
        <family val="2"/>
      </rPr>
      <t>,</t>
    </r>
  </si>
  <si>
    <r>
      <t>"ocdcea_c"</t>
    </r>
    <r>
      <rPr>
        <sz val="12"/>
        <color rgb="FF3B3B3B"/>
        <rFont val="Menlo"/>
        <family val="2"/>
      </rPr>
      <t>:</t>
    </r>
    <r>
      <rPr>
        <sz val="12"/>
        <color rgb="FF098658"/>
        <rFont val="Menlo"/>
        <family val="2"/>
      </rPr>
      <t>-0.006333</t>
    </r>
    <r>
      <rPr>
        <sz val="12"/>
        <color rgb="FF3B3B3B"/>
        <rFont val="Menlo"/>
        <family val="2"/>
      </rPr>
      <t>,</t>
    </r>
  </si>
  <si>
    <r>
      <t>"oglycanSC_g"</t>
    </r>
    <r>
      <rPr>
        <sz val="12"/>
        <color rgb="FF3B3B3B"/>
        <rFont val="Menlo"/>
        <family val="2"/>
      </rPr>
      <t>:</t>
    </r>
    <r>
      <rPr>
        <sz val="12"/>
        <color rgb="FF098658"/>
        <rFont val="Menlo"/>
        <family val="2"/>
      </rPr>
      <t>-0.071858</t>
    </r>
    <r>
      <rPr>
        <sz val="12"/>
        <color rgb="FF3B3B3B"/>
        <rFont val="Menlo"/>
        <family val="2"/>
      </rPr>
      <t>,</t>
    </r>
  </si>
  <si>
    <r>
      <t>"pail_c"</t>
    </r>
    <r>
      <rPr>
        <sz val="12"/>
        <color rgb="FF3B3B3B"/>
        <rFont val="Menlo"/>
        <family val="2"/>
      </rPr>
      <t>:</t>
    </r>
    <r>
      <rPr>
        <sz val="12"/>
        <color rgb="FF098658"/>
        <rFont val="Menlo"/>
        <family val="2"/>
      </rPr>
      <t>-0.004254</t>
    </r>
    <r>
      <rPr>
        <sz val="12"/>
        <color rgb="FF3B3B3B"/>
        <rFont val="Menlo"/>
        <family val="2"/>
      </rPr>
      <t>,</t>
    </r>
  </si>
  <si>
    <r>
      <t>"pc_c"</t>
    </r>
    <r>
      <rPr>
        <sz val="12"/>
        <color rgb="FF3B3B3B"/>
        <rFont val="Menlo"/>
        <family val="2"/>
      </rPr>
      <t>:</t>
    </r>
    <r>
      <rPr>
        <sz val="12"/>
        <color rgb="FF098658"/>
        <rFont val="Menlo"/>
        <family val="2"/>
      </rPr>
      <t>-0.007985</t>
    </r>
    <r>
      <rPr>
        <sz val="12"/>
        <color rgb="FF3B3B3B"/>
        <rFont val="Menlo"/>
        <family val="2"/>
      </rPr>
      <t>,</t>
    </r>
  </si>
  <si>
    <r>
      <t>"pe_c"</t>
    </r>
    <r>
      <rPr>
        <sz val="12"/>
        <color rgb="FF3B3B3B"/>
        <rFont val="Menlo"/>
        <family val="2"/>
      </rPr>
      <t>:</t>
    </r>
    <r>
      <rPr>
        <sz val="12"/>
        <color rgb="FF098658"/>
        <rFont val="Menlo"/>
        <family val="2"/>
      </rPr>
      <t>-0.001929</t>
    </r>
    <r>
      <rPr>
        <sz val="12"/>
        <color rgb="FF3B3B3B"/>
        <rFont val="Menlo"/>
        <family val="2"/>
      </rPr>
      <t>,</t>
    </r>
  </si>
  <si>
    <r>
      <t>"phetrna_c"</t>
    </r>
    <r>
      <rPr>
        <sz val="12"/>
        <color rgb="FF3B3B3B"/>
        <rFont val="Menlo"/>
        <family val="2"/>
      </rPr>
      <t>:</t>
    </r>
    <r>
      <rPr>
        <sz val="12"/>
        <color rgb="FF098658"/>
        <rFont val="Menlo"/>
        <family val="2"/>
      </rPr>
      <t>-0.046771</t>
    </r>
    <r>
      <rPr>
        <sz val="12"/>
        <color rgb="FF3B3B3B"/>
        <rFont val="Menlo"/>
        <family val="2"/>
      </rPr>
      <t>,</t>
    </r>
  </si>
  <si>
    <r>
      <t>"pi_c"</t>
    </r>
    <r>
      <rPr>
        <sz val="12"/>
        <color rgb="FF3B3B3B"/>
        <rFont val="Menlo"/>
        <family val="2"/>
      </rPr>
      <t>:</t>
    </r>
    <r>
      <rPr>
        <sz val="12"/>
        <color rgb="FF098658"/>
        <rFont val="Menlo"/>
        <family val="2"/>
      </rPr>
      <t>183.565156</t>
    </r>
    <r>
      <rPr>
        <sz val="12"/>
        <color rgb="FF3B3B3B"/>
        <rFont val="Menlo"/>
        <family val="2"/>
      </rPr>
      <t>,</t>
    </r>
  </si>
  <si>
    <r>
      <t>"ppi_c"</t>
    </r>
    <r>
      <rPr>
        <sz val="12"/>
        <color rgb="FF3B3B3B"/>
        <rFont val="Menlo"/>
        <family val="2"/>
      </rPr>
      <t>:</t>
    </r>
    <r>
      <rPr>
        <sz val="12"/>
        <color rgb="FF098658"/>
        <rFont val="Menlo"/>
        <family val="2"/>
      </rPr>
      <t>0.157009</t>
    </r>
    <r>
      <rPr>
        <sz val="12"/>
        <color rgb="FF3B3B3B"/>
        <rFont val="Menlo"/>
        <family val="2"/>
      </rPr>
      <t>,</t>
    </r>
  </si>
  <si>
    <r>
      <t>"protrna_c"</t>
    </r>
    <r>
      <rPr>
        <sz val="12"/>
        <color rgb="FF3B3B3B"/>
        <rFont val="Menlo"/>
        <family val="2"/>
      </rPr>
      <t>:</t>
    </r>
    <r>
      <rPr>
        <sz val="12"/>
        <color rgb="FF098658"/>
        <rFont val="Menlo"/>
        <family val="2"/>
      </rPr>
      <t>-0.052492</t>
    </r>
    <r>
      <rPr>
        <sz val="12"/>
        <color rgb="FF3B3B3B"/>
        <rFont val="Menlo"/>
        <family val="2"/>
      </rPr>
      <t>,</t>
    </r>
  </si>
  <si>
    <r>
      <t>"ps_c"</t>
    </r>
    <r>
      <rPr>
        <sz val="12"/>
        <color rgb="FF3B3B3B"/>
        <rFont val="Menlo"/>
        <family val="2"/>
      </rPr>
      <t>:</t>
    </r>
    <r>
      <rPr>
        <sz val="12"/>
        <color rgb="FF098658"/>
        <rFont val="Menlo"/>
        <family val="2"/>
      </rPr>
      <t>-0.001034</t>
    </r>
    <r>
      <rPr>
        <sz val="12"/>
        <color rgb="FF3B3B3B"/>
        <rFont val="Menlo"/>
        <family val="2"/>
      </rPr>
      <t>,</t>
    </r>
  </si>
  <si>
    <r>
      <t>"ribflv_c"</t>
    </r>
    <r>
      <rPr>
        <sz val="12"/>
        <color rgb="FF3B3B3B"/>
        <rFont val="Menlo"/>
        <family val="2"/>
      </rPr>
      <t>:</t>
    </r>
    <r>
      <rPr>
        <sz val="12"/>
        <color rgb="FF098658"/>
        <rFont val="Menlo"/>
        <family val="2"/>
      </rPr>
      <t>-0.000101</t>
    </r>
    <r>
      <rPr>
        <sz val="12"/>
        <color rgb="FF3B3B3B"/>
        <rFont val="Menlo"/>
        <family val="2"/>
      </rPr>
      <t>,</t>
    </r>
  </si>
  <si>
    <r>
      <t>"sertrna_c"</t>
    </r>
    <r>
      <rPr>
        <sz val="12"/>
        <color rgb="FF3B3B3B"/>
        <rFont val="Menlo"/>
        <family val="2"/>
      </rPr>
      <t>:</t>
    </r>
    <r>
      <rPr>
        <sz val="12"/>
        <color rgb="FF098658"/>
        <rFont val="Menlo"/>
        <family val="2"/>
      </rPr>
      <t>-0.0663</t>
    </r>
    <r>
      <rPr>
        <sz val="12"/>
        <color rgb="FF3B3B3B"/>
        <rFont val="Menlo"/>
        <family val="2"/>
      </rPr>
      <t>,</t>
    </r>
  </si>
  <si>
    <r>
      <t>"so4_c"</t>
    </r>
    <r>
      <rPr>
        <sz val="12"/>
        <color rgb="FF3B3B3B"/>
        <rFont val="Menlo"/>
        <family val="2"/>
      </rPr>
      <t>:</t>
    </r>
    <r>
      <rPr>
        <sz val="12"/>
        <color rgb="FF098658"/>
        <rFont val="Menlo"/>
        <family val="2"/>
      </rPr>
      <t>-0.031486</t>
    </r>
    <r>
      <rPr>
        <sz val="12"/>
        <color rgb="FF3B3B3B"/>
        <rFont val="Menlo"/>
        <family val="2"/>
      </rPr>
      <t>,</t>
    </r>
  </si>
  <si>
    <r>
      <t>"spmd_c"</t>
    </r>
    <r>
      <rPr>
        <sz val="12"/>
        <color rgb="FF3B3B3B"/>
        <rFont val="Menlo"/>
        <family val="2"/>
      </rPr>
      <t>:</t>
    </r>
    <r>
      <rPr>
        <sz val="12"/>
        <color rgb="FF098658"/>
        <rFont val="Menlo"/>
        <family val="2"/>
      </rPr>
      <t>-0.000101</t>
    </r>
    <r>
      <rPr>
        <sz val="12"/>
        <color rgb="FF3B3B3B"/>
        <rFont val="Menlo"/>
        <family val="2"/>
      </rPr>
      <t>,</t>
    </r>
  </si>
  <si>
    <r>
      <t>"tag_c"</t>
    </r>
    <r>
      <rPr>
        <sz val="12"/>
        <color rgb="FF3B3B3B"/>
        <rFont val="Menlo"/>
        <family val="2"/>
      </rPr>
      <t>:</t>
    </r>
    <r>
      <rPr>
        <sz val="12"/>
        <color rgb="FF098658"/>
        <rFont val="Menlo"/>
        <family val="2"/>
      </rPr>
      <t>-0.063231</t>
    </r>
    <r>
      <rPr>
        <sz val="12"/>
        <color rgb="FF3B3B3B"/>
        <rFont val="Menlo"/>
        <family val="2"/>
      </rPr>
      <t>,</t>
    </r>
  </si>
  <si>
    <r>
      <t>"thf_c"</t>
    </r>
    <r>
      <rPr>
        <sz val="12"/>
        <color rgb="FF3B3B3B"/>
        <rFont val="Menlo"/>
        <family val="2"/>
      </rPr>
      <t>:</t>
    </r>
    <r>
      <rPr>
        <sz val="12"/>
        <color rgb="FF098658"/>
        <rFont val="Menlo"/>
        <family val="2"/>
      </rPr>
      <t>-0.000101</t>
    </r>
    <r>
      <rPr>
        <sz val="12"/>
        <color rgb="FF3B3B3B"/>
        <rFont val="Menlo"/>
        <family val="2"/>
      </rPr>
      <t>,</t>
    </r>
  </si>
  <si>
    <r>
      <t>"thmpp_c"</t>
    </r>
    <r>
      <rPr>
        <sz val="12"/>
        <color rgb="FF3B3B3B"/>
        <rFont val="Menlo"/>
        <family val="2"/>
      </rPr>
      <t>:</t>
    </r>
    <r>
      <rPr>
        <sz val="12"/>
        <color rgb="FF098658"/>
        <rFont val="Menlo"/>
        <family val="2"/>
      </rPr>
      <t>-0.000101</t>
    </r>
    <r>
      <rPr>
        <sz val="12"/>
        <color rgb="FF3B3B3B"/>
        <rFont val="Menlo"/>
        <family val="2"/>
      </rPr>
      <t>,</t>
    </r>
  </si>
  <si>
    <r>
      <t>"thrtrna_c"</t>
    </r>
    <r>
      <rPr>
        <sz val="12"/>
        <color rgb="FF3B3B3B"/>
        <rFont val="Menlo"/>
        <family val="2"/>
      </rPr>
      <t>:</t>
    </r>
    <r>
      <rPr>
        <sz val="12"/>
        <color rgb="FF098658"/>
        <rFont val="Menlo"/>
        <family val="2"/>
      </rPr>
      <t>-0.069285</t>
    </r>
    <r>
      <rPr>
        <sz val="12"/>
        <color rgb="FF3B3B3B"/>
        <rFont val="Menlo"/>
        <family val="2"/>
      </rPr>
      <t>,</t>
    </r>
  </si>
  <si>
    <r>
      <t>"trnaala_c"</t>
    </r>
    <r>
      <rPr>
        <sz val="12"/>
        <color rgb="FF3B3B3B"/>
        <rFont val="Menlo"/>
        <family val="2"/>
      </rPr>
      <t>:</t>
    </r>
    <r>
      <rPr>
        <sz val="12"/>
        <color rgb="FF098658"/>
        <rFont val="Menlo"/>
        <family val="2"/>
      </rPr>
      <t>0.121529</t>
    </r>
    <r>
      <rPr>
        <sz val="12"/>
        <color rgb="FF3B3B3B"/>
        <rFont val="Menlo"/>
        <family val="2"/>
      </rPr>
      <t>,</t>
    </r>
  </si>
  <si>
    <r>
      <t>"trnaarg_c"</t>
    </r>
    <r>
      <rPr>
        <sz val="12"/>
        <color rgb="FF3B3B3B"/>
        <rFont val="Menlo"/>
        <family val="2"/>
      </rPr>
      <t>:</t>
    </r>
    <r>
      <rPr>
        <sz val="12"/>
        <color rgb="FF098658"/>
        <rFont val="Menlo"/>
        <family val="2"/>
      </rPr>
      <t>0.048014</t>
    </r>
    <r>
      <rPr>
        <sz val="12"/>
        <color rgb="FF3B3B3B"/>
        <rFont val="Menlo"/>
        <family val="2"/>
      </rPr>
      <t>,</t>
    </r>
  </si>
  <si>
    <r>
      <t>"trnaasn_c"</t>
    </r>
    <r>
      <rPr>
        <sz val="12"/>
        <color rgb="FF3B3B3B"/>
        <rFont val="Menlo"/>
        <family val="2"/>
      </rPr>
      <t>:</t>
    </r>
    <r>
      <rPr>
        <sz val="12"/>
        <color rgb="FF098658"/>
        <rFont val="Menlo"/>
        <family val="2"/>
      </rPr>
      <t>0.057717</t>
    </r>
    <r>
      <rPr>
        <sz val="12"/>
        <color rgb="FF3B3B3B"/>
        <rFont val="Menlo"/>
        <family val="2"/>
      </rPr>
      <t>,</t>
    </r>
  </si>
  <si>
    <r>
      <t>"trnaasp_c"</t>
    </r>
    <r>
      <rPr>
        <sz val="12"/>
        <color rgb="FF3B3B3B"/>
        <rFont val="Menlo"/>
        <family val="2"/>
      </rPr>
      <t>:</t>
    </r>
    <r>
      <rPr>
        <sz val="12"/>
        <color rgb="FF098658"/>
        <rFont val="Menlo"/>
        <family val="2"/>
      </rPr>
      <t>0.057717</t>
    </r>
    <r>
      <rPr>
        <sz val="12"/>
        <color rgb="FF3B3B3B"/>
        <rFont val="Menlo"/>
        <family val="2"/>
      </rPr>
      <t>,</t>
    </r>
  </si>
  <si>
    <r>
      <t>"trnacys_c"</t>
    </r>
    <r>
      <rPr>
        <sz val="12"/>
        <color rgb="FF3B3B3B"/>
        <rFont val="Menlo"/>
        <family val="2"/>
      </rPr>
      <t>:</t>
    </r>
    <r>
      <rPr>
        <sz val="12"/>
        <color rgb="FF098658"/>
        <rFont val="Menlo"/>
        <family val="2"/>
      </rPr>
      <t>0.001741</t>
    </r>
    <r>
      <rPr>
        <sz val="12"/>
        <color rgb="FF3B3B3B"/>
        <rFont val="Menlo"/>
        <family val="2"/>
      </rPr>
      <t>,</t>
    </r>
  </si>
  <si>
    <r>
      <t>"trnagln_c"</t>
    </r>
    <r>
      <rPr>
        <sz val="12"/>
        <color rgb="FF3B3B3B"/>
        <rFont val="Menlo"/>
        <family val="2"/>
      </rPr>
      <t>:</t>
    </r>
    <r>
      <rPr>
        <sz val="12"/>
        <color rgb="FF098658"/>
        <rFont val="Menlo"/>
        <family val="2"/>
      </rPr>
      <t>0.096277</t>
    </r>
    <r>
      <rPr>
        <sz val="12"/>
        <color rgb="FF3B3B3B"/>
        <rFont val="Menlo"/>
        <family val="2"/>
      </rPr>
      <t>,</t>
    </r>
  </si>
  <si>
    <r>
      <t>"trnaglu_c"</t>
    </r>
    <r>
      <rPr>
        <sz val="12"/>
        <color rgb="FF3B3B3B"/>
        <rFont val="Menlo"/>
        <family val="2"/>
      </rPr>
      <t>:</t>
    </r>
    <r>
      <rPr>
        <sz val="12"/>
        <color rgb="FF098658"/>
        <rFont val="Menlo"/>
        <family val="2"/>
      </rPr>
      <t>0.096277</t>
    </r>
    <r>
      <rPr>
        <sz val="12"/>
        <color rgb="FF3B3B3B"/>
        <rFont val="Menlo"/>
        <family val="2"/>
      </rPr>
      <t>,</t>
    </r>
  </si>
  <si>
    <r>
      <t>"trnagly_c"</t>
    </r>
    <r>
      <rPr>
        <sz val="12"/>
        <color rgb="FF3B3B3B"/>
        <rFont val="Menlo"/>
        <family val="2"/>
      </rPr>
      <t>:</t>
    </r>
    <r>
      <rPr>
        <sz val="12"/>
        <color rgb="FF098658"/>
        <rFont val="Menlo"/>
        <family val="2"/>
      </rPr>
      <t>0.110582</t>
    </r>
    <r>
      <rPr>
        <sz val="12"/>
        <color rgb="FF3B3B3B"/>
        <rFont val="Menlo"/>
        <family val="2"/>
      </rPr>
      <t>,</t>
    </r>
  </si>
  <si>
    <r>
      <t>"trnahis_c"</t>
    </r>
    <r>
      <rPr>
        <sz val="12"/>
        <color rgb="FF3B3B3B"/>
        <rFont val="Menlo"/>
        <family val="2"/>
      </rPr>
      <t>:</t>
    </r>
    <r>
      <rPr>
        <sz val="12"/>
        <color rgb="FF098658"/>
        <rFont val="Menlo"/>
        <family val="2"/>
      </rPr>
      <t>0.024007</t>
    </r>
    <r>
      <rPr>
        <sz val="12"/>
        <color rgb="FF3B3B3B"/>
        <rFont val="Menlo"/>
        <family val="2"/>
      </rPr>
      <t>,</t>
    </r>
  </si>
  <si>
    <r>
      <t>"trnaile_c"</t>
    </r>
    <r>
      <rPr>
        <sz val="12"/>
        <color rgb="FF3B3B3B"/>
        <rFont val="Menlo"/>
        <family val="2"/>
      </rPr>
      <t>:</t>
    </r>
    <r>
      <rPr>
        <sz val="12"/>
        <color rgb="FF098658"/>
        <rFont val="Menlo"/>
        <family val="2"/>
      </rPr>
      <t>0.073265</t>
    </r>
    <r>
      <rPr>
        <sz val="12"/>
        <color rgb="FF3B3B3B"/>
        <rFont val="Menlo"/>
        <family val="2"/>
      </rPr>
      <t>,</t>
    </r>
  </si>
  <si>
    <r>
      <t>"trnaleu_c"</t>
    </r>
    <r>
      <rPr>
        <sz val="12"/>
        <color rgb="FF3B3B3B"/>
        <rFont val="Menlo"/>
        <family val="2"/>
      </rPr>
      <t>:</t>
    </r>
    <r>
      <rPr>
        <sz val="12"/>
        <color rgb="FF098658"/>
        <rFont val="Menlo"/>
        <family val="2"/>
      </rPr>
      <t>0.099636</t>
    </r>
    <r>
      <rPr>
        <sz val="12"/>
        <color rgb="FF3B3B3B"/>
        <rFont val="Menlo"/>
        <family val="2"/>
      </rPr>
      <t>,</t>
    </r>
  </si>
  <si>
    <r>
      <t>"trnalys_c"</t>
    </r>
    <r>
      <rPr>
        <sz val="12"/>
        <color rgb="FF3B3B3B"/>
        <rFont val="Menlo"/>
        <family val="2"/>
      </rPr>
      <t>:</t>
    </r>
    <r>
      <rPr>
        <sz val="12"/>
        <color rgb="FF098658"/>
        <rFont val="Menlo"/>
        <family val="2"/>
      </rPr>
      <t>0.081724</t>
    </r>
    <r>
      <rPr>
        <sz val="12"/>
        <color rgb="FF3B3B3B"/>
        <rFont val="Menlo"/>
        <family val="2"/>
      </rPr>
      <t>,</t>
    </r>
  </si>
  <si>
    <r>
      <t>"trnamet_c"</t>
    </r>
    <r>
      <rPr>
        <sz val="12"/>
        <color rgb="FF3B3B3B"/>
        <rFont val="Menlo"/>
        <family val="2"/>
      </rPr>
      <t>:</t>
    </r>
    <r>
      <rPr>
        <sz val="12"/>
        <color rgb="FF098658"/>
        <rFont val="Menlo"/>
        <family val="2"/>
      </rPr>
      <t>0.01418</t>
    </r>
    <r>
      <rPr>
        <sz val="12"/>
        <color rgb="FF3B3B3B"/>
        <rFont val="Menlo"/>
        <family val="2"/>
      </rPr>
      <t>,</t>
    </r>
  </si>
  <si>
    <r>
      <t>"trnaphe_c"</t>
    </r>
    <r>
      <rPr>
        <sz val="12"/>
        <color rgb="FF3B3B3B"/>
        <rFont val="Menlo"/>
        <family val="2"/>
      </rPr>
      <t>:</t>
    </r>
    <r>
      <rPr>
        <sz val="12"/>
        <color rgb="FF098658"/>
        <rFont val="Menlo"/>
        <family val="2"/>
      </rPr>
      <t>0.046771</t>
    </r>
    <r>
      <rPr>
        <sz val="12"/>
        <color rgb="FF3B3B3B"/>
        <rFont val="Menlo"/>
        <family val="2"/>
      </rPr>
      <t>,</t>
    </r>
  </si>
  <si>
    <r>
      <t>"trnapro_c"</t>
    </r>
    <r>
      <rPr>
        <sz val="12"/>
        <color rgb="FF3B3B3B"/>
        <rFont val="Menlo"/>
        <family val="2"/>
      </rPr>
      <t>:</t>
    </r>
    <r>
      <rPr>
        <sz val="12"/>
        <color rgb="FF098658"/>
        <rFont val="Menlo"/>
        <family val="2"/>
      </rPr>
      <t>0.052492</t>
    </r>
    <r>
      <rPr>
        <sz val="12"/>
        <color rgb="FF3B3B3B"/>
        <rFont val="Menlo"/>
        <family val="2"/>
      </rPr>
      <t>,</t>
    </r>
  </si>
  <si>
    <r>
      <t>"trnaser_c"</t>
    </r>
    <r>
      <rPr>
        <sz val="12"/>
        <color rgb="FF3B3B3B"/>
        <rFont val="Menlo"/>
        <family val="2"/>
      </rPr>
      <t>:</t>
    </r>
    <r>
      <rPr>
        <sz val="12"/>
        <color rgb="FF098658"/>
        <rFont val="Menlo"/>
        <family val="2"/>
      </rPr>
      <t>0.0663</t>
    </r>
    <r>
      <rPr>
        <sz val="12"/>
        <color rgb="FF3B3B3B"/>
        <rFont val="Menlo"/>
        <family val="2"/>
      </rPr>
      <t>,</t>
    </r>
  </si>
  <si>
    <r>
      <t>"trnathr_c"</t>
    </r>
    <r>
      <rPr>
        <sz val="12"/>
        <color rgb="FF3B3B3B"/>
        <rFont val="Menlo"/>
        <family val="2"/>
      </rPr>
      <t>:</t>
    </r>
    <r>
      <rPr>
        <sz val="12"/>
        <color rgb="FF098658"/>
        <rFont val="Menlo"/>
        <family val="2"/>
      </rPr>
      <t>0.069285</t>
    </r>
    <r>
      <rPr>
        <sz val="12"/>
        <color rgb="FF3B3B3B"/>
        <rFont val="Menlo"/>
        <family val="2"/>
      </rPr>
      <t>,</t>
    </r>
  </si>
  <si>
    <r>
      <t>"trnatrp_c"</t>
    </r>
    <r>
      <rPr>
        <sz val="12"/>
        <color rgb="FF3B3B3B"/>
        <rFont val="Menlo"/>
        <family val="2"/>
      </rPr>
      <t>:</t>
    </r>
    <r>
      <rPr>
        <sz val="12"/>
        <color rgb="FF098658"/>
        <rFont val="Menlo"/>
        <family val="2"/>
      </rPr>
      <t>0.008085</t>
    </r>
    <r>
      <rPr>
        <sz val="12"/>
        <color rgb="FF3B3B3B"/>
        <rFont val="Menlo"/>
        <family val="2"/>
      </rPr>
      <t>,</t>
    </r>
  </si>
  <si>
    <r>
      <t>"trnatyr_c"</t>
    </r>
    <r>
      <rPr>
        <sz val="12"/>
        <color rgb="FF3B3B3B"/>
        <rFont val="Menlo"/>
        <family val="2"/>
      </rPr>
      <t>:</t>
    </r>
    <r>
      <rPr>
        <sz val="12"/>
        <color rgb="FF098658"/>
        <rFont val="Menlo"/>
        <family val="2"/>
      </rPr>
      <t>0.02438</t>
    </r>
    <r>
      <rPr>
        <sz val="12"/>
        <color rgb="FF3B3B3B"/>
        <rFont val="Menlo"/>
        <family val="2"/>
      </rPr>
      <t>,</t>
    </r>
  </si>
  <si>
    <r>
      <t>"trnaval_c"</t>
    </r>
    <r>
      <rPr>
        <sz val="12"/>
        <color rgb="FF3B3B3B"/>
        <rFont val="Menlo"/>
        <family val="2"/>
      </rPr>
      <t>:</t>
    </r>
    <r>
      <rPr>
        <sz val="12"/>
        <color rgb="FF098658"/>
        <rFont val="Menlo"/>
        <family val="2"/>
      </rPr>
      <t>0.091177</t>
    </r>
    <r>
      <rPr>
        <sz val="12"/>
        <color rgb="FF3B3B3B"/>
        <rFont val="Menlo"/>
        <family val="2"/>
      </rPr>
      <t>,</t>
    </r>
  </si>
  <si>
    <r>
      <t>"trptrna_c"</t>
    </r>
    <r>
      <rPr>
        <sz val="12"/>
        <color rgb="FF3B3B3B"/>
        <rFont val="Menlo"/>
        <family val="2"/>
      </rPr>
      <t>:</t>
    </r>
    <r>
      <rPr>
        <sz val="12"/>
        <color rgb="FF098658"/>
        <rFont val="Menlo"/>
        <family val="2"/>
      </rPr>
      <t>-0.008085</t>
    </r>
    <r>
      <rPr>
        <sz val="12"/>
        <color rgb="FF3B3B3B"/>
        <rFont val="Menlo"/>
        <family val="2"/>
      </rPr>
      <t>,</t>
    </r>
  </si>
  <si>
    <r>
      <t>"ttcosa_c"</t>
    </r>
    <r>
      <rPr>
        <sz val="12"/>
        <color rgb="FF3B3B3B"/>
        <rFont val="Menlo"/>
        <family val="2"/>
      </rPr>
      <t>:</t>
    </r>
    <r>
      <rPr>
        <sz val="12"/>
        <color rgb="FF098658"/>
        <rFont val="Menlo"/>
        <family val="2"/>
      </rPr>
      <t>-0.000807</t>
    </r>
    <r>
      <rPr>
        <sz val="12"/>
        <color rgb="FF3B3B3B"/>
        <rFont val="Menlo"/>
        <family val="2"/>
      </rPr>
      <t>,</t>
    </r>
  </si>
  <si>
    <r>
      <t>"tyrtrna_c"</t>
    </r>
    <r>
      <rPr>
        <sz val="12"/>
        <color rgb="FF3B3B3B"/>
        <rFont val="Menlo"/>
        <family val="2"/>
      </rPr>
      <t>:</t>
    </r>
    <r>
      <rPr>
        <sz val="12"/>
        <color rgb="FF098658"/>
        <rFont val="Menlo"/>
        <family val="2"/>
      </rPr>
      <t>-0.02438</t>
    </r>
    <r>
      <rPr>
        <sz val="12"/>
        <color rgb="FF3B3B3B"/>
        <rFont val="Menlo"/>
        <family val="2"/>
      </rPr>
      <t>,</t>
    </r>
  </si>
  <si>
    <r>
      <t>"utp_c"</t>
    </r>
    <r>
      <rPr>
        <sz val="12"/>
        <color rgb="FF3B3B3B"/>
        <rFont val="Menlo"/>
        <family val="2"/>
      </rPr>
      <t>:</t>
    </r>
    <r>
      <rPr>
        <sz val="12"/>
        <color rgb="FF098658"/>
        <rFont val="Menlo"/>
        <family val="2"/>
      </rPr>
      <t>-0.013605</t>
    </r>
    <r>
      <rPr>
        <sz val="12"/>
        <color rgb="FF3B3B3B"/>
        <rFont val="Menlo"/>
        <family val="2"/>
      </rPr>
      <t>,</t>
    </r>
  </si>
  <si>
    <r>
      <t>"valtrna_c"</t>
    </r>
    <r>
      <rPr>
        <sz val="12"/>
        <color rgb="FF3B3B3B"/>
        <rFont val="Menlo"/>
        <family val="2"/>
      </rPr>
      <t>:</t>
    </r>
    <r>
      <rPr>
        <sz val="12"/>
        <color rgb="FF098658"/>
        <rFont val="Menlo"/>
        <family val="2"/>
      </rPr>
      <t>-0.091177</t>
    </r>
    <r>
      <rPr>
        <sz val="12"/>
        <color rgb="FF3B3B3B"/>
        <rFont val="Menlo"/>
        <family val="2"/>
      </rPr>
      <t>,</t>
    </r>
  </si>
  <si>
    <r>
      <t>"zn2_c"</t>
    </r>
    <r>
      <rPr>
        <sz val="12"/>
        <color rgb="FF3B3B3B"/>
        <rFont val="Menlo"/>
        <family val="2"/>
      </rPr>
      <t>:</t>
    </r>
    <r>
      <rPr>
        <sz val="12"/>
        <color rgb="FF098658"/>
        <rFont val="Menlo"/>
        <family val="2"/>
      </rPr>
      <t>-0.001589</t>
    </r>
  </si>
  <si>
    <t>MW from RT_IFO0880</t>
  </si>
  <si>
    <t>Column1</t>
  </si>
  <si>
    <t>None</t>
  </si>
  <si>
    <t>Kim MW</t>
  </si>
  <si>
    <t>RBA stoich.</t>
  </si>
  <si>
    <t>JSON form</t>
  </si>
  <si>
    <t>Equation form</t>
  </si>
  <si>
    <t>in batch biom?</t>
  </si>
  <si>
    <t>unique biomass parts</t>
  </si>
  <si>
    <t>Included for posterity only, to show how GSM model was adapted based on new biomass calculation methods. Yellow sections indicate likely spots for manual input, so it's easier to create duplicate sheets w/o accidentally editing key formulas</t>
  </si>
  <si>
    <t>1mag</t>
  </si>
  <si>
    <t>dag</t>
  </si>
  <si>
    <t>BIOSYN-BIOXYL-PINHEIRO</t>
  </si>
  <si>
    <t>For C-lim</t>
  </si>
  <si>
    <t>0.684548 13BDglucan_c + 0.180144 16BDglucan_c + 0.405893 ala__L_c + 0.160363 arg__L_c + 0.192768 asn__L_c + 0.192768 asp__L_c + 190.647337 atp_c + 0.001286 ca2_c + 0.016184 chtn_c + 0.119302 ctp_c + 0.000114 cu2_c + 0.005816 cys__L_c + 0.006009 datp_c + 0.009379 dctp_c + 0.009379 dgtp_c + 0.006009 dttp_c + 0.042867 ergst_c + 0.010634 ergstest_c + 0.000664 fe2_c + 0.001922 ffabiom_c + 0.321557 gln__L_c + 0.321557 glu__L_c + 0.369334 gly_c + 0.234811 glycogen_c + 0.104534 gtp_c + 186.43364699999998 h2o_c + 0.080182 his__L_c + 0.244699 ile__L_c + 0.005176 ipcbiom_c + 0.60365 k_c + 0.332774 leu__L_c + 0.27295 lys__L_c + 0.49015 mannan_c + 0.047361 met__L_c + 0.063607 mg2_c + 9.4e-05 mn2_c + 0.007738 pail_c + 0.028783 pc_c + 0.00772 pe_c + 0.156209 phe__L_c + 0.175319 pro__L_c + 0.006643 ps_c + 0.221434 ser__L_c + 0.031223 so4_c + 0.010494 tag_c + 0.231405 thr__L_c + 0.137707 tre_c + 0.027004 trp__L_c + 0.081428 tyr__L_c + 0.062537 utp_c + 0.304524 val__L_c + 0.001576 zn2_c --&gt; 190.57899 adp_c + 190.57899 h_c + 190.473335 pi_c + 0.385495 ppi_c</t>
  </si>
  <si>
    <t>Biomass rxn (batch, from MFA)</t>
  </si>
  <si>
    <t>Seems distinct from anything I've seen, so likely based on the data itself.</t>
  </si>
  <si>
    <t>"adp_c":190.57899</t>
  </si>
  <si>
    <t>"pi_c":190.473335</t>
  </si>
  <si>
    <t>"ppi_c":0.385495</t>
  </si>
  <si>
    <t>"13BDglucan_c":-0.684548</t>
  </si>
  <si>
    <t>"alatrna_c":-0.405893</t>
  </si>
  <si>
    <t>"argtrna_c":-0.160363</t>
  </si>
  <si>
    <t>"asntrna_c":-0.192768</t>
  </si>
  <si>
    <t>"asptrna_c":-0.192768</t>
  </si>
  <si>
    <t>"atp_c":-190.647337</t>
  </si>
  <si>
    <t>"ca2_c":-0.001286</t>
  </si>
  <si>
    <t>"chtn_c":-0.016184</t>
  </si>
  <si>
    <t>"ctp_c":-0.119302</t>
  </si>
  <si>
    <t>"cu2_c":-0.000114</t>
  </si>
  <si>
    <t>"cystrna_c":-0.005816</t>
  </si>
  <si>
    <t>"datp_c":-0.006009</t>
  </si>
  <si>
    <t>"dctp_c":-0.009379</t>
  </si>
  <si>
    <t>"dgtp_c":-0.009379</t>
  </si>
  <si>
    <t>"dttp_c":-0.006009</t>
  </si>
  <si>
    <t>"ergst_c":-0.042867</t>
  </si>
  <si>
    <t>"ergstest_c":-0.010634</t>
  </si>
  <si>
    <t>"fe2_c":-0.000664</t>
  </si>
  <si>
    <t>"glntrna_c":-0.321557</t>
  </si>
  <si>
    <t>"glutrna_c":-0.321557</t>
  </si>
  <si>
    <t>"glycogen_c":-0.234811</t>
  </si>
  <si>
    <t>"gtp_c":-0.104534</t>
  </si>
  <si>
    <t>"histrna_c":-0.080182</t>
  </si>
  <si>
    <t>"iletrna_c":-0.244699</t>
  </si>
  <si>
    <t>"k_c":-0.60365</t>
  </si>
  <si>
    <t>"leutrna_c":-0.332774</t>
  </si>
  <si>
    <t>"lystrna_c":-0.27295</t>
  </si>
  <si>
    <t>"mannan_c":-0.49015</t>
  </si>
  <si>
    <t>"mettrna_c":-0.047361</t>
  </si>
  <si>
    <t>"mg2_c":-0.063607</t>
  </si>
  <si>
    <t>"pc_c":-0.028783</t>
  </si>
  <si>
    <t>"pe_c":-0.00772</t>
  </si>
  <si>
    <t>"phetrna_c":-0.156209</t>
  </si>
  <si>
    <t>"protrna_c":-0.175319</t>
  </si>
  <si>
    <t>"ps_c":-0.006643</t>
  </si>
  <si>
    <t>"so4_c":-0.031223</t>
  </si>
  <si>
    <t>"tag_c":-0.010494</t>
  </si>
  <si>
    <t>"thrtrna_c":-0.231405</t>
  </si>
  <si>
    <t>"tre_c":-0.137707</t>
  </si>
  <si>
    <t>"trptrna_c":-0.027004</t>
  </si>
  <si>
    <t>"tyrtrna_c":-0.081428</t>
  </si>
  <si>
    <t>"utp_c":-0.062537</t>
  </si>
  <si>
    <t>"valtrna_c":-0.304524</t>
  </si>
  <si>
    <t>"zn2_c":-0.001576</t>
  </si>
  <si>
    <t>rough draft</t>
  </si>
  <si>
    <t>extracted from string</t>
  </si>
  <si>
    <t>"glytrna_c":-0.369334</t>
  </si>
  <si>
    <t>MW for Kim et al. (2020) is 65560.64524</t>
  </si>
  <si>
    <t>0.01875 docoscoa_c + 1 h2o_c + 0.355664 linocoa_c + 0.087612 linolncoa_c + 0.207129 odecoa_c + 0.1694 pmtcoa_c + 0.112806 stcoa_c + 0.048639 ttccoa_c --&gt; 1 coa_c + 1 ffabiom_c + 1 h_c</t>
  </si>
  <si>
    <t>lumpFREEFA_c (makes ffabiom_c)</t>
  </si>
  <si>
    <t>"co2_c":0.002</t>
  </si>
  <si>
    <t>"coa_c":0.004743</t>
  </si>
  <si>
    <t>"dag_c":0.002</t>
  </si>
  <si>
    <t>"docoscoa_c":-0.00001393125</t>
  </si>
  <si>
    <t>"h_c":190.580733</t>
  </si>
  <si>
    <t>"h2o_c":-186.433389999999</t>
  </si>
  <si>
    <t>"hxccoa_c":-0.001</t>
  </si>
  <si>
    <t>"linocoa_c":-0.000264258352</t>
  </si>
  <si>
    <t>"linolncoa_c":-0.000065095716</t>
  </si>
  <si>
    <t>"mn2_c":-0.000094</t>
  </si>
  <si>
    <t>"nadp_c":0.003</t>
  </si>
  <si>
    <t>"nadph_c":-0.003</t>
  </si>
  <si>
    <t>"o2_c":-0.001</t>
  </si>
  <si>
    <t>"odecoa_c":-0.000153896847</t>
  </si>
  <si>
    <t>"pail_c":-0.009738</t>
  </si>
  <si>
    <t>"pmtcoa_c":-0.0021258642</t>
  </si>
  <si>
    <t>"stcoa_c":-0.000083814858</t>
  </si>
  <si>
    <t>"ttccoa_c":-0.001036138777</t>
  </si>
  <si>
    <t>"trnaala_c":-0.405893</t>
  </si>
  <si>
    <t>"trnaarg_c":-0.160363</t>
  </si>
  <si>
    <t>"trnaasn_c":-0.192768</t>
  </si>
  <si>
    <t>"trnaasp_c":-0.192768</t>
  </si>
  <si>
    <t>"trnacys_c":-0.005816</t>
  </si>
  <si>
    <t>"trnagln_c":-0.321557</t>
  </si>
  <si>
    <t>"trnaglu_c":-0.321557</t>
  </si>
  <si>
    <t>"trnahis_c":-0.080182</t>
  </si>
  <si>
    <t>"trnaile_c":-0.244699</t>
  </si>
  <si>
    <t>"trnaleu_c":-0.332774</t>
  </si>
  <si>
    <t>"trnalys_c":-0.27295</t>
  </si>
  <si>
    <t>"trnamet_c":-0.047361</t>
  </si>
  <si>
    <t>"trnaphe_c":-0.156209</t>
  </si>
  <si>
    <t>"trnapro_c":-0.175319</t>
  </si>
  <si>
    <t>"trnaser_c":-0.223434</t>
  </si>
  <si>
    <t>"trnathr_c":-0.231405</t>
  </si>
  <si>
    <t>"trnatrp_c":-0.027004</t>
  </si>
  <si>
    <t>"trnatyr_c":-0.081428</t>
  </si>
  <si>
    <t>"trnaval_c":-0.304524</t>
  </si>
  <si>
    <t>"sertrna_c":-0.223434</t>
  </si>
  <si>
    <t>docoscoa</t>
  </si>
  <si>
    <t>hxccoa</t>
  </si>
  <si>
    <t>co2</t>
  </si>
  <si>
    <t>linolncoa</t>
  </si>
  <si>
    <t>linocoa</t>
  </si>
  <si>
    <t>stcoa</t>
  </si>
  <si>
    <t>ttccoa</t>
  </si>
  <si>
    <t>odecoa</t>
  </si>
  <si>
    <t>pmtcoa</t>
  </si>
  <si>
    <t>nadph</t>
  </si>
  <si>
    <t>o2</t>
  </si>
  <si>
    <t>batch</t>
  </si>
  <si>
    <t>"trnagly_c":-0.369334</t>
  </si>
  <si>
    <t>"16BDglucan_en":-0.180144</t>
  </si>
  <si>
    <t>0.614705 BIO-nadph_c --&gt; BIO-cofactor + 1.000836 MET-coa_c + 0.613869 MET-nadp_c</t>
  </si>
  <si>
    <t xml:space="preserve">BIO-other --&gt; </t>
  </si>
  <si>
    <t xml:space="preserve">BIO-cofactor --&gt; </t>
  </si>
  <si>
    <t>0.571201 BIO-o2_c --&gt; BIO-other + 1.571201 MET-co2_c</t>
  </si>
  <si>
    <t>DM-BIO-other</t>
  </si>
  <si>
    <t>DM-BIO-cofactor</t>
  </si>
  <si>
    <r>
      <t>"13BDglucan_c"</t>
    </r>
    <r>
      <rPr>
        <sz val="12"/>
        <color rgb="FF3B3B3B"/>
        <rFont val="Menlo"/>
        <family val="2"/>
      </rPr>
      <t>:</t>
    </r>
    <r>
      <rPr>
        <sz val="12"/>
        <color rgb="FF098658"/>
        <rFont val="Menlo"/>
        <family val="2"/>
      </rPr>
      <t>-0.667059797182664</t>
    </r>
    <r>
      <rPr>
        <sz val="12"/>
        <color rgb="FF3B3B3B"/>
        <rFont val="Menlo"/>
        <family val="2"/>
      </rPr>
      <t>,</t>
    </r>
  </si>
  <si>
    <r>
      <t>"16BDglucan_en"</t>
    </r>
    <r>
      <rPr>
        <sz val="12"/>
        <color rgb="FF3B3B3B"/>
        <rFont val="Menlo"/>
        <family val="2"/>
      </rPr>
      <t>:</t>
    </r>
    <r>
      <rPr>
        <sz val="12"/>
        <color rgb="FF098658"/>
        <rFont val="Menlo"/>
        <family val="2"/>
      </rPr>
      <t>-0.175541846742192</t>
    </r>
    <r>
      <rPr>
        <sz val="12"/>
        <color rgb="FF3B3B3B"/>
        <rFont val="Menlo"/>
        <family val="2"/>
      </rPr>
      <t>,</t>
    </r>
  </si>
  <si>
    <r>
      <t>"adp_c"</t>
    </r>
    <r>
      <rPr>
        <sz val="12"/>
        <color rgb="FF3B3B3B"/>
        <rFont val="Menlo"/>
        <family val="2"/>
      </rPr>
      <t>:</t>
    </r>
    <r>
      <rPr>
        <sz val="12"/>
        <color rgb="FF098658"/>
        <rFont val="Menlo"/>
        <family val="2"/>
      </rPr>
      <t>190.57899</t>
    </r>
    <r>
      <rPr>
        <sz val="12"/>
        <color rgb="FF3B3B3B"/>
        <rFont val="Menlo"/>
        <family val="2"/>
      </rPr>
      <t>,</t>
    </r>
  </si>
  <si>
    <r>
      <t>"atp_c"</t>
    </r>
    <r>
      <rPr>
        <sz val="12"/>
        <color rgb="FF3B3B3B"/>
        <rFont val="Menlo"/>
        <family val="2"/>
      </rPr>
      <t>:</t>
    </r>
    <r>
      <rPr>
        <sz val="12"/>
        <color rgb="FF098658"/>
        <rFont val="Menlo"/>
        <family val="2"/>
      </rPr>
      <t>-190.645590933694</t>
    </r>
    <r>
      <rPr>
        <sz val="12"/>
        <color rgb="FF3B3B3B"/>
        <rFont val="Menlo"/>
        <family val="2"/>
      </rPr>
      <t>,</t>
    </r>
  </si>
  <si>
    <r>
      <t>"ca2_c"</t>
    </r>
    <r>
      <rPr>
        <sz val="12"/>
        <color rgb="FF3B3B3B"/>
        <rFont val="Menlo"/>
        <family val="2"/>
      </rPr>
      <t>:</t>
    </r>
    <r>
      <rPr>
        <sz val="12"/>
        <color rgb="FF098658"/>
        <rFont val="Menlo"/>
        <family val="2"/>
      </rPr>
      <t>-0.00125314645456112</t>
    </r>
    <r>
      <rPr>
        <sz val="12"/>
        <color rgb="FF3B3B3B"/>
        <rFont val="Menlo"/>
        <family val="2"/>
      </rPr>
      <t>,</t>
    </r>
  </si>
  <si>
    <r>
      <t>"chtn_c"</t>
    </r>
    <r>
      <rPr>
        <sz val="12"/>
        <color rgb="FF3B3B3B"/>
        <rFont val="Menlo"/>
        <family val="2"/>
      </rPr>
      <t>:</t>
    </r>
    <r>
      <rPr>
        <sz val="12"/>
        <color rgb="FF098658"/>
        <rFont val="Menlo"/>
        <family val="2"/>
      </rPr>
      <t>-0.0157705460502466</t>
    </r>
    <r>
      <rPr>
        <sz val="12"/>
        <color rgb="FF3B3B3B"/>
        <rFont val="Menlo"/>
        <family val="2"/>
      </rPr>
      <t>,</t>
    </r>
  </si>
  <si>
    <r>
      <t>"co2_c"</t>
    </r>
    <r>
      <rPr>
        <sz val="12"/>
        <color rgb="FF3B3B3B"/>
        <rFont val="Menlo"/>
        <family val="2"/>
      </rPr>
      <t>:</t>
    </r>
    <r>
      <rPr>
        <sz val="12"/>
        <color rgb="FF098658"/>
        <rFont val="Menlo"/>
        <family val="2"/>
      </rPr>
      <t>0.00194890583913082</t>
    </r>
    <r>
      <rPr>
        <sz val="12"/>
        <color rgb="FF3B3B3B"/>
        <rFont val="Menlo"/>
        <family val="2"/>
      </rPr>
      <t>,</t>
    </r>
  </si>
  <si>
    <r>
      <t>"coa_c"</t>
    </r>
    <r>
      <rPr>
        <sz val="12"/>
        <color rgb="FF3B3B3B"/>
        <rFont val="Menlo"/>
        <family val="2"/>
      </rPr>
      <t>:</t>
    </r>
    <r>
      <rPr>
        <sz val="12"/>
        <color rgb="FF098658"/>
        <rFont val="Menlo"/>
        <family val="2"/>
      </rPr>
      <t>0.00462183019749875</t>
    </r>
    <r>
      <rPr>
        <sz val="12"/>
        <color rgb="FF3B3B3B"/>
        <rFont val="Menlo"/>
        <family val="2"/>
      </rPr>
      <t>,</t>
    </r>
  </si>
  <si>
    <r>
      <t>"ctp_c"</t>
    </r>
    <r>
      <rPr>
        <sz val="12"/>
        <color rgb="FF3B3B3B"/>
        <rFont val="Menlo"/>
        <family val="2"/>
      </rPr>
      <t>:</t>
    </r>
    <r>
      <rPr>
        <sz val="12"/>
        <color rgb="FF098658"/>
        <rFont val="Menlo"/>
        <family val="2"/>
      </rPr>
      <t>-0.116254182209993</t>
    </r>
    <r>
      <rPr>
        <sz val="12"/>
        <color rgb="FF3B3B3B"/>
        <rFont val="Menlo"/>
        <family val="2"/>
      </rPr>
      <t>,</t>
    </r>
  </si>
  <si>
    <r>
      <t>"cu2_c"</t>
    </r>
    <r>
      <rPr>
        <sz val="12"/>
        <color rgb="FF3B3B3B"/>
        <rFont val="Menlo"/>
        <family val="2"/>
      </rPr>
      <t>:</t>
    </r>
    <r>
      <rPr>
        <sz val="12"/>
        <color rgb="FF098658"/>
        <rFont val="Menlo"/>
        <family val="2"/>
      </rPr>
      <t>-0.000111087632830457</t>
    </r>
    <r>
      <rPr>
        <sz val="12"/>
        <color rgb="FF3B3B3B"/>
        <rFont val="Menlo"/>
        <family val="2"/>
      </rPr>
      <t>,</t>
    </r>
  </si>
  <si>
    <r>
      <t>"dag_c"</t>
    </r>
    <r>
      <rPr>
        <sz val="12"/>
        <color rgb="FF3B3B3B"/>
        <rFont val="Menlo"/>
        <family val="2"/>
      </rPr>
      <t>:</t>
    </r>
    <r>
      <rPr>
        <sz val="12"/>
        <color rgb="FF098658"/>
        <rFont val="Menlo"/>
        <family val="2"/>
      </rPr>
      <t>0.00194890583913082</t>
    </r>
    <r>
      <rPr>
        <sz val="12"/>
        <color rgb="FF3B3B3B"/>
        <rFont val="Menlo"/>
        <family val="2"/>
      </rPr>
      <t>,</t>
    </r>
  </si>
  <si>
    <r>
      <t>"datp_c"</t>
    </r>
    <r>
      <rPr>
        <sz val="12"/>
        <color rgb="FF3B3B3B"/>
        <rFont val="Menlo"/>
        <family val="2"/>
      </rPr>
      <t>:</t>
    </r>
    <r>
      <rPr>
        <sz val="12"/>
        <color rgb="FF098658"/>
        <rFont val="Menlo"/>
        <family val="2"/>
      </rPr>
      <t>-0.00585548759366856</t>
    </r>
    <r>
      <rPr>
        <sz val="12"/>
        <color rgb="FF3B3B3B"/>
        <rFont val="Menlo"/>
        <family val="2"/>
      </rPr>
      <t>,</t>
    </r>
  </si>
  <si>
    <r>
      <t>"dctp_c"</t>
    </r>
    <r>
      <rPr>
        <sz val="12"/>
        <color rgb="FF3B3B3B"/>
        <rFont val="Menlo"/>
        <family val="2"/>
      </rPr>
      <t>:</t>
    </r>
    <r>
      <rPr>
        <sz val="12"/>
        <color rgb="FF098658"/>
        <rFont val="Menlo"/>
        <family val="2"/>
      </rPr>
      <t>-0.009139393932604</t>
    </r>
    <r>
      <rPr>
        <sz val="12"/>
        <color rgb="FF3B3B3B"/>
        <rFont val="Menlo"/>
        <family val="2"/>
      </rPr>
      <t>,</t>
    </r>
  </si>
  <si>
    <r>
      <t>"dgtp_c"</t>
    </r>
    <r>
      <rPr>
        <sz val="12"/>
        <color rgb="FF3B3B3B"/>
        <rFont val="Menlo"/>
        <family val="2"/>
      </rPr>
      <t>:</t>
    </r>
    <r>
      <rPr>
        <sz val="12"/>
        <color rgb="FF098658"/>
        <rFont val="Menlo"/>
        <family val="2"/>
      </rPr>
      <t>-0.009139393932604</t>
    </r>
    <r>
      <rPr>
        <sz val="12"/>
        <color rgb="FF3B3B3B"/>
        <rFont val="Menlo"/>
        <family val="2"/>
      </rPr>
      <t>,</t>
    </r>
  </si>
  <si>
    <r>
      <t>"docoscoa_c"</t>
    </r>
    <r>
      <rPr>
        <sz val="12"/>
        <color rgb="FF3B3B3B"/>
        <rFont val="Menlo"/>
        <family val="2"/>
      </rPr>
      <t>:</t>
    </r>
    <r>
      <rPr>
        <sz val="12"/>
        <color rgb="FF098658"/>
        <rFont val="Menlo"/>
        <family val="2"/>
      </rPr>
      <t>-1.35753472356956E-05</t>
    </r>
    <r>
      <rPr>
        <sz val="12"/>
        <color rgb="FF3B3B3B"/>
        <rFont val="Menlo"/>
        <family val="2"/>
      </rPr>
      <t>,</t>
    </r>
  </si>
  <si>
    <r>
      <t>"dttp_c"</t>
    </r>
    <r>
      <rPr>
        <sz val="12"/>
        <color rgb="FF3B3B3B"/>
        <rFont val="Menlo"/>
        <family val="2"/>
      </rPr>
      <t>:</t>
    </r>
    <r>
      <rPr>
        <sz val="12"/>
        <color rgb="FF098658"/>
        <rFont val="Menlo"/>
        <family val="2"/>
      </rPr>
      <t>-0.00585548759366856</t>
    </r>
    <r>
      <rPr>
        <sz val="12"/>
        <color rgb="FF3B3B3B"/>
        <rFont val="Menlo"/>
        <family val="2"/>
      </rPr>
      <t>,</t>
    </r>
  </si>
  <si>
    <r>
      <t>"ergst_c"</t>
    </r>
    <r>
      <rPr>
        <sz val="12"/>
        <color rgb="FF3B3B3B"/>
        <rFont val="Menlo"/>
        <family val="2"/>
      </rPr>
      <t>:</t>
    </r>
    <r>
      <rPr>
        <sz val="12"/>
        <color rgb="FF098658"/>
        <rFont val="Menlo"/>
        <family val="2"/>
      </rPr>
      <t>-0.0417718733030105</t>
    </r>
    <r>
      <rPr>
        <sz val="12"/>
        <color rgb="FF3B3B3B"/>
        <rFont val="Menlo"/>
        <family val="2"/>
      </rPr>
      <t>,</t>
    </r>
  </si>
  <si>
    <r>
      <t>"ergstest_c"</t>
    </r>
    <r>
      <rPr>
        <sz val="12"/>
        <color rgb="FF3B3B3B"/>
        <rFont val="Menlo"/>
        <family val="2"/>
      </rPr>
      <t>:</t>
    </r>
    <r>
      <rPr>
        <sz val="12"/>
        <color rgb="FF098658"/>
        <rFont val="Menlo"/>
        <family val="2"/>
      </rPr>
      <t>-0.0103623323466586</t>
    </r>
    <r>
      <rPr>
        <sz val="12"/>
        <color rgb="FF3B3B3B"/>
        <rFont val="Menlo"/>
        <family val="2"/>
      </rPr>
      <t>,</t>
    </r>
  </si>
  <si>
    <r>
      <t>"fe2_c"</t>
    </r>
    <r>
      <rPr>
        <sz val="12"/>
        <color rgb="FF3B3B3B"/>
        <rFont val="Menlo"/>
        <family val="2"/>
      </rPr>
      <t>:</t>
    </r>
    <r>
      <rPr>
        <sz val="12"/>
        <color rgb="FF098658"/>
        <rFont val="Menlo"/>
        <family val="2"/>
      </rPr>
      <t>-0.000647036738591434</t>
    </r>
    <r>
      <rPr>
        <sz val="12"/>
        <color rgb="FF3B3B3B"/>
        <rFont val="Menlo"/>
        <family val="2"/>
      </rPr>
      <t>,</t>
    </r>
  </si>
  <si>
    <r>
      <t>"glycogen_c"</t>
    </r>
    <r>
      <rPr>
        <sz val="12"/>
        <color rgb="FF3B3B3B"/>
        <rFont val="Menlo"/>
        <family val="2"/>
      </rPr>
      <t>:</t>
    </r>
    <r>
      <rPr>
        <sz val="12"/>
        <color rgb="FF098658"/>
        <rFont val="Menlo"/>
        <family val="2"/>
      </rPr>
      <t>-0.228812264496074</t>
    </r>
    <r>
      <rPr>
        <sz val="12"/>
        <color rgb="FF3B3B3B"/>
        <rFont val="Menlo"/>
        <family val="2"/>
      </rPr>
      <t>,</t>
    </r>
  </si>
  <si>
    <r>
      <t>"gtp_c"</t>
    </r>
    <r>
      <rPr>
        <sz val="12"/>
        <color rgb="FF3B3B3B"/>
        <rFont val="Menlo"/>
        <family val="2"/>
      </rPr>
      <t>:</t>
    </r>
    <r>
      <rPr>
        <sz val="12"/>
        <color rgb="FF098658"/>
        <rFont val="Menlo"/>
        <family val="2"/>
      </rPr>
      <t>-0.101863461493851</t>
    </r>
    <r>
      <rPr>
        <sz val="12"/>
        <color rgb="FF3B3B3B"/>
        <rFont val="Menlo"/>
        <family val="2"/>
      </rPr>
      <t>,</t>
    </r>
  </si>
  <si>
    <r>
      <t>"h_c"</t>
    </r>
    <r>
      <rPr>
        <sz val="12"/>
        <color rgb="FF3B3B3B"/>
        <rFont val="Menlo"/>
        <family val="2"/>
      </rPr>
      <t>:</t>
    </r>
    <r>
      <rPr>
        <sz val="12"/>
        <color rgb="FF098658"/>
        <rFont val="Menlo"/>
        <family val="2"/>
      </rPr>
      <t>190.580719491151</t>
    </r>
    <r>
      <rPr>
        <sz val="12"/>
        <color rgb="FF3B3B3B"/>
        <rFont val="Menlo"/>
        <family val="2"/>
      </rPr>
      <t>,</t>
    </r>
  </si>
  <si>
    <r>
      <t>"h2o_c"</t>
    </r>
    <r>
      <rPr>
        <sz val="12"/>
        <color rgb="FF3B3B3B"/>
        <rFont val="Menlo"/>
        <family val="2"/>
      </rPr>
      <t>:</t>
    </r>
    <r>
      <rPr>
        <sz val="12"/>
        <color rgb="FF098658"/>
        <rFont val="Menlo"/>
        <family val="2"/>
      </rPr>
      <t>-186.46551982459</t>
    </r>
    <r>
      <rPr>
        <sz val="12"/>
        <color rgb="FF3B3B3B"/>
        <rFont val="Menlo"/>
        <family val="2"/>
      </rPr>
      <t>,</t>
    </r>
  </si>
  <si>
    <r>
      <t>"hxccoa_c"</t>
    </r>
    <r>
      <rPr>
        <sz val="12"/>
        <color rgb="FF3B3B3B"/>
        <rFont val="Menlo"/>
        <family val="2"/>
      </rPr>
      <t>:</t>
    </r>
    <r>
      <rPr>
        <sz val="12"/>
        <color rgb="FF098658"/>
        <rFont val="Menlo"/>
        <family val="2"/>
      </rPr>
      <t>-0.000974452919565412</t>
    </r>
    <r>
      <rPr>
        <sz val="12"/>
        <color rgb="FF3B3B3B"/>
        <rFont val="Menlo"/>
        <family val="2"/>
      </rPr>
      <t>,</t>
    </r>
  </si>
  <si>
    <r>
      <t>"k_c"</t>
    </r>
    <r>
      <rPr>
        <sz val="12"/>
        <color rgb="FF3B3B3B"/>
        <rFont val="Menlo"/>
        <family val="2"/>
      </rPr>
      <t>:</t>
    </r>
    <r>
      <rPr>
        <sz val="12"/>
        <color rgb="FF098658"/>
        <rFont val="Menlo"/>
        <family val="2"/>
      </rPr>
      <t>-0.588228504895661</t>
    </r>
    <r>
      <rPr>
        <sz val="12"/>
        <color rgb="FF3B3B3B"/>
        <rFont val="Menlo"/>
        <family val="2"/>
      </rPr>
      <t>,</t>
    </r>
  </si>
  <si>
    <r>
      <t>"linocoa_c"</t>
    </r>
    <r>
      <rPr>
        <sz val="12"/>
        <color rgb="FF3B3B3B"/>
        <rFont val="Menlo"/>
        <family val="2"/>
      </rPr>
      <t>:</t>
    </r>
    <r>
      <rPr>
        <sz val="12"/>
        <color rgb="FF098658"/>
        <rFont val="Menlo"/>
        <family val="2"/>
      </rPr>
      <t>-0.000257507322625944</t>
    </r>
    <r>
      <rPr>
        <sz val="12"/>
        <color rgb="FF3B3B3B"/>
        <rFont val="Menlo"/>
        <family val="2"/>
      </rPr>
      <t>,</t>
    </r>
  </si>
  <si>
    <r>
      <t>"linolncoa_c"</t>
    </r>
    <r>
      <rPr>
        <sz val="12"/>
        <color rgb="FF3B3B3B"/>
        <rFont val="Menlo"/>
        <family val="2"/>
      </rPr>
      <t>:</t>
    </r>
    <r>
      <rPr>
        <sz val="12"/>
        <color rgb="FF098658"/>
        <rFont val="Menlo"/>
        <family val="2"/>
      </rPr>
      <t>-6.34327105074009E-05</t>
    </r>
    <r>
      <rPr>
        <sz val="12"/>
        <color rgb="FF3B3B3B"/>
        <rFont val="Menlo"/>
        <family val="2"/>
      </rPr>
      <t>,</t>
    </r>
  </si>
  <si>
    <r>
      <t>"mannan_c"</t>
    </r>
    <r>
      <rPr>
        <sz val="12"/>
        <color rgb="FF3B3B3B"/>
        <rFont val="Menlo"/>
        <family val="2"/>
      </rPr>
      <t>:</t>
    </r>
    <r>
      <rPr>
        <sz val="12"/>
        <color rgb="FF098658"/>
        <rFont val="Menlo"/>
        <family val="2"/>
      </rPr>
      <t>-0.477628098524987</t>
    </r>
    <r>
      <rPr>
        <sz val="12"/>
        <color rgb="FF3B3B3B"/>
        <rFont val="Menlo"/>
        <family val="2"/>
      </rPr>
      <t>,</t>
    </r>
  </si>
  <si>
    <r>
      <t>"mg2_c"</t>
    </r>
    <r>
      <rPr>
        <sz val="12"/>
        <color rgb="FF3B3B3B"/>
        <rFont val="Menlo"/>
        <family val="2"/>
      </rPr>
      <t>:</t>
    </r>
    <r>
      <rPr>
        <sz val="12"/>
        <color rgb="FF098658"/>
        <rFont val="Menlo"/>
        <family val="2"/>
      </rPr>
      <t>-0.0619820268547972</t>
    </r>
    <r>
      <rPr>
        <sz val="12"/>
        <color rgb="FF3B3B3B"/>
        <rFont val="Menlo"/>
        <family val="2"/>
      </rPr>
      <t>,</t>
    </r>
  </si>
  <si>
    <r>
      <t>"mn2_c"</t>
    </r>
    <r>
      <rPr>
        <sz val="12"/>
        <color rgb="FF3B3B3B"/>
        <rFont val="Menlo"/>
        <family val="2"/>
      </rPr>
      <t>:</t>
    </r>
    <r>
      <rPr>
        <sz val="12"/>
        <color rgb="FF098658"/>
        <rFont val="Menlo"/>
        <family val="2"/>
      </rPr>
      <t>-9.15985744391488E-05</t>
    </r>
    <r>
      <rPr>
        <sz val="12"/>
        <color rgb="FF3B3B3B"/>
        <rFont val="Menlo"/>
        <family val="2"/>
      </rPr>
      <t>,</t>
    </r>
  </si>
  <si>
    <r>
      <t>"nadp_c"</t>
    </r>
    <r>
      <rPr>
        <sz val="12"/>
        <color rgb="FF3B3B3B"/>
        <rFont val="Menlo"/>
        <family val="2"/>
      </rPr>
      <t>:</t>
    </r>
    <r>
      <rPr>
        <sz val="12"/>
        <color rgb="FF098658"/>
        <rFont val="Menlo"/>
        <family val="2"/>
      </rPr>
      <t>0.00292335875869624</t>
    </r>
    <r>
      <rPr>
        <sz val="12"/>
        <color rgb="FF3B3B3B"/>
        <rFont val="Menlo"/>
        <family val="2"/>
      </rPr>
      <t>,</t>
    </r>
  </si>
  <si>
    <r>
      <t>"nadph_c"</t>
    </r>
    <r>
      <rPr>
        <sz val="12"/>
        <color rgb="FF3B3B3B"/>
        <rFont val="Menlo"/>
        <family val="2"/>
      </rPr>
      <t>:</t>
    </r>
    <r>
      <rPr>
        <sz val="12"/>
        <color rgb="FF098658"/>
        <rFont val="Menlo"/>
        <family val="2"/>
      </rPr>
      <t>-0.00292335875869624</t>
    </r>
    <r>
      <rPr>
        <sz val="12"/>
        <color rgb="FF3B3B3B"/>
        <rFont val="Menlo"/>
        <family val="2"/>
      </rPr>
      <t>,</t>
    </r>
  </si>
  <si>
    <r>
      <t>"o2_c"</t>
    </r>
    <r>
      <rPr>
        <sz val="12"/>
        <color rgb="FF3B3B3B"/>
        <rFont val="Menlo"/>
        <family val="2"/>
      </rPr>
      <t>:</t>
    </r>
    <r>
      <rPr>
        <sz val="12"/>
        <color rgb="FF098658"/>
        <rFont val="Menlo"/>
        <family val="2"/>
      </rPr>
      <t>-0.000974452919565412</t>
    </r>
    <r>
      <rPr>
        <sz val="12"/>
        <color rgb="FF3B3B3B"/>
        <rFont val="Menlo"/>
        <family val="2"/>
      </rPr>
      <t>,</t>
    </r>
  </si>
  <si>
    <r>
      <t>"odecoa_c"</t>
    </r>
    <r>
      <rPr>
        <sz val="12"/>
        <color rgb="FF3B3B3B"/>
        <rFont val="Menlo"/>
        <family val="2"/>
      </rPr>
      <t>:</t>
    </r>
    <r>
      <rPr>
        <sz val="12"/>
        <color rgb="FF098658"/>
        <rFont val="Menlo"/>
        <family val="2"/>
      </rPr>
      <t>-0.000149965231871062</t>
    </r>
    <r>
      <rPr>
        <sz val="12"/>
        <color rgb="FF3B3B3B"/>
        <rFont val="Menlo"/>
        <family val="2"/>
      </rPr>
      <t>,</t>
    </r>
  </si>
  <si>
    <r>
      <t>"pail_c"</t>
    </r>
    <r>
      <rPr>
        <sz val="12"/>
        <color rgb="FF3B3B3B"/>
        <rFont val="Menlo"/>
        <family val="2"/>
      </rPr>
      <t>:</t>
    </r>
    <r>
      <rPr>
        <sz val="12"/>
        <color rgb="FF098658"/>
        <rFont val="Menlo"/>
        <family val="2"/>
      </rPr>
      <t>-0.00948922253072798</t>
    </r>
    <r>
      <rPr>
        <sz val="12"/>
        <color rgb="FF3B3B3B"/>
        <rFont val="Menlo"/>
        <family val="2"/>
      </rPr>
      <t>,</t>
    </r>
  </si>
  <si>
    <r>
      <t>"pc_c"</t>
    </r>
    <r>
      <rPr>
        <sz val="12"/>
        <color rgb="FF3B3B3B"/>
        <rFont val="Menlo"/>
        <family val="2"/>
      </rPr>
      <t>:</t>
    </r>
    <r>
      <rPr>
        <sz val="12"/>
        <color rgb="FF098658"/>
        <rFont val="Menlo"/>
        <family val="2"/>
      </rPr>
      <t>-0.0280476783838513</t>
    </r>
    <r>
      <rPr>
        <sz val="12"/>
        <color rgb="FF3B3B3B"/>
        <rFont val="Menlo"/>
        <family val="2"/>
      </rPr>
      <t>,</t>
    </r>
  </si>
  <si>
    <r>
      <t>"pe_c"</t>
    </r>
    <r>
      <rPr>
        <sz val="12"/>
        <color rgb="FF3B3B3B"/>
        <rFont val="Menlo"/>
        <family val="2"/>
      </rPr>
      <t>:</t>
    </r>
    <r>
      <rPr>
        <sz val="12"/>
        <color rgb="FF098658"/>
        <rFont val="Menlo"/>
        <family val="2"/>
      </rPr>
      <t>-0.00752277653904498</t>
    </r>
    <r>
      <rPr>
        <sz val="12"/>
        <color rgb="FF3B3B3B"/>
        <rFont val="Menlo"/>
        <family val="2"/>
      </rPr>
      <t>,</t>
    </r>
  </si>
  <si>
    <r>
      <t>"pi_c"</t>
    </r>
    <r>
      <rPr>
        <sz val="12"/>
        <color rgb="FF3B3B3B"/>
        <rFont val="Menlo"/>
        <family val="2"/>
      </rPr>
      <t>:</t>
    </r>
    <r>
      <rPr>
        <sz val="12"/>
        <color rgb="FF098658"/>
        <rFont val="Menlo"/>
        <family val="2"/>
      </rPr>
      <t>190.476034176783</t>
    </r>
    <r>
      <rPr>
        <sz val="12"/>
        <color rgb="FF3B3B3B"/>
        <rFont val="Menlo"/>
        <family val="2"/>
      </rPr>
      <t>,</t>
    </r>
  </si>
  <si>
    <r>
      <t>"pmtcoa_c"</t>
    </r>
    <r>
      <rPr>
        <sz val="12"/>
        <color rgb="FF3B3B3B"/>
        <rFont val="Menlo"/>
        <family val="2"/>
      </rPr>
      <t>:</t>
    </r>
    <r>
      <rPr>
        <sz val="12"/>
        <color rgb="FF098658"/>
        <rFont val="Menlo"/>
        <family val="2"/>
      </rPr>
      <t>-0.00207155457628959</t>
    </r>
    <r>
      <rPr>
        <sz val="12"/>
        <color rgb="FF3B3B3B"/>
        <rFont val="Menlo"/>
        <family val="2"/>
      </rPr>
      <t>,</t>
    </r>
  </si>
  <si>
    <r>
      <t>"ppi_c"</t>
    </r>
    <r>
      <rPr>
        <sz val="12"/>
        <color rgb="FF3B3B3B"/>
        <rFont val="Menlo"/>
        <family val="2"/>
      </rPr>
      <t>:</t>
    </r>
    <r>
      <rPr>
        <sz val="12"/>
        <color rgb="FF098658"/>
        <rFont val="Menlo"/>
        <family val="2"/>
      </rPr>
      <t>0.375646728227869</t>
    </r>
    <r>
      <rPr>
        <sz val="12"/>
        <color rgb="FF3B3B3B"/>
        <rFont val="Menlo"/>
        <family val="2"/>
      </rPr>
      <t>,</t>
    </r>
  </si>
  <si>
    <r>
      <t>"ps_c"</t>
    </r>
    <r>
      <rPr>
        <sz val="12"/>
        <color rgb="FF3B3B3B"/>
        <rFont val="Menlo"/>
        <family val="2"/>
      </rPr>
      <t>:</t>
    </r>
    <r>
      <rPr>
        <sz val="12"/>
        <color rgb="FF098658"/>
        <rFont val="Menlo"/>
        <family val="2"/>
      </rPr>
      <t>-0.00647329074467303</t>
    </r>
    <r>
      <rPr>
        <sz val="12"/>
        <color rgb="FF3B3B3B"/>
        <rFont val="Menlo"/>
        <family val="2"/>
      </rPr>
      <t>,</t>
    </r>
  </si>
  <si>
    <r>
      <t>"so4_c"</t>
    </r>
    <r>
      <rPr>
        <sz val="12"/>
        <color rgb="FF3B3B3B"/>
        <rFont val="Menlo"/>
        <family val="2"/>
      </rPr>
      <t>:</t>
    </r>
    <r>
      <rPr>
        <sz val="12"/>
        <color rgb="FF098658"/>
        <rFont val="Menlo"/>
        <family val="2"/>
      </rPr>
      <t>-0.0304253435075909</t>
    </r>
    <r>
      <rPr>
        <sz val="12"/>
        <color rgb="FF3B3B3B"/>
        <rFont val="Menlo"/>
        <family val="2"/>
      </rPr>
      <t>,</t>
    </r>
  </si>
  <si>
    <r>
      <t>"stcoa_c"</t>
    </r>
    <r>
      <rPr>
        <sz val="12"/>
        <color rgb="FF3B3B3B"/>
        <rFont val="Menlo"/>
        <family val="2"/>
      </rPr>
      <t>:</t>
    </r>
    <r>
      <rPr>
        <sz val="12"/>
        <color rgb="FF098658"/>
        <rFont val="Menlo"/>
        <family val="2"/>
      </rPr>
      <t>-8.16736330810605E-05</t>
    </r>
    <r>
      <rPr>
        <sz val="12"/>
        <color rgb="FF3B3B3B"/>
        <rFont val="Menlo"/>
        <family val="2"/>
      </rPr>
      <t>,</t>
    </r>
  </si>
  <si>
    <r>
      <t>"tag_c"</t>
    </r>
    <r>
      <rPr>
        <sz val="12"/>
        <color rgb="FF3B3B3B"/>
        <rFont val="Menlo"/>
        <family val="2"/>
      </rPr>
      <t>:</t>
    </r>
    <r>
      <rPr>
        <sz val="12"/>
        <color rgb="FF098658"/>
        <rFont val="Menlo"/>
        <family val="2"/>
      </rPr>
      <t>-0.0102259089379194</t>
    </r>
    <r>
      <rPr>
        <sz val="12"/>
        <color rgb="FF3B3B3B"/>
        <rFont val="Menlo"/>
        <family val="2"/>
      </rPr>
      <t>,</t>
    </r>
  </si>
  <si>
    <r>
      <t>"tre_c"</t>
    </r>
    <r>
      <rPr>
        <sz val="12"/>
        <color rgb="FF3B3B3B"/>
        <rFont val="Menlo"/>
        <family val="2"/>
      </rPr>
      <t>:</t>
    </r>
    <r>
      <rPr>
        <sz val="12"/>
        <color rgb="FF098658"/>
        <rFont val="Menlo"/>
        <family val="2"/>
      </rPr>
      <t>-0.134188988194594</t>
    </r>
    <r>
      <rPr>
        <sz val="12"/>
        <color rgb="FF3B3B3B"/>
        <rFont val="Menlo"/>
        <family val="2"/>
      </rPr>
      <t>,</t>
    </r>
  </si>
  <si>
    <r>
      <t>"ttccoa_c"</t>
    </r>
    <r>
      <rPr>
        <sz val="12"/>
        <color rgb="FF3B3B3B"/>
        <rFont val="Menlo"/>
        <family val="2"/>
      </rPr>
      <t>:</t>
    </r>
    <r>
      <rPr>
        <sz val="12"/>
        <color rgb="FF098658"/>
        <rFont val="Menlo"/>
        <family val="2"/>
      </rPr>
      <t>-0.00100966845632259</t>
    </r>
    <r>
      <rPr>
        <sz val="12"/>
        <color rgb="FF3B3B3B"/>
        <rFont val="Menlo"/>
        <family val="2"/>
      </rPr>
      <t>,</t>
    </r>
  </si>
  <si>
    <r>
      <t>"utp_c"</t>
    </r>
    <r>
      <rPr>
        <sz val="12"/>
        <color rgb="FF3B3B3B"/>
        <rFont val="Menlo"/>
        <family val="2"/>
      </rPr>
      <t>:</t>
    </r>
    <r>
      <rPr>
        <sz val="12"/>
        <color rgb="FF098658"/>
        <rFont val="Menlo"/>
        <family val="2"/>
      </rPr>
      <t>-0.0609393622308622</t>
    </r>
    <r>
      <rPr>
        <sz val="12"/>
        <color rgb="FF3B3B3B"/>
        <rFont val="Menlo"/>
        <family val="2"/>
      </rPr>
      <t>,</t>
    </r>
  </si>
  <si>
    <r>
      <t>"zn2_c"</t>
    </r>
    <r>
      <rPr>
        <sz val="12"/>
        <color rgb="FF3B3B3B"/>
        <rFont val="Menlo"/>
        <family val="2"/>
      </rPr>
      <t>:</t>
    </r>
    <r>
      <rPr>
        <sz val="12"/>
        <color rgb="FF098658"/>
        <rFont val="Menlo"/>
        <family val="2"/>
      </rPr>
      <t>-0.00153573780123509</t>
    </r>
    <r>
      <rPr>
        <sz val="12"/>
        <color rgb="FF3B3B3B"/>
        <rFont val="Menlo"/>
        <family val="2"/>
      </rPr>
      <t>,</t>
    </r>
  </si>
  <si>
    <t>For updating the GSM model to reflect the RBA results for the MFA model. Yellow sections indicate likely spots for manual input, so it's easier to create duplicate sheets w/o accidentally editing key formulas</t>
  </si>
  <si>
    <r>
      <t>"alatrna_c"</t>
    </r>
    <r>
      <rPr>
        <sz val="12"/>
        <color rgb="FF3B3B3B"/>
        <rFont val="Menlo"/>
        <family val="2"/>
      </rPr>
      <t xml:space="preserve">: </t>
    </r>
    <r>
      <rPr>
        <sz val="12"/>
        <color rgb="FF098658"/>
        <rFont val="Menlo"/>
        <family val="2"/>
      </rPr>
      <t>-0.4326379912771708</t>
    </r>
    <r>
      <rPr>
        <sz val="12"/>
        <color rgb="FF3B3B3B"/>
        <rFont val="Menlo"/>
        <family val="2"/>
      </rPr>
      <t>,</t>
    </r>
  </si>
  <si>
    <r>
      <t>"argtrna_c"</t>
    </r>
    <r>
      <rPr>
        <sz val="12"/>
        <color rgb="FF3B3B3B"/>
        <rFont val="Menlo"/>
        <family val="2"/>
      </rPr>
      <t xml:space="preserve">: </t>
    </r>
    <r>
      <rPr>
        <sz val="12"/>
        <color rgb="FF098658"/>
        <rFont val="Menlo"/>
        <family val="2"/>
      </rPr>
      <t>-0.24203937649596027</t>
    </r>
    <r>
      <rPr>
        <sz val="12"/>
        <color rgb="FF3B3B3B"/>
        <rFont val="Menlo"/>
        <family val="2"/>
      </rPr>
      <t>,</t>
    </r>
  </si>
  <si>
    <r>
      <t>"asntrna_c"</t>
    </r>
    <r>
      <rPr>
        <sz val="12"/>
        <color rgb="FF3B3B3B"/>
        <rFont val="Menlo"/>
        <family val="2"/>
      </rPr>
      <t xml:space="preserve">: </t>
    </r>
    <r>
      <rPr>
        <sz val="12"/>
        <color rgb="FF098658"/>
        <rFont val="Menlo"/>
        <family val="2"/>
      </rPr>
      <t>-0.13595153974285687</t>
    </r>
    <r>
      <rPr>
        <sz val="12"/>
        <color rgb="FF3B3B3B"/>
        <rFont val="Menlo"/>
        <family val="2"/>
      </rPr>
      <t>,</t>
    </r>
  </si>
  <si>
    <r>
      <t>"asptrna_c"</t>
    </r>
    <r>
      <rPr>
        <sz val="12"/>
        <color rgb="FF3B3B3B"/>
        <rFont val="Menlo"/>
        <family val="2"/>
      </rPr>
      <t xml:space="preserve">: </t>
    </r>
    <r>
      <rPr>
        <sz val="12"/>
        <color rgb="FF098658"/>
        <rFont val="Menlo"/>
        <family val="2"/>
      </rPr>
      <t>-0.22959717529547172</t>
    </r>
    <r>
      <rPr>
        <sz val="12"/>
        <color rgb="FF3B3B3B"/>
        <rFont val="Menlo"/>
        <family val="2"/>
      </rPr>
      <t>,</t>
    </r>
  </si>
  <si>
    <r>
      <t>"cystrna_c"</t>
    </r>
    <r>
      <rPr>
        <sz val="12"/>
        <color rgb="FF3B3B3B"/>
        <rFont val="Menlo"/>
        <family val="2"/>
      </rPr>
      <t xml:space="preserve">: </t>
    </r>
    <r>
      <rPr>
        <sz val="12"/>
        <color rgb="FF098658"/>
        <rFont val="Menlo"/>
        <family val="2"/>
      </rPr>
      <t>-0.03939486485122119</t>
    </r>
    <r>
      <rPr>
        <sz val="12"/>
        <color rgb="FF3B3B3B"/>
        <rFont val="Menlo"/>
        <family val="2"/>
      </rPr>
      <t>,</t>
    </r>
  </si>
  <si>
    <r>
      <t>"glntrna_c"</t>
    </r>
    <r>
      <rPr>
        <sz val="12"/>
        <color rgb="FF3B3B3B"/>
        <rFont val="Menlo"/>
        <family val="2"/>
      </rPr>
      <t xml:space="preserve">: </t>
    </r>
    <r>
      <rPr>
        <sz val="12"/>
        <color rgb="FF098658"/>
        <rFont val="Menlo"/>
        <family val="2"/>
      </rPr>
      <t>-0.1586743860561847</t>
    </r>
    <r>
      <rPr>
        <sz val="12"/>
        <color rgb="FF3B3B3B"/>
        <rFont val="Menlo"/>
        <family val="2"/>
      </rPr>
      <t>,</t>
    </r>
  </si>
  <si>
    <r>
      <t>"glutrna_c"</t>
    </r>
    <r>
      <rPr>
        <sz val="12"/>
        <color rgb="FF3B3B3B"/>
        <rFont val="Menlo"/>
        <family val="2"/>
      </rPr>
      <t xml:space="preserve">: </t>
    </r>
    <r>
      <rPr>
        <sz val="12"/>
        <color rgb="FF098658"/>
        <rFont val="Menlo"/>
        <family val="2"/>
      </rPr>
      <t>-0.27526935974782757</t>
    </r>
    <r>
      <rPr>
        <sz val="12"/>
        <color rgb="FF3B3B3B"/>
        <rFont val="Menlo"/>
        <family val="2"/>
      </rPr>
      <t>,</t>
    </r>
  </si>
  <si>
    <r>
      <t>"glytrna_c"</t>
    </r>
    <r>
      <rPr>
        <sz val="12"/>
        <color rgb="FF3B3B3B"/>
        <rFont val="Menlo"/>
        <family val="2"/>
      </rPr>
      <t xml:space="preserve">: </t>
    </r>
    <r>
      <rPr>
        <sz val="12"/>
        <color rgb="FF098658"/>
        <rFont val="Menlo"/>
        <family val="2"/>
      </rPr>
      <t>-0.3311554830961865</t>
    </r>
    <r>
      <rPr>
        <sz val="12"/>
        <color rgb="FF3B3B3B"/>
        <rFont val="Menlo"/>
        <family val="2"/>
      </rPr>
      <t>,</t>
    </r>
  </si>
  <si>
    <r>
      <t>"histrna_c"</t>
    </r>
    <r>
      <rPr>
        <sz val="12"/>
        <color rgb="FF3B3B3B"/>
        <rFont val="Menlo"/>
        <family val="2"/>
      </rPr>
      <t xml:space="preserve">: </t>
    </r>
    <r>
      <rPr>
        <sz val="12"/>
        <color rgb="FF098658"/>
        <rFont val="Menlo"/>
        <family val="2"/>
      </rPr>
      <t>-0.0854553300213438</t>
    </r>
    <r>
      <rPr>
        <sz val="12"/>
        <color rgb="FF3B3B3B"/>
        <rFont val="Menlo"/>
        <family val="2"/>
      </rPr>
      <t>,</t>
    </r>
  </si>
  <si>
    <r>
      <t>"iletrna_c"</t>
    </r>
    <r>
      <rPr>
        <sz val="12"/>
        <color rgb="FF3B3B3B"/>
        <rFont val="Menlo"/>
        <family val="2"/>
      </rPr>
      <t xml:space="preserve">: </t>
    </r>
    <r>
      <rPr>
        <sz val="12"/>
        <color rgb="FF098658"/>
        <rFont val="Menlo"/>
        <family val="2"/>
      </rPr>
      <t>-0.19760655547033054</t>
    </r>
    <r>
      <rPr>
        <sz val="12"/>
        <color rgb="FF3B3B3B"/>
        <rFont val="Menlo"/>
        <family val="2"/>
      </rPr>
      <t>,</t>
    </r>
  </si>
  <si>
    <r>
      <t>"leutrna_c"</t>
    </r>
    <r>
      <rPr>
        <sz val="12"/>
        <color rgb="FF3B3B3B"/>
        <rFont val="Menlo"/>
        <family val="2"/>
      </rPr>
      <t xml:space="preserve">: </t>
    </r>
    <r>
      <rPr>
        <sz val="12"/>
        <color rgb="FF098658"/>
        <rFont val="Menlo"/>
        <family val="2"/>
      </rPr>
      <t>-0.3699195807223336</t>
    </r>
    <r>
      <rPr>
        <sz val="12"/>
        <color rgb="FF3B3B3B"/>
        <rFont val="Menlo"/>
        <family val="2"/>
      </rPr>
      <t>,</t>
    </r>
  </si>
  <si>
    <r>
      <t>"lystrna_c"</t>
    </r>
    <r>
      <rPr>
        <sz val="12"/>
        <color rgb="FF3B3B3B"/>
        <rFont val="Menlo"/>
        <family val="2"/>
      </rPr>
      <t xml:space="preserve">: </t>
    </r>
    <r>
      <rPr>
        <sz val="12"/>
        <color rgb="FF098658"/>
        <rFont val="Menlo"/>
        <family val="2"/>
      </rPr>
      <t>-0.2692850654180598</t>
    </r>
    <r>
      <rPr>
        <sz val="12"/>
        <color rgb="FF3B3B3B"/>
        <rFont val="Menlo"/>
        <family val="2"/>
      </rPr>
      <t>,</t>
    </r>
  </si>
  <si>
    <r>
      <t>"mettrna_c"</t>
    </r>
    <r>
      <rPr>
        <sz val="12"/>
        <color rgb="FF3B3B3B"/>
        <rFont val="Menlo"/>
        <family val="2"/>
      </rPr>
      <t xml:space="preserve">: </t>
    </r>
    <r>
      <rPr>
        <sz val="12"/>
        <color rgb="FF098658"/>
        <rFont val="Menlo"/>
        <family val="2"/>
      </rPr>
      <t>-0.08494959568264676</t>
    </r>
    <r>
      <rPr>
        <sz val="12"/>
        <color rgb="FF3B3B3B"/>
        <rFont val="Menlo"/>
        <family val="2"/>
      </rPr>
      <t>,</t>
    </r>
  </si>
  <si>
    <r>
      <t>"phetrna_c"</t>
    </r>
    <r>
      <rPr>
        <sz val="12"/>
        <color rgb="FF3B3B3B"/>
        <rFont val="Menlo"/>
        <family val="2"/>
      </rPr>
      <t xml:space="preserve">: </t>
    </r>
    <r>
      <rPr>
        <sz val="12"/>
        <color rgb="FF098658"/>
        <rFont val="Menlo"/>
        <family val="2"/>
      </rPr>
      <t>-0.15541095015013562</t>
    </r>
    <r>
      <rPr>
        <sz val="12"/>
        <color rgb="FF3B3B3B"/>
        <rFont val="Menlo"/>
        <family val="2"/>
      </rPr>
      <t>,</t>
    </r>
  </si>
  <si>
    <r>
      <t>"protrna_c"</t>
    </r>
    <r>
      <rPr>
        <sz val="12"/>
        <color rgb="FF3B3B3B"/>
        <rFont val="Menlo"/>
        <family val="2"/>
      </rPr>
      <t xml:space="preserve">: </t>
    </r>
    <r>
      <rPr>
        <sz val="12"/>
        <color rgb="FF098658"/>
        <rFont val="Menlo"/>
        <family val="2"/>
      </rPr>
      <t>-0.22982629572941107</t>
    </r>
    <r>
      <rPr>
        <sz val="12"/>
        <color rgb="FF3B3B3B"/>
        <rFont val="Menlo"/>
        <family val="2"/>
      </rPr>
      <t>,</t>
    </r>
  </si>
  <si>
    <r>
      <t>"sertrna_c"</t>
    </r>
    <r>
      <rPr>
        <sz val="12"/>
        <color rgb="FF3B3B3B"/>
        <rFont val="Menlo"/>
        <family val="2"/>
      </rPr>
      <t xml:space="preserve">: </t>
    </r>
    <r>
      <rPr>
        <sz val="12"/>
        <color rgb="FF098658"/>
        <rFont val="Menlo"/>
        <family val="2"/>
      </rPr>
      <t>-0.29321129295647935</t>
    </r>
    <r>
      <rPr>
        <sz val="12"/>
        <color rgb="FF3B3B3B"/>
        <rFont val="Menlo"/>
        <family val="2"/>
      </rPr>
      <t>,</t>
    </r>
  </si>
  <si>
    <r>
      <t>"thrtrna_c"</t>
    </r>
    <r>
      <rPr>
        <sz val="12"/>
        <color rgb="FF3B3B3B"/>
        <rFont val="Menlo"/>
        <family val="2"/>
      </rPr>
      <t xml:space="preserve">: </t>
    </r>
    <r>
      <rPr>
        <sz val="12"/>
        <color rgb="FF098658"/>
        <rFont val="Menlo"/>
        <family val="2"/>
      </rPr>
      <t>-0.2375852122735138</t>
    </r>
    <r>
      <rPr>
        <sz val="12"/>
        <color rgb="FF3B3B3B"/>
        <rFont val="Menlo"/>
        <family val="2"/>
      </rPr>
      <t>,</t>
    </r>
  </si>
  <si>
    <r>
      <t>"trnaala_c"</t>
    </r>
    <r>
      <rPr>
        <sz val="12"/>
        <color rgb="FF3B3B3B"/>
        <rFont val="Menlo"/>
        <family val="2"/>
      </rPr>
      <t xml:space="preserve">: </t>
    </r>
    <r>
      <rPr>
        <sz val="12"/>
        <color rgb="FF098658"/>
        <rFont val="Menlo"/>
        <family val="2"/>
      </rPr>
      <t>0.4326379912771708</t>
    </r>
    <r>
      <rPr>
        <sz val="12"/>
        <color rgb="FF3B3B3B"/>
        <rFont val="Menlo"/>
        <family val="2"/>
      </rPr>
      <t>,</t>
    </r>
  </si>
  <si>
    <r>
      <t>"trnaarg_c"</t>
    </r>
    <r>
      <rPr>
        <sz val="12"/>
        <color rgb="FF3B3B3B"/>
        <rFont val="Menlo"/>
        <family val="2"/>
      </rPr>
      <t xml:space="preserve">: </t>
    </r>
    <r>
      <rPr>
        <sz val="12"/>
        <color rgb="FF098658"/>
        <rFont val="Menlo"/>
        <family val="2"/>
      </rPr>
      <t>0.24203937649596027</t>
    </r>
    <r>
      <rPr>
        <sz val="12"/>
        <color rgb="FF3B3B3B"/>
        <rFont val="Menlo"/>
        <family val="2"/>
      </rPr>
      <t>,</t>
    </r>
  </si>
  <si>
    <r>
      <t>"trnaasn_c"</t>
    </r>
    <r>
      <rPr>
        <sz val="12"/>
        <color rgb="FF3B3B3B"/>
        <rFont val="Menlo"/>
        <family val="2"/>
      </rPr>
      <t xml:space="preserve">: </t>
    </r>
    <r>
      <rPr>
        <sz val="12"/>
        <color rgb="FF098658"/>
        <rFont val="Menlo"/>
        <family val="2"/>
      </rPr>
      <t>0.13595153974285687</t>
    </r>
    <r>
      <rPr>
        <sz val="12"/>
        <color rgb="FF3B3B3B"/>
        <rFont val="Menlo"/>
        <family val="2"/>
      </rPr>
      <t>,</t>
    </r>
  </si>
  <si>
    <r>
      <t>"trnaasp_c"</t>
    </r>
    <r>
      <rPr>
        <sz val="12"/>
        <color rgb="FF3B3B3B"/>
        <rFont val="Menlo"/>
        <family val="2"/>
      </rPr>
      <t xml:space="preserve">: </t>
    </r>
    <r>
      <rPr>
        <sz val="12"/>
        <color rgb="FF098658"/>
        <rFont val="Menlo"/>
        <family val="2"/>
      </rPr>
      <t>0.22959717529547172</t>
    </r>
    <r>
      <rPr>
        <sz val="12"/>
        <color rgb="FF3B3B3B"/>
        <rFont val="Menlo"/>
        <family val="2"/>
      </rPr>
      <t>,</t>
    </r>
  </si>
  <si>
    <r>
      <t>"trnacys_c"</t>
    </r>
    <r>
      <rPr>
        <sz val="12"/>
        <color rgb="FF3B3B3B"/>
        <rFont val="Menlo"/>
        <family val="2"/>
      </rPr>
      <t xml:space="preserve">: </t>
    </r>
    <r>
      <rPr>
        <sz val="12"/>
        <color rgb="FF098658"/>
        <rFont val="Menlo"/>
        <family val="2"/>
      </rPr>
      <t>0.03939486485122119</t>
    </r>
    <r>
      <rPr>
        <sz val="12"/>
        <color rgb="FF3B3B3B"/>
        <rFont val="Menlo"/>
        <family val="2"/>
      </rPr>
      <t>,</t>
    </r>
  </si>
  <si>
    <r>
      <t>"trnagln_c"</t>
    </r>
    <r>
      <rPr>
        <sz val="12"/>
        <color rgb="FF3B3B3B"/>
        <rFont val="Menlo"/>
        <family val="2"/>
      </rPr>
      <t xml:space="preserve">: </t>
    </r>
    <r>
      <rPr>
        <sz val="12"/>
        <color rgb="FF098658"/>
        <rFont val="Menlo"/>
        <family val="2"/>
      </rPr>
      <t>0.1586743860561847</t>
    </r>
    <r>
      <rPr>
        <sz val="12"/>
        <color rgb="FF3B3B3B"/>
        <rFont val="Menlo"/>
        <family val="2"/>
      </rPr>
      <t>,</t>
    </r>
  </si>
  <si>
    <r>
      <t>"trnaglu_c"</t>
    </r>
    <r>
      <rPr>
        <sz val="12"/>
        <color rgb="FF3B3B3B"/>
        <rFont val="Menlo"/>
        <family val="2"/>
      </rPr>
      <t xml:space="preserve">: </t>
    </r>
    <r>
      <rPr>
        <sz val="12"/>
        <color rgb="FF098658"/>
        <rFont val="Menlo"/>
        <family val="2"/>
      </rPr>
      <t>0.27526935974782757</t>
    </r>
    <r>
      <rPr>
        <sz val="12"/>
        <color rgb="FF3B3B3B"/>
        <rFont val="Menlo"/>
        <family val="2"/>
      </rPr>
      <t>,</t>
    </r>
  </si>
  <si>
    <r>
      <t>"trnagly_c"</t>
    </r>
    <r>
      <rPr>
        <sz val="12"/>
        <color rgb="FF3B3B3B"/>
        <rFont val="Menlo"/>
        <family val="2"/>
      </rPr>
      <t xml:space="preserve">: </t>
    </r>
    <r>
      <rPr>
        <sz val="12"/>
        <color rgb="FF098658"/>
        <rFont val="Menlo"/>
        <family val="2"/>
      </rPr>
      <t>0.3311554830961865</t>
    </r>
    <r>
      <rPr>
        <sz val="12"/>
        <color rgb="FF3B3B3B"/>
        <rFont val="Menlo"/>
        <family val="2"/>
      </rPr>
      <t>,</t>
    </r>
  </si>
  <si>
    <r>
      <t>"trnahis_c"</t>
    </r>
    <r>
      <rPr>
        <sz val="12"/>
        <color rgb="FF3B3B3B"/>
        <rFont val="Menlo"/>
        <family val="2"/>
      </rPr>
      <t xml:space="preserve">: </t>
    </r>
    <r>
      <rPr>
        <sz val="12"/>
        <color rgb="FF098658"/>
        <rFont val="Menlo"/>
        <family val="2"/>
      </rPr>
      <t>0.0854553300213438</t>
    </r>
    <r>
      <rPr>
        <sz val="12"/>
        <color rgb="FF3B3B3B"/>
        <rFont val="Menlo"/>
        <family val="2"/>
      </rPr>
      <t>,</t>
    </r>
  </si>
  <si>
    <r>
      <t>"trnaile_c"</t>
    </r>
    <r>
      <rPr>
        <sz val="12"/>
        <color rgb="FF3B3B3B"/>
        <rFont val="Menlo"/>
        <family val="2"/>
      </rPr>
      <t xml:space="preserve">: </t>
    </r>
    <r>
      <rPr>
        <sz val="12"/>
        <color rgb="FF098658"/>
        <rFont val="Menlo"/>
        <family val="2"/>
      </rPr>
      <t>0.19760655547033054</t>
    </r>
    <r>
      <rPr>
        <sz val="12"/>
        <color rgb="FF3B3B3B"/>
        <rFont val="Menlo"/>
        <family val="2"/>
      </rPr>
      <t>,</t>
    </r>
  </si>
  <si>
    <r>
      <t>"trnaleu_c"</t>
    </r>
    <r>
      <rPr>
        <sz val="12"/>
        <color rgb="FF3B3B3B"/>
        <rFont val="Menlo"/>
        <family val="2"/>
      </rPr>
      <t xml:space="preserve">: </t>
    </r>
    <r>
      <rPr>
        <sz val="12"/>
        <color rgb="FF098658"/>
        <rFont val="Menlo"/>
        <family val="2"/>
      </rPr>
      <t>0.3699195807223336</t>
    </r>
    <r>
      <rPr>
        <sz val="12"/>
        <color rgb="FF3B3B3B"/>
        <rFont val="Menlo"/>
        <family val="2"/>
      </rPr>
      <t>,</t>
    </r>
  </si>
  <si>
    <r>
      <t>"trnalys_c"</t>
    </r>
    <r>
      <rPr>
        <sz val="12"/>
        <color rgb="FF3B3B3B"/>
        <rFont val="Menlo"/>
        <family val="2"/>
      </rPr>
      <t xml:space="preserve">: </t>
    </r>
    <r>
      <rPr>
        <sz val="12"/>
        <color rgb="FF098658"/>
        <rFont val="Menlo"/>
        <family val="2"/>
      </rPr>
      <t>0.2692850654180598</t>
    </r>
    <r>
      <rPr>
        <sz val="12"/>
        <color rgb="FF3B3B3B"/>
        <rFont val="Menlo"/>
        <family val="2"/>
      </rPr>
      <t>,</t>
    </r>
  </si>
  <si>
    <r>
      <t>"trnamet_c"</t>
    </r>
    <r>
      <rPr>
        <sz val="12"/>
        <color rgb="FF3B3B3B"/>
        <rFont val="Menlo"/>
        <family val="2"/>
      </rPr>
      <t xml:space="preserve">: </t>
    </r>
    <r>
      <rPr>
        <sz val="12"/>
        <color rgb="FF098658"/>
        <rFont val="Menlo"/>
        <family val="2"/>
      </rPr>
      <t>0.08494959568264676</t>
    </r>
    <r>
      <rPr>
        <sz val="12"/>
        <color rgb="FF3B3B3B"/>
        <rFont val="Menlo"/>
        <family val="2"/>
      </rPr>
      <t>,</t>
    </r>
  </si>
  <si>
    <r>
      <t>"trnaphe_c"</t>
    </r>
    <r>
      <rPr>
        <sz val="12"/>
        <color rgb="FF3B3B3B"/>
        <rFont val="Menlo"/>
        <family val="2"/>
      </rPr>
      <t xml:space="preserve">: </t>
    </r>
    <r>
      <rPr>
        <sz val="12"/>
        <color rgb="FF098658"/>
        <rFont val="Menlo"/>
        <family val="2"/>
      </rPr>
      <t>0.15541095015013562</t>
    </r>
    <r>
      <rPr>
        <sz val="12"/>
        <color rgb="FF3B3B3B"/>
        <rFont val="Menlo"/>
        <family val="2"/>
      </rPr>
      <t>,</t>
    </r>
  </si>
  <si>
    <r>
      <t>"trnapro_c"</t>
    </r>
    <r>
      <rPr>
        <sz val="12"/>
        <color rgb="FF3B3B3B"/>
        <rFont val="Menlo"/>
        <family val="2"/>
      </rPr>
      <t xml:space="preserve">: </t>
    </r>
    <r>
      <rPr>
        <sz val="12"/>
        <color rgb="FF098658"/>
        <rFont val="Menlo"/>
        <family val="2"/>
      </rPr>
      <t>0.22982629572941107</t>
    </r>
    <r>
      <rPr>
        <sz val="12"/>
        <color rgb="FF3B3B3B"/>
        <rFont val="Menlo"/>
        <family val="2"/>
      </rPr>
      <t>,</t>
    </r>
  </si>
  <si>
    <r>
      <t>"trnaser_c"</t>
    </r>
    <r>
      <rPr>
        <sz val="12"/>
        <color rgb="FF3B3B3B"/>
        <rFont val="Menlo"/>
        <family val="2"/>
      </rPr>
      <t xml:space="preserve">: </t>
    </r>
    <r>
      <rPr>
        <sz val="12"/>
        <color rgb="FF098658"/>
        <rFont val="Menlo"/>
        <family val="2"/>
      </rPr>
      <t>0.29321129295647935</t>
    </r>
    <r>
      <rPr>
        <sz val="12"/>
        <color rgb="FF3B3B3B"/>
        <rFont val="Menlo"/>
        <family val="2"/>
      </rPr>
      <t>,</t>
    </r>
  </si>
  <si>
    <r>
      <t>"trnathr_c"</t>
    </r>
    <r>
      <rPr>
        <sz val="12"/>
        <color rgb="FF3B3B3B"/>
        <rFont val="Menlo"/>
        <family val="2"/>
      </rPr>
      <t xml:space="preserve">: </t>
    </r>
    <r>
      <rPr>
        <sz val="12"/>
        <color rgb="FF098658"/>
        <rFont val="Menlo"/>
        <family val="2"/>
      </rPr>
      <t>0.2375852122735138</t>
    </r>
    <r>
      <rPr>
        <sz val="12"/>
        <color rgb="FF3B3B3B"/>
        <rFont val="Menlo"/>
        <family val="2"/>
      </rPr>
      <t>,</t>
    </r>
  </si>
  <si>
    <r>
      <t>"trnatrp_c"</t>
    </r>
    <r>
      <rPr>
        <sz val="12"/>
        <color rgb="FF3B3B3B"/>
        <rFont val="Menlo"/>
        <family val="2"/>
      </rPr>
      <t xml:space="preserve">: </t>
    </r>
    <r>
      <rPr>
        <sz val="12"/>
        <color rgb="FF098658"/>
        <rFont val="Menlo"/>
        <family val="2"/>
      </rPr>
      <t>0.04263116949296571</t>
    </r>
    <r>
      <rPr>
        <sz val="12"/>
        <color rgb="FF3B3B3B"/>
        <rFont val="Menlo"/>
        <family val="2"/>
      </rPr>
      <t>,</t>
    </r>
  </si>
  <si>
    <r>
      <t>"trnatyr_c"</t>
    </r>
    <r>
      <rPr>
        <sz val="12"/>
        <color rgb="FF3B3B3B"/>
        <rFont val="Menlo"/>
        <family val="2"/>
      </rPr>
      <t xml:space="preserve">: </t>
    </r>
    <r>
      <rPr>
        <sz val="12"/>
        <color rgb="FF098658"/>
        <rFont val="Menlo"/>
        <family val="2"/>
      </rPr>
      <t>0.11687235181972468</t>
    </r>
    <r>
      <rPr>
        <sz val="12"/>
        <color rgb="FF3B3B3B"/>
        <rFont val="Menlo"/>
        <family val="2"/>
      </rPr>
      <t>,</t>
    </r>
  </si>
  <si>
    <r>
      <t>"trnaval_c"</t>
    </r>
    <r>
      <rPr>
        <sz val="12"/>
        <color rgb="FF3B3B3B"/>
        <rFont val="Menlo"/>
        <family val="2"/>
      </rPr>
      <t xml:space="preserve">: </t>
    </r>
    <r>
      <rPr>
        <sz val="12"/>
        <color rgb="FF098658"/>
        <rFont val="Menlo"/>
        <family val="2"/>
      </rPr>
      <t>0.3135195231885357</t>
    </r>
    <r>
      <rPr>
        <sz val="12"/>
        <color rgb="FF3B3B3B"/>
        <rFont val="Menlo"/>
        <family val="2"/>
      </rPr>
      <t>,</t>
    </r>
  </si>
  <si>
    <r>
      <t>"trptrna_c"</t>
    </r>
    <r>
      <rPr>
        <sz val="12"/>
        <color rgb="FF3B3B3B"/>
        <rFont val="Menlo"/>
        <family val="2"/>
      </rPr>
      <t xml:space="preserve">: </t>
    </r>
    <r>
      <rPr>
        <sz val="12"/>
        <color rgb="FF098658"/>
        <rFont val="Menlo"/>
        <family val="2"/>
      </rPr>
      <t>-0.04263116949296571</t>
    </r>
    <r>
      <rPr>
        <sz val="12"/>
        <color rgb="FF3B3B3B"/>
        <rFont val="Menlo"/>
        <family val="2"/>
      </rPr>
      <t>,</t>
    </r>
  </si>
  <si>
    <r>
      <t>"tyrtrna_c"</t>
    </r>
    <r>
      <rPr>
        <sz val="12"/>
        <color rgb="FF3B3B3B"/>
        <rFont val="Menlo"/>
        <family val="2"/>
      </rPr>
      <t xml:space="preserve">: </t>
    </r>
    <r>
      <rPr>
        <sz val="12"/>
        <color rgb="FF098658"/>
        <rFont val="Menlo"/>
        <family val="2"/>
      </rPr>
      <t>-0.11687235181972468</t>
    </r>
    <r>
      <rPr>
        <sz val="12"/>
        <color rgb="FF3B3B3B"/>
        <rFont val="Menlo"/>
        <family val="2"/>
      </rPr>
      <t>,</t>
    </r>
  </si>
  <si>
    <r>
      <t>"valtrna_c"</t>
    </r>
    <r>
      <rPr>
        <sz val="12"/>
        <color rgb="FF3B3B3B"/>
        <rFont val="Menlo"/>
        <family val="2"/>
      </rPr>
      <t xml:space="preserve">: </t>
    </r>
    <r>
      <rPr>
        <sz val="12"/>
        <color rgb="FF098658"/>
        <rFont val="Menlo"/>
        <family val="2"/>
      </rPr>
      <t>-0.3135195231885357</t>
    </r>
  </si>
  <si>
    <t>stoich. (auto)</t>
  </si>
  <si>
    <t>"datp_c":-0.0023,</t>
  </si>
  <si>
    <t>"dctp_c":-0.0037,</t>
  </si>
  <si>
    <t>"dgtp_c":-0.0037,</t>
  </si>
  <si>
    <t>"dttp_c":-0.0023,</t>
  </si>
  <si>
    <t>"atp_c":-16.2762,</t>
  </si>
  <si>
    <t>"ctp_c":-0.0613,</t>
  </si>
  <si>
    <t>"gtp_c":-0.0523,</t>
  </si>
  <si>
    <t>"utp_c":-0.0324,</t>
  </si>
  <si>
    <t>"13BDglucan_c":-1.1326,</t>
  </si>
  <si>
    <t>"16BDglucan_en":-0.3783,</t>
  </si>
  <si>
    <t>"glycogen_c":-0.45184,</t>
  </si>
  <si>
    <t>"mannan_c":-1.0757,</t>
  </si>
  <si>
    <t>"tre_c":-0.18196,</t>
  </si>
  <si>
    <t>"alatrna_c":-0.1986,</t>
  </si>
  <si>
    <t>"argtrna_c":-0.12642,</t>
  </si>
  <si>
    <t>"asntrna_c":-0.04665,</t>
  </si>
  <si>
    <t>"asptrna_c":-0.1017,</t>
  </si>
  <si>
    <t>"cystrna_c":-0.018082,</t>
  </si>
  <si>
    <t>"glntrna_c":-0.066843,</t>
  </si>
  <si>
    <t>"glutrna_c":-0.11823,</t>
  </si>
  <si>
    <t>"glytrna_c":-0.13209,</t>
  </si>
  <si>
    <t>"histrna_c":-0.040796,</t>
  </si>
  <si>
    <t>"iletrna_c":-0.065612,</t>
  </si>
  <si>
    <t>"leutrna_c":-0.17174,</t>
  </si>
  <si>
    <t>"lystrna_c":-0.081016,</t>
  </si>
  <si>
    <t>"mettrna_c":-0.03088,</t>
  </si>
  <si>
    <t>"phetrna_c":-0.062094,</t>
  </si>
  <si>
    <t>"protrna_c":-0.13317,</t>
  </si>
  <si>
    <t>"sertrna_c":-0.16809,</t>
  </si>
  <si>
    <t>"thrtrna_c":-0.1057,</t>
  </si>
  <si>
    <t>"trptrna_c":-0.023816,</t>
  </si>
  <si>
    <t>"tyrtrna_c":-0.041566,</t>
  </si>
  <si>
    <t>"valtrna_c":-0.11452,</t>
  </si>
  <si>
    <t>"trnaala_c":0.1986,</t>
  </si>
  <si>
    <t>"trnaarg_c":0.12642,</t>
  </si>
  <si>
    <t>"trnaasn_c":0.04665,</t>
  </si>
  <si>
    <t>"trnaasp_c":0.1017,</t>
  </si>
  <si>
    <t>"trnacys_c":0.018082,</t>
  </si>
  <si>
    <t>"trnagln_c":0.066843,</t>
  </si>
  <si>
    <t>"trnaglu_c":0.11823,</t>
  </si>
  <si>
    <t>"trnagly_c":0.13209,</t>
  </si>
  <si>
    <t>"trnahis_c":0.040796,</t>
  </si>
  <si>
    <t>"trnaile_c":0.065612,</t>
  </si>
  <si>
    <t>"trnaleu_c":0.17174,</t>
  </si>
  <si>
    <t>"trnalys_c":0.081016,</t>
  </si>
  <si>
    <t>"trnamet_c":0.03088,</t>
  </si>
  <si>
    <t>"trnaphe_c":0.062094,</t>
  </si>
  <si>
    <t>"trnapro_c":0.13317,</t>
  </si>
  <si>
    <t>"trnaser_c":0.16809,</t>
  </si>
  <si>
    <t>"trnathr_c":0.1057,</t>
  </si>
  <si>
    <t>"trnatrp_c":0.023816,</t>
  </si>
  <si>
    <t>"trnatyr_c":0.041566,</t>
  </si>
  <si>
    <t>"trnaval_c":0.11452,</t>
  </si>
  <si>
    <t>"1mag_m":-0.0023518,</t>
  </si>
  <si>
    <t>"pail_c":-0.0033845,</t>
  </si>
  <si>
    <t>"ergst_c":-0.025512,</t>
  </si>
  <si>
    <t>"pc_c":-0.0052864,</t>
  </si>
  <si>
    <t>"pe_c":-0.0040837,</t>
  </si>
  <si>
    <t>"tag_c":-0.046147,</t>
  </si>
  <si>
    <t>"ps_c":-0.013398,</t>
  </si>
  <si>
    <t>"dag_c":-0.015712,</t>
  </si>
  <si>
    <t>"clpn_mm":-0.00061536,</t>
  </si>
  <si>
    <t>"caro_c":-0.00048,</t>
  </si>
  <si>
    <t>"gcaro_c":-0.00018,</t>
  </si>
  <si>
    <t>"toruln_c":-0.00016,</t>
  </si>
  <si>
    <t>"torularho_c":-0.00042,</t>
  </si>
  <si>
    <t>"h2o_c":-16.242,</t>
  </si>
  <si>
    <t>"adp_c":16.242,</t>
  </si>
  <si>
    <t>"ribflv_c":-0.00099,</t>
  </si>
  <si>
    <t>"so4_c":-0.02,</t>
  </si>
  <si>
    <t>"hemeA_c":-0.000001,</t>
  </si>
  <si>
    <t>caro</t>
  </si>
  <si>
    <t>gcaro</t>
  </si>
  <si>
    <t>toruln</t>
  </si>
  <si>
    <t>torularho</t>
  </si>
  <si>
    <t>"h_c":16.242,</t>
  </si>
  <si>
    <t>"pi_c":16.242,</t>
  </si>
  <si>
    <t>Assume same lipid, protein proportions from https://github.com/SynBioUniTartu/Rhto_OxidativeStress/blob/master/models/Rates_REF.csv</t>
  </si>
  <si>
    <t>linoea_c:-0.035387,</t>
  </si>
  <si>
    <t>linolen_c:-0.017831,</t>
  </si>
  <si>
    <t>hdca_c:-0.025055,</t>
  </si>
  <si>
    <t>ocdca_c:-0.01181,</t>
  </si>
  <si>
    <t>ocdcea_c:-0.05586,</t>
  </si>
  <si>
    <t>Assume same lipid, protein proportions from https://github.com/SynBioUniTartu/Rhto_OxidativeStress/blob/master/models/Rates_REF.csv, using components from batch-Rabinowitz</t>
  </si>
  <si>
    <t>BIOSYN-BIOMASS_xyl_hybrid</t>
  </si>
  <si>
    <t>0.300299475738912 BIO-carb + -0.00352583170694781 BIO-cofactor + 0.00923663807354148 BIO-dna + 0.0776588903670635 BIO-lipid + 0.0247040630446139 BIO-metal + -5.45890474446383E-05 BIO-other + 0.00988162794621808 BIO-pi + 0.468 BIO-varbiom + 0.110876987980811 BIO-rna + 0.0029227376032323 BIO-so4 + 182.07899 MET-atp_c + 182.07899 MET-h2o_c --&gt; 182.07899 MET-adp_c + 182.07899 MET-h_c + 182.07899 MET-pi_c</t>
  </si>
  <si>
    <t xml:space="preserve">0.300299475738912 BIO-carb + -0.00352583170694781 BIO-cofactor + 0.00923663807354148 BIO-dna + 0.0776588903670635 BIO-lipid + 0.0247040630446139 BIO-metal + -5.45890474446383E-05 BIO-other + 0.00988162794621808 BIO-pi + 0.468 BIO-varbiom + 0.110876987980811 BIO-rna + 0.0029227376032323 BIO-so4 --&gt; </t>
  </si>
  <si>
    <t>0.200735972408015 BIO-atp_c + 0.324747277642782 BIO-ctp_c + 0.321987462413558 BIO-gtp_c + 0.170783860067313 BIO-utp_c --&gt; BIO-trna</t>
  </si>
  <si>
    <t>0.200735972408015 BIO-atp_c + 0.324747277642782 BIO-ctp_c + 0.321987462413558 BIO-gtp_c + 0.170783860067313 BIO-utp_c --&gt; BIO-rrna</t>
  </si>
  <si>
    <t>0.200735972408015 BIO-atp_c + 0.324747277642782 BIO-ctp_c + 0.321987462413558 BIO-gtp_c + 0.170783860067313 BIO-utp_c --&gt; BIO-mrna</t>
  </si>
  <si>
    <t>0.360165 BIO-13BDglucan_c + 0.09478 BIO-16BDglucan_en + 0.010671 BIO-chtn_c + 0.123543 BIO-glycogen_c + 0.257886 BIO-mannan_c + 0.152955 BIO-tre_c --&gt; BIO-carb</t>
  </si>
  <si>
    <t>0.197916 BIO-datp_c + 0.28514 BIO-dctp_c + 0.324743 BIO-dgtp_c + 0.192202 BIO-dttp_c --&gt; BIO-dna</t>
  </si>
  <si>
    <t>-0.007957 MET-dag_c + 0.00019 BIO-docoscoa_c + 0.213353 BIO-ergst_c + 0.088078 BIO-ergstest_c + 0.014332 BIO-hxccoa_c + 0.003402 BIO-linocoa_c + 0.000836 BIO-linolncoa_c + 0.001985 BIO-odecoa_c + 0.105347 BIO-pail_c + 0.283936 BIO-pc_c + 0.072079 BIO-pe_c + 0.026726 BIO-pmtcoa_c + 0.065524 BIO-ps_c + 0.001083 BIO-stcoa_c + 0.116602 BIO-tag_c + 0.014485 BIO-ttccoa_c --&gt; BIO-lipid</t>
  </si>
  <si>
    <t>0.002033 BIO-ca2_c + 0.000286 BIO-cu2_c + 0.001463 BIO-fe2_c + 0.93097 BIO-k_c + 0.060981 BIO-mg2_c + 0.000204 BIO-mn2_c + 0.004064 BIO-zn2_c --&gt; BIO-metal</t>
  </si>
  <si>
    <t>1 BIO-pi_c --&gt; BIO-pi</t>
  </si>
  <si>
    <t>1 BIO-so4_c --&gt; BIO-so4</t>
  </si>
  <si>
    <t>MET-13BDglucan_c --&gt; 0.162141 BIO-13BDglucan_c</t>
  </si>
  <si>
    <t>MET-16BDglucan_en --&gt; 0.162141 BIO-16BDglucan_en</t>
  </si>
  <si>
    <t>MET-chtn_c --&gt; 0.203193 BIO-chtn_c</t>
  </si>
  <si>
    <t>MET-glycogen_c --&gt; 0.162141 BIO-glycogen_c</t>
  </si>
  <si>
    <t>MET-mannan_c --&gt; 0.162141 BIO-mannan_c</t>
  </si>
  <si>
    <t>MET-tre_c --&gt; 0.342296 BIO-tre_c</t>
  </si>
  <si>
    <t>MET-coa_c --&gt; 0.763502 BIO-coa_c</t>
  </si>
  <si>
    <t>MET-nadp_c --&gt; 0.740381 BIO-nadp_c</t>
  </si>
  <si>
    <t>MET-nadph_c --&gt; 0.741389 BIO-nadph_c</t>
  </si>
  <si>
    <t>MET-datp_c --&gt; MET-ppi_c + 0.312199 BIO-datp_c</t>
  </si>
  <si>
    <t>MET-dctp_c --&gt; MET-ppi_c + 0.288174 BIO-dctp_c</t>
  </si>
  <si>
    <t>MET-dgtp_c --&gt; MET-ppi_c + 0.328198 BIO-dgtp_c</t>
  </si>
  <si>
    <t>MET-dttp_c --&gt; MET-ppi_c + 0.303185 BIO-dttp_c</t>
  </si>
  <si>
    <t>MET-dag_c --&gt; 0.317078 BIO-dag_c</t>
  </si>
  <si>
    <t>MET-docoscoa_c --&gt; 1.086071 BIO-docoscoa_c</t>
  </si>
  <si>
    <t>MET-ergst_c --&gt; 0.396648 BIO-ergst_c</t>
  </si>
  <si>
    <t>MET-ergstest_c --&gt; 0.660084 BIO-ergstest_c</t>
  </si>
  <si>
    <t>MET-hxccoa_c --&gt; 1.142177 BIO-hxccoa_c</t>
  </si>
  <si>
    <t>MET-linocoa_c --&gt; 1.025933 BIO-linocoa_c</t>
  </si>
  <si>
    <t>MET-linolncoa_c --&gt; 1.023917 BIO-linolncoa_c</t>
  </si>
  <si>
    <t>MET-odecoa_c --&gt; 1.027948 BIO-odecoa_c</t>
  </si>
  <si>
    <t>MET-pail_c --&gt; 0.862149 BIO-pail_c</t>
  </si>
  <si>
    <t>MET-pc_c --&gt; 0.786166 BIO-pc_c</t>
  </si>
  <si>
    <t>MET-pe_c --&gt; 0.744086 BIO-pe_c</t>
  </si>
  <si>
    <t>MET-pmtcoa_c --&gt; 1.001911 BIO-pmtcoa_c</t>
  </si>
  <si>
    <t>MET-ps_c --&gt; 0.786079 BIO-ps_c</t>
  </si>
  <si>
    <t>MET-stcoa_c --&gt; 1.029964 BIO-stcoa_c</t>
  </si>
  <si>
    <t>MET-tag_c --&gt; 0.885513 BIO-tag_c</t>
  </si>
  <si>
    <t>MET-ttccoa_c --&gt; 1.114124 BIO-ttccoa_c</t>
  </si>
  <si>
    <t>MET-ca2_c --&gt; 0.040078 BIO-ca2_c</t>
  </si>
  <si>
    <t>MET-cu2_c --&gt; 0.063546 BIO-cu2_c</t>
  </si>
  <si>
    <t>MET-fe2_c --&gt; 0.055845 BIO-fe2_c</t>
  </si>
  <si>
    <t>MET-k_c --&gt; 0.039098 BIO-k_c</t>
  </si>
  <si>
    <t>MET-mg2_c --&gt; 0.024305 BIO-mg2_c</t>
  </si>
  <si>
    <t>MET-mn2_c --&gt; 0.054938 BIO-mn2_c</t>
  </si>
  <si>
    <t>MET-zn2_c --&gt; 0.06538 BIO-zn2_c</t>
  </si>
  <si>
    <t>MET-co2_c --&gt; 0.04401 BIO-co2_c</t>
  </si>
  <si>
    <t>MET-o2_c --&gt; 0.031999 BIO-o2_c</t>
  </si>
  <si>
    <t>MET-pi_c --&gt; 0.095979 BIO-pi_c</t>
  </si>
  <si>
    <t>MET-atp_c --&gt; MET-ppi_c + 0.328198 BIO-atp_c</t>
  </si>
  <si>
    <t>MET-ctp_c --&gt; MET-ppi_c + 0.304173 BIO-ctp_c</t>
  </si>
  <si>
    <t>MET-gtp_c --&gt; MET-ppi_c + 0.344197 BIO-gtp_c</t>
  </si>
  <si>
    <t>MET-utp_c --&gt; MET-ppi_c + 0.305158 BIO-utp_c</t>
  </si>
  <si>
    <t>MET-so4_c --&gt; 0.096063 BIO-so4_c</t>
  </si>
  <si>
    <r>
      <t>"adp_c"</t>
    </r>
    <r>
      <rPr>
        <sz val="12"/>
        <color rgb="FF3B3B3B"/>
        <rFont val="Menlo"/>
        <family val="2"/>
      </rPr>
      <t>:</t>
    </r>
    <r>
      <rPr>
        <sz val="12"/>
        <color rgb="FF098658"/>
        <rFont val="Menlo"/>
        <family val="2"/>
      </rPr>
      <t>251.232837</t>
    </r>
    <r>
      <rPr>
        <sz val="12"/>
        <color rgb="FF3B3B3B"/>
        <rFont val="Menlo"/>
        <family val="2"/>
      </rPr>
      <t>,</t>
    </r>
  </si>
  <si>
    <r>
      <t>"atp_c"</t>
    </r>
    <r>
      <rPr>
        <sz val="12"/>
        <color rgb="FF3B3B3B"/>
        <rFont val="Menlo"/>
        <family val="2"/>
      </rPr>
      <t>:</t>
    </r>
    <r>
      <rPr>
        <sz val="12"/>
        <color rgb="FF098658"/>
        <rFont val="Menlo"/>
        <family val="2"/>
      </rPr>
      <t>-251.299438</t>
    </r>
    <r>
      <rPr>
        <sz val="12"/>
        <color rgb="FF3B3B3B"/>
        <rFont val="Menlo"/>
        <family val="2"/>
      </rPr>
      <t>,</t>
    </r>
  </si>
  <si>
    <r>
      <t>"h2o_c"</t>
    </r>
    <r>
      <rPr>
        <sz val="12"/>
        <color rgb="FF3B3B3B"/>
        <rFont val="Menlo"/>
        <family val="2"/>
      </rPr>
      <t>:</t>
    </r>
    <r>
      <rPr>
        <sz val="12"/>
        <color rgb="FF098658"/>
        <rFont val="Menlo"/>
        <family val="2"/>
      </rPr>
      <t>-247.144701</t>
    </r>
    <r>
      <rPr>
        <sz val="12"/>
        <color rgb="FF3B3B3B"/>
        <rFont val="Menlo"/>
        <family val="2"/>
      </rPr>
      <t>,</t>
    </r>
  </si>
  <si>
    <r>
      <t>"h_c"</t>
    </r>
    <r>
      <rPr>
        <sz val="12"/>
        <color rgb="FF3B3B3B"/>
        <rFont val="Menlo"/>
        <family val="2"/>
      </rPr>
      <t>:</t>
    </r>
    <r>
      <rPr>
        <sz val="12"/>
        <color rgb="FF098658"/>
        <rFont val="Menlo"/>
        <family val="2"/>
      </rPr>
      <t>251.234556</t>
    </r>
    <r>
      <rPr>
        <sz val="12"/>
        <color rgb="FF3B3B3B"/>
        <rFont val="Menlo"/>
        <family val="2"/>
      </rPr>
      <t>,</t>
    </r>
  </si>
  <si>
    <r>
      <t>"pi_c"</t>
    </r>
    <r>
      <rPr>
        <sz val="12"/>
        <color rgb="FF3B3B3B"/>
        <rFont val="Menlo"/>
        <family val="2"/>
      </rPr>
      <t>:</t>
    </r>
    <r>
      <rPr>
        <sz val="12"/>
        <color rgb="FF098658"/>
        <rFont val="Menlo"/>
        <family val="2"/>
      </rPr>
      <t>251.129881</t>
    </r>
    <r>
      <rPr>
        <sz val="12"/>
        <color rgb="FF3B3B3B"/>
        <rFont val="Menlo"/>
        <family val="2"/>
      </rPr>
      <t>,</t>
    </r>
  </si>
  <si>
    <t>242.732836976035 MET-atp_c + 242.732836976035 MET-h2o_c --&gt; 242.732836976035 MET-adp_c + 242.732836976035 MET-h_c + 242.732836976035 MET-pi_c</t>
  </si>
  <si>
    <r>
      <t>"alatrna_c"</t>
    </r>
    <r>
      <rPr>
        <sz val="12"/>
        <color rgb="FF3B3B3B"/>
        <rFont val="Menlo"/>
        <family val="2"/>
      </rPr>
      <t>:</t>
    </r>
    <r>
      <rPr>
        <sz val="12"/>
        <color rgb="FF098658"/>
        <rFont val="Menlo"/>
        <family val="2"/>
      </rPr>
      <t>-0.417215855547621</t>
    </r>
    <r>
      <rPr>
        <sz val="12"/>
        <color rgb="FF3B3B3B"/>
        <rFont val="Menlo"/>
        <family val="2"/>
      </rPr>
      <t>,</t>
    </r>
  </si>
  <si>
    <r>
      <t>"argtrna_c"</t>
    </r>
    <r>
      <rPr>
        <sz val="12"/>
        <color rgb="FF3B3B3B"/>
        <rFont val="Menlo"/>
        <family val="2"/>
      </rPr>
      <t>:</t>
    </r>
    <r>
      <rPr>
        <sz val="12"/>
        <color rgb="FF098658"/>
        <rFont val="Menlo"/>
        <family val="2"/>
      </rPr>
      <t>-0.164836511699347</t>
    </r>
    <r>
      <rPr>
        <sz val="12"/>
        <color rgb="FF3B3B3B"/>
        <rFont val="Menlo"/>
        <family val="2"/>
      </rPr>
      <t>,</t>
    </r>
  </si>
  <si>
    <r>
      <t>"asntrna_c"</t>
    </r>
    <r>
      <rPr>
        <sz val="12"/>
        <color rgb="FF3B3B3B"/>
        <rFont val="Menlo"/>
        <family val="2"/>
      </rPr>
      <t>:</t>
    </r>
    <r>
      <rPr>
        <sz val="12"/>
        <color rgb="FF098658"/>
        <rFont val="Menlo"/>
        <family val="2"/>
      </rPr>
      <t>-0.198145486722372</t>
    </r>
    <r>
      <rPr>
        <sz val="12"/>
        <color rgb="FF3B3B3B"/>
        <rFont val="Menlo"/>
        <family val="2"/>
      </rPr>
      <t>,</t>
    </r>
  </si>
  <si>
    <r>
      <t>"asptrna_c"</t>
    </r>
    <r>
      <rPr>
        <sz val="12"/>
        <color rgb="FF3B3B3B"/>
        <rFont val="Menlo"/>
        <family val="2"/>
      </rPr>
      <t>:</t>
    </r>
    <r>
      <rPr>
        <sz val="12"/>
        <color rgb="FF098658"/>
        <rFont val="Menlo"/>
        <family val="2"/>
      </rPr>
      <t>-0.198145486722372</t>
    </r>
    <r>
      <rPr>
        <sz val="12"/>
        <color rgb="FF3B3B3B"/>
        <rFont val="Menlo"/>
        <family val="2"/>
      </rPr>
      <t>,</t>
    </r>
  </si>
  <si>
    <r>
      <t>"cystrna_c"</t>
    </r>
    <r>
      <rPr>
        <sz val="12"/>
        <color rgb="FF3B3B3B"/>
        <rFont val="Menlo"/>
        <family val="2"/>
      </rPr>
      <t>:</t>
    </r>
    <r>
      <rPr>
        <sz val="12"/>
        <color rgb="FF098658"/>
        <rFont val="Menlo"/>
        <family val="2"/>
      </rPr>
      <t>-0.00597824405906228</t>
    </r>
    <r>
      <rPr>
        <sz val="12"/>
        <color rgb="FF3B3B3B"/>
        <rFont val="Menlo"/>
        <family val="2"/>
      </rPr>
      <t>,</t>
    </r>
  </si>
  <si>
    <r>
      <t>"docoscoa_c"</t>
    </r>
    <r>
      <rPr>
        <sz val="12"/>
        <color rgb="FF3B3B3B"/>
        <rFont val="Menlo"/>
        <family val="2"/>
      </rPr>
      <t>:</t>
    </r>
    <r>
      <rPr>
        <sz val="12"/>
        <color rgb="FF098658"/>
        <rFont val="Menlo"/>
        <family val="2"/>
      </rPr>
      <t>-1.35753472356956e-05</t>
    </r>
    <r>
      <rPr>
        <sz val="12"/>
        <color rgb="FF3B3B3B"/>
        <rFont val="Menlo"/>
        <family val="2"/>
      </rPr>
      <t>,</t>
    </r>
  </si>
  <si>
    <r>
      <t>"glntrna_c"</t>
    </r>
    <r>
      <rPr>
        <sz val="12"/>
        <color rgb="FF3B3B3B"/>
        <rFont val="Menlo"/>
        <family val="2"/>
      </rPr>
      <t>:</t>
    </r>
    <r>
      <rPr>
        <sz val="12"/>
        <color rgb="FF098658"/>
        <rFont val="Menlo"/>
        <family val="2"/>
      </rPr>
      <t>-0.330527205106584</t>
    </r>
    <r>
      <rPr>
        <sz val="12"/>
        <color rgb="FF3B3B3B"/>
        <rFont val="Menlo"/>
        <family val="2"/>
      </rPr>
      <t>,</t>
    </r>
  </si>
  <si>
    <r>
      <t>"glutrna_c"</t>
    </r>
    <r>
      <rPr>
        <sz val="12"/>
        <color rgb="FF3B3B3B"/>
        <rFont val="Menlo"/>
        <family val="2"/>
      </rPr>
      <t>:</t>
    </r>
    <r>
      <rPr>
        <sz val="12"/>
        <color rgb="FF098658"/>
        <rFont val="Menlo"/>
        <family val="2"/>
      </rPr>
      <t>-0.330527205106584</t>
    </r>
    <r>
      <rPr>
        <sz val="12"/>
        <color rgb="FF3B3B3B"/>
        <rFont val="Menlo"/>
        <family val="2"/>
      </rPr>
      <t>,</t>
    </r>
  </si>
  <si>
    <r>
      <t>"glytrna_c"</t>
    </r>
    <r>
      <rPr>
        <sz val="12"/>
        <color rgb="FF3B3B3B"/>
        <rFont val="Menlo"/>
        <family val="2"/>
      </rPr>
      <t>:</t>
    </r>
    <r>
      <rPr>
        <sz val="12"/>
        <color rgb="FF098658"/>
        <rFont val="Menlo"/>
        <family val="2"/>
      </rPr>
      <t>-0.379636999881312</t>
    </r>
    <r>
      <rPr>
        <sz val="12"/>
        <color rgb="FF3B3B3B"/>
        <rFont val="Menlo"/>
        <family val="2"/>
      </rPr>
      <t>,</t>
    </r>
  </si>
  <si>
    <r>
      <t>"histrna_c"</t>
    </r>
    <r>
      <rPr>
        <sz val="12"/>
        <color rgb="FF3B3B3B"/>
        <rFont val="Menlo"/>
        <family val="2"/>
      </rPr>
      <t>:</t>
    </r>
    <r>
      <rPr>
        <sz val="12"/>
        <color rgb="FF098658"/>
        <rFont val="Menlo"/>
        <family val="2"/>
      </rPr>
      <t>-0.0824187697977531</t>
    </r>
    <r>
      <rPr>
        <sz val="12"/>
        <color rgb="FF3B3B3B"/>
        <rFont val="Menlo"/>
        <family val="2"/>
      </rPr>
      <t>,</t>
    </r>
  </si>
  <si>
    <r>
      <t>"iletrna_c"</t>
    </r>
    <r>
      <rPr>
        <sz val="12"/>
        <color rgb="FF3B3B3B"/>
        <rFont val="Menlo"/>
        <family val="2"/>
      </rPr>
      <t>:</t>
    </r>
    <r>
      <rPr>
        <sz val="12"/>
        <color rgb="FF098658"/>
        <rFont val="Menlo"/>
        <family val="2"/>
      </rPr>
      <t>-0.251525162140385</t>
    </r>
    <r>
      <rPr>
        <sz val="12"/>
        <color rgb="FF3B3B3B"/>
        <rFont val="Menlo"/>
        <family val="2"/>
      </rPr>
      <t>,</t>
    </r>
  </si>
  <si>
    <r>
      <t>"leutrna_c"</t>
    </r>
    <r>
      <rPr>
        <sz val="12"/>
        <color rgb="FF3B3B3B"/>
        <rFont val="Menlo"/>
        <family val="2"/>
      </rPr>
      <t>:</t>
    </r>
    <r>
      <rPr>
        <sz val="12"/>
        <color rgb="FF098658"/>
        <rFont val="Menlo"/>
        <family val="2"/>
      </rPr>
      <t>-0.342057116318843</t>
    </r>
    <r>
      <rPr>
        <sz val="12"/>
        <color rgb="FF3B3B3B"/>
        <rFont val="Menlo"/>
        <family val="2"/>
      </rPr>
      <t>,</t>
    </r>
  </si>
  <si>
    <r>
      <t>"linolncoa_c"</t>
    </r>
    <r>
      <rPr>
        <sz val="12"/>
        <color rgb="FF3B3B3B"/>
        <rFont val="Menlo"/>
        <family val="2"/>
      </rPr>
      <t>:</t>
    </r>
    <r>
      <rPr>
        <sz val="12"/>
        <color rgb="FF098658"/>
        <rFont val="Menlo"/>
        <family val="2"/>
      </rPr>
      <t>-6.34327105074009e-05</t>
    </r>
    <r>
      <rPr>
        <sz val="12"/>
        <color rgb="FF3B3B3B"/>
        <rFont val="Menlo"/>
        <family val="2"/>
      </rPr>
      <t>,</t>
    </r>
  </si>
  <si>
    <r>
      <t>"lystrna_c"</t>
    </r>
    <r>
      <rPr>
        <sz val="12"/>
        <color rgb="FF3B3B3B"/>
        <rFont val="Menlo"/>
        <family val="2"/>
      </rPr>
      <t>:</t>
    </r>
    <r>
      <rPr>
        <sz val="12"/>
        <color rgb="FF098658"/>
        <rFont val="Menlo"/>
        <family val="2"/>
      </rPr>
      <t>-0.280564256520126</t>
    </r>
    <r>
      <rPr>
        <sz val="12"/>
        <color rgb="FF3B3B3B"/>
        <rFont val="Menlo"/>
        <family val="2"/>
      </rPr>
      <t>,</t>
    </r>
  </si>
  <si>
    <r>
      <t>"mettrna_c"</t>
    </r>
    <r>
      <rPr>
        <sz val="12"/>
        <color rgb="FF3B3B3B"/>
        <rFont val="Menlo"/>
        <family val="2"/>
      </rPr>
      <t>:</t>
    </r>
    <r>
      <rPr>
        <sz val="12"/>
        <color rgb="FF098658"/>
        <rFont val="Menlo"/>
        <family val="2"/>
      </rPr>
      <t>-0.0486821899727044</t>
    </r>
    <r>
      <rPr>
        <sz val="12"/>
        <color rgb="FF3B3B3B"/>
        <rFont val="Menlo"/>
        <family val="2"/>
      </rPr>
      <t>,</t>
    </r>
  </si>
  <si>
    <r>
      <t>"mn2_c"</t>
    </r>
    <r>
      <rPr>
        <sz val="12"/>
        <color rgb="FF3B3B3B"/>
        <rFont val="Menlo"/>
        <family val="2"/>
      </rPr>
      <t>:</t>
    </r>
    <r>
      <rPr>
        <sz val="12"/>
        <color rgb="FF098658"/>
        <rFont val="Menlo"/>
        <family val="2"/>
      </rPr>
      <t>-9.15985744391487e-05</t>
    </r>
    <r>
      <rPr>
        <sz val="12"/>
        <color rgb="FF3B3B3B"/>
        <rFont val="Menlo"/>
        <family val="2"/>
      </rPr>
      <t>,</t>
    </r>
  </si>
  <si>
    <r>
      <t>"phetrna_c"</t>
    </r>
    <r>
      <rPr>
        <sz val="12"/>
        <color rgb="FF3B3B3B"/>
        <rFont val="Menlo"/>
        <family val="2"/>
      </rPr>
      <t>:</t>
    </r>
    <r>
      <rPr>
        <sz val="12"/>
        <color rgb="FF098658"/>
        <rFont val="Menlo"/>
        <family val="2"/>
      </rPr>
      <t>-0.160566631056063</t>
    </r>
    <r>
      <rPr>
        <sz val="12"/>
        <color rgb="FF3B3B3B"/>
        <rFont val="Menlo"/>
        <family val="2"/>
      </rPr>
      <t>,</t>
    </r>
  </si>
  <si>
    <r>
      <t>"ppi_c"</t>
    </r>
    <r>
      <rPr>
        <sz val="12"/>
        <color rgb="FF3B3B3B"/>
        <rFont val="Menlo"/>
        <family val="2"/>
      </rPr>
      <t>:</t>
    </r>
    <r>
      <rPr>
        <sz val="12"/>
        <color rgb="FF098658"/>
        <rFont val="Menlo"/>
        <family val="2"/>
      </rPr>
      <t>0.375646728</t>
    </r>
    <r>
      <rPr>
        <sz val="12"/>
        <color rgb="FF3B3B3B"/>
        <rFont val="Menlo"/>
        <family val="2"/>
      </rPr>
      <t>,</t>
    </r>
  </si>
  <si>
    <r>
      <t>"protrna_c"</t>
    </r>
    <r>
      <rPr>
        <sz val="12"/>
        <color rgb="FF3B3B3B"/>
        <rFont val="Menlo"/>
        <family val="2"/>
      </rPr>
      <t>:</t>
    </r>
    <r>
      <rPr>
        <sz val="12"/>
        <color rgb="FF098658"/>
        <rFont val="Menlo"/>
        <family val="2"/>
      </rPr>
      <t>-0.180209726649027</t>
    </r>
    <r>
      <rPr>
        <sz val="12"/>
        <color rgb="FF3B3B3B"/>
        <rFont val="Menlo"/>
        <family val="2"/>
      </rPr>
      <t>,</t>
    </r>
  </si>
  <si>
    <r>
      <t>"sertrna_c"</t>
    </r>
    <r>
      <rPr>
        <sz val="12"/>
        <color rgb="FF3B3B3B"/>
        <rFont val="Menlo"/>
        <family val="2"/>
      </rPr>
      <t>:</t>
    </r>
    <r>
      <rPr>
        <sz val="12"/>
        <color rgb="FF098658"/>
        <rFont val="Menlo"/>
        <family val="2"/>
      </rPr>
      <t>-0.229666950325399</t>
    </r>
    <r>
      <rPr>
        <sz val="12"/>
        <color rgb="FF3B3B3B"/>
        <rFont val="Menlo"/>
        <family val="2"/>
      </rPr>
      <t>,</t>
    </r>
  </si>
  <si>
    <r>
      <t>"stcoa_c"</t>
    </r>
    <r>
      <rPr>
        <sz val="12"/>
        <color rgb="FF3B3B3B"/>
        <rFont val="Menlo"/>
        <family val="2"/>
      </rPr>
      <t>:</t>
    </r>
    <r>
      <rPr>
        <sz val="12"/>
        <color rgb="FF098658"/>
        <rFont val="Menlo"/>
        <family val="2"/>
      </rPr>
      <t>-8.16736330810605e-05</t>
    </r>
    <r>
      <rPr>
        <sz val="12"/>
        <color rgb="FF3B3B3B"/>
        <rFont val="Menlo"/>
        <family val="2"/>
      </rPr>
      <t>,</t>
    </r>
  </si>
  <si>
    <r>
      <t>"thrtrna_c"</t>
    </r>
    <r>
      <rPr>
        <sz val="12"/>
        <color rgb="FF3B3B3B"/>
        <rFont val="Menlo"/>
        <family val="2"/>
      </rPr>
      <t>:</t>
    </r>
    <r>
      <rPr>
        <sz val="12"/>
        <color rgb="FF098658"/>
        <rFont val="Menlo"/>
        <family val="2"/>
      </rPr>
      <t>-0.237860310606483</t>
    </r>
    <r>
      <rPr>
        <sz val="12"/>
        <color rgb="FF3B3B3B"/>
        <rFont val="Menlo"/>
        <family val="2"/>
      </rPr>
      <t>,</t>
    </r>
  </si>
  <si>
    <r>
      <t>"trnaala_c"</t>
    </r>
    <r>
      <rPr>
        <sz val="12"/>
        <color rgb="FF3B3B3B"/>
        <rFont val="Menlo"/>
        <family val="2"/>
      </rPr>
      <t>:</t>
    </r>
    <r>
      <rPr>
        <sz val="12"/>
        <color rgb="FF098658"/>
        <rFont val="Menlo"/>
        <family val="2"/>
      </rPr>
      <t>0.417215855547621</t>
    </r>
    <r>
      <rPr>
        <sz val="12"/>
        <color rgb="FF3B3B3B"/>
        <rFont val="Menlo"/>
        <family val="2"/>
      </rPr>
      <t>,</t>
    </r>
  </si>
  <si>
    <r>
      <t>"trnaarg_c"</t>
    </r>
    <r>
      <rPr>
        <sz val="12"/>
        <color rgb="FF3B3B3B"/>
        <rFont val="Menlo"/>
        <family val="2"/>
      </rPr>
      <t>:</t>
    </r>
    <r>
      <rPr>
        <sz val="12"/>
        <color rgb="FF098658"/>
        <rFont val="Menlo"/>
        <family val="2"/>
      </rPr>
      <t>0.164836511699347</t>
    </r>
    <r>
      <rPr>
        <sz val="12"/>
        <color rgb="FF3B3B3B"/>
        <rFont val="Menlo"/>
        <family val="2"/>
      </rPr>
      <t>,</t>
    </r>
  </si>
  <si>
    <r>
      <t>"trnaasn_c"</t>
    </r>
    <r>
      <rPr>
        <sz val="12"/>
        <color rgb="FF3B3B3B"/>
        <rFont val="Menlo"/>
        <family val="2"/>
      </rPr>
      <t>:</t>
    </r>
    <r>
      <rPr>
        <sz val="12"/>
        <color rgb="FF098658"/>
        <rFont val="Menlo"/>
        <family val="2"/>
      </rPr>
      <t>0.198145486722372</t>
    </r>
    <r>
      <rPr>
        <sz val="12"/>
        <color rgb="FF3B3B3B"/>
        <rFont val="Menlo"/>
        <family val="2"/>
      </rPr>
      <t>,</t>
    </r>
  </si>
  <si>
    <r>
      <t>"trnaasp_c"</t>
    </r>
    <r>
      <rPr>
        <sz val="12"/>
        <color rgb="FF3B3B3B"/>
        <rFont val="Menlo"/>
        <family val="2"/>
      </rPr>
      <t>:</t>
    </r>
    <r>
      <rPr>
        <sz val="12"/>
        <color rgb="FF098658"/>
        <rFont val="Menlo"/>
        <family val="2"/>
      </rPr>
      <t>0.198145486722372</t>
    </r>
    <r>
      <rPr>
        <sz val="12"/>
        <color rgb="FF3B3B3B"/>
        <rFont val="Menlo"/>
        <family val="2"/>
      </rPr>
      <t>,</t>
    </r>
  </si>
  <si>
    <r>
      <t>"trnacys_c"</t>
    </r>
    <r>
      <rPr>
        <sz val="12"/>
        <color rgb="FF3B3B3B"/>
        <rFont val="Menlo"/>
        <family val="2"/>
      </rPr>
      <t>:</t>
    </r>
    <r>
      <rPr>
        <sz val="12"/>
        <color rgb="FF098658"/>
        <rFont val="Menlo"/>
        <family val="2"/>
      </rPr>
      <t>0.00597824405906228</t>
    </r>
    <r>
      <rPr>
        <sz val="12"/>
        <color rgb="FF3B3B3B"/>
        <rFont val="Menlo"/>
        <family val="2"/>
      </rPr>
      <t>,</t>
    </r>
  </si>
  <si>
    <r>
      <t>"trnagln_c"</t>
    </r>
    <r>
      <rPr>
        <sz val="12"/>
        <color rgb="FF3B3B3B"/>
        <rFont val="Menlo"/>
        <family val="2"/>
      </rPr>
      <t>:</t>
    </r>
    <r>
      <rPr>
        <sz val="12"/>
        <color rgb="FF098658"/>
        <rFont val="Menlo"/>
        <family val="2"/>
      </rPr>
      <t>0.330527205106584</t>
    </r>
    <r>
      <rPr>
        <sz val="12"/>
        <color rgb="FF3B3B3B"/>
        <rFont val="Menlo"/>
        <family val="2"/>
      </rPr>
      <t>,</t>
    </r>
  </si>
  <si>
    <r>
      <t>"trnaglu_c"</t>
    </r>
    <r>
      <rPr>
        <sz val="12"/>
        <color rgb="FF3B3B3B"/>
        <rFont val="Menlo"/>
        <family val="2"/>
      </rPr>
      <t>:</t>
    </r>
    <r>
      <rPr>
        <sz val="12"/>
        <color rgb="FF098658"/>
        <rFont val="Menlo"/>
        <family val="2"/>
      </rPr>
      <t>0.330527205106584</t>
    </r>
    <r>
      <rPr>
        <sz val="12"/>
        <color rgb="FF3B3B3B"/>
        <rFont val="Menlo"/>
        <family val="2"/>
      </rPr>
      <t>,</t>
    </r>
  </si>
  <si>
    <r>
      <t>"trnagly_c"</t>
    </r>
    <r>
      <rPr>
        <sz val="12"/>
        <color rgb="FF3B3B3B"/>
        <rFont val="Menlo"/>
        <family val="2"/>
      </rPr>
      <t>:</t>
    </r>
    <r>
      <rPr>
        <sz val="12"/>
        <color rgb="FF098658"/>
        <rFont val="Menlo"/>
        <family val="2"/>
      </rPr>
      <t>0.379636999881312</t>
    </r>
    <r>
      <rPr>
        <sz val="12"/>
        <color rgb="FF3B3B3B"/>
        <rFont val="Menlo"/>
        <family val="2"/>
      </rPr>
      <t>,</t>
    </r>
  </si>
  <si>
    <r>
      <t>"trnahis_c"</t>
    </r>
    <r>
      <rPr>
        <sz val="12"/>
        <color rgb="FF3B3B3B"/>
        <rFont val="Menlo"/>
        <family val="2"/>
      </rPr>
      <t>:</t>
    </r>
    <r>
      <rPr>
        <sz val="12"/>
        <color rgb="FF098658"/>
        <rFont val="Menlo"/>
        <family val="2"/>
      </rPr>
      <t>0.0824187697977531</t>
    </r>
    <r>
      <rPr>
        <sz val="12"/>
        <color rgb="FF3B3B3B"/>
        <rFont val="Menlo"/>
        <family val="2"/>
      </rPr>
      <t>,</t>
    </r>
  </si>
  <si>
    <r>
      <t>"trnaile_c"</t>
    </r>
    <r>
      <rPr>
        <sz val="12"/>
        <color rgb="FF3B3B3B"/>
        <rFont val="Menlo"/>
        <family val="2"/>
      </rPr>
      <t>:</t>
    </r>
    <r>
      <rPr>
        <sz val="12"/>
        <color rgb="FF098658"/>
        <rFont val="Menlo"/>
        <family val="2"/>
      </rPr>
      <t>0.251525162140385</t>
    </r>
    <r>
      <rPr>
        <sz val="12"/>
        <color rgb="FF3B3B3B"/>
        <rFont val="Menlo"/>
        <family val="2"/>
      </rPr>
      <t>,</t>
    </r>
  </si>
  <si>
    <r>
      <t>"trnaleu_c"</t>
    </r>
    <r>
      <rPr>
        <sz val="12"/>
        <color rgb="FF3B3B3B"/>
        <rFont val="Menlo"/>
        <family val="2"/>
      </rPr>
      <t>:</t>
    </r>
    <r>
      <rPr>
        <sz val="12"/>
        <color rgb="FF098658"/>
        <rFont val="Menlo"/>
        <family val="2"/>
      </rPr>
      <t>0.342057116318843</t>
    </r>
    <r>
      <rPr>
        <sz val="12"/>
        <color rgb="FF3B3B3B"/>
        <rFont val="Menlo"/>
        <family val="2"/>
      </rPr>
      <t>,</t>
    </r>
  </si>
  <si>
    <r>
      <t>"trnalys_c"</t>
    </r>
    <r>
      <rPr>
        <sz val="12"/>
        <color rgb="FF3B3B3B"/>
        <rFont val="Menlo"/>
        <family val="2"/>
      </rPr>
      <t>:</t>
    </r>
    <r>
      <rPr>
        <sz val="12"/>
        <color rgb="FF098658"/>
        <rFont val="Menlo"/>
        <family val="2"/>
      </rPr>
      <t>0.280564256520126</t>
    </r>
    <r>
      <rPr>
        <sz val="12"/>
        <color rgb="FF3B3B3B"/>
        <rFont val="Menlo"/>
        <family val="2"/>
      </rPr>
      <t>,</t>
    </r>
  </si>
  <si>
    <r>
      <t>"trnamet_c"</t>
    </r>
    <r>
      <rPr>
        <sz val="12"/>
        <color rgb="FF3B3B3B"/>
        <rFont val="Menlo"/>
        <family val="2"/>
      </rPr>
      <t>:</t>
    </r>
    <r>
      <rPr>
        <sz val="12"/>
        <color rgb="FF098658"/>
        <rFont val="Menlo"/>
        <family val="2"/>
      </rPr>
      <t>0.0486821899727044</t>
    </r>
    <r>
      <rPr>
        <sz val="12"/>
        <color rgb="FF3B3B3B"/>
        <rFont val="Menlo"/>
        <family val="2"/>
      </rPr>
      <t>,</t>
    </r>
  </si>
  <si>
    <r>
      <t>"trnaphe_c"</t>
    </r>
    <r>
      <rPr>
        <sz val="12"/>
        <color rgb="FF3B3B3B"/>
        <rFont val="Menlo"/>
        <family val="2"/>
      </rPr>
      <t>:</t>
    </r>
    <r>
      <rPr>
        <sz val="12"/>
        <color rgb="FF098658"/>
        <rFont val="Menlo"/>
        <family val="2"/>
      </rPr>
      <t>0.160566631056063</t>
    </r>
    <r>
      <rPr>
        <sz val="12"/>
        <color rgb="FF3B3B3B"/>
        <rFont val="Menlo"/>
        <family val="2"/>
      </rPr>
      <t>,</t>
    </r>
  </si>
  <si>
    <r>
      <t>"trnapro_c"</t>
    </r>
    <r>
      <rPr>
        <sz val="12"/>
        <color rgb="FF3B3B3B"/>
        <rFont val="Menlo"/>
        <family val="2"/>
      </rPr>
      <t>:</t>
    </r>
    <r>
      <rPr>
        <sz val="12"/>
        <color rgb="FF098658"/>
        <rFont val="Menlo"/>
        <family val="2"/>
      </rPr>
      <t>0.180209726649027</t>
    </r>
    <r>
      <rPr>
        <sz val="12"/>
        <color rgb="FF3B3B3B"/>
        <rFont val="Menlo"/>
        <family val="2"/>
      </rPr>
      <t>,</t>
    </r>
  </si>
  <si>
    <r>
      <t>"trnaser_c"</t>
    </r>
    <r>
      <rPr>
        <sz val="12"/>
        <color rgb="FF3B3B3B"/>
        <rFont val="Menlo"/>
        <family val="2"/>
      </rPr>
      <t>:</t>
    </r>
    <r>
      <rPr>
        <sz val="12"/>
        <color rgb="FF098658"/>
        <rFont val="Menlo"/>
        <family val="2"/>
      </rPr>
      <t>0.229666950325399</t>
    </r>
    <r>
      <rPr>
        <sz val="12"/>
        <color rgb="FF3B3B3B"/>
        <rFont val="Menlo"/>
        <family val="2"/>
      </rPr>
      <t>,</t>
    </r>
  </si>
  <si>
    <r>
      <t>"trnathr_c"</t>
    </r>
    <r>
      <rPr>
        <sz val="12"/>
        <color rgb="FF3B3B3B"/>
        <rFont val="Menlo"/>
        <family val="2"/>
      </rPr>
      <t>:</t>
    </r>
    <r>
      <rPr>
        <sz val="12"/>
        <color rgb="FF098658"/>
        <rFont val="Menlo"/>
        <family val="2"/>
      </rPr>
      <t>0.237860310606483</t>
    </r>
    <r>
      <rPr>
        <sz val="12"/>
        <color rgb="FF3B3B3B"/>
        <rFont val="Menlo"/>
        <family val="2"/>
      </rPr>
      <t>,</t>
    </r>
  </si>
  <si>
    <r>
      <t>"trnatrp_c"</t>
    </r>
    <r>
      <rPr>
        <sz val="12"/>
        <color rgb="FF3B3B3B"/>
        <rFont val="Menlo"/>
        <family val="2"/>
      </rPr>
      <t>:</t>
    </r>
    <r>
      <rPr>
        <sz val="12"/>
        <color rgb="FF098658"/>
        <rFont val="Menlo"/>
        <family val="2"/>
      </rPr>
      <t>0.0277573078698277</t>
    </r>
    <r>
      <rPr>
        <sz val="12"/>
        <color rgb="FF3B3B3B"/>
        <rFont val="Menlo"/>
        <family val="2"/>
      </rPr>
      <t>,</t>
    </r>
  </si>
  <si>
    <r>
      <t>"trnatyr_c"</t>
    </r>
    <r>
      <rPr>
        <sz val="12"/>
        <color rgb="FF3B3B3B"/>
        <rFont val="Menlo"/>
        <family val="2"/>
      </rPr>
      <t>:</t>
    </r>
    <r>
      <rPr>
        <sz val="12"/>
        <color rgb="FF098658"/>
        <rFont val="Menlo"/>
        <family val="2"/>
      </rPr>
      <t>0.0836995284115068</t>
    </r>
    <r>
      <rPr>
        <sz val="12"/>
        <color rgb="FF3B3B3B"/>
        <rFont val="Menlo"/>
        <family val="2"/>
      </rPr>
      <t>,</t>
    </r>
  </si>
  <si>
    <r>
      <t>"trnaval_c"</t>
    </r>
    <r>
      <rPr>
        <sz val="12"/>
        <color rgb="FF3B3B3B"/>
        <rFont val="Menlo"/>
        <family val="2"/>
      </rPr>
      <t>:</t>
    </r>
    <r>
      <rPr>
        <sz val="12"/>
        <color rgb="FF098658"/>
        <rFont val="Menlo"/>
        <family val="2"/>
      </rPr>
      <t>0.313019049835262</t>
    </r>
    <r>
      <rPr>
        <sz val="12"/>
        <color rgb="FF3B3B3B"/>
        <rFont val="Menlo"/>
        <family val="2"/>
      </rPr>
      <t>,</t>
    </r>
  </si>
  <si>
    <r>
      <t>"trptrna_c"</t>
    </r>
    <r>
      <rPr>
        <sz val="12"/>
        <color rgb="FF3B3B3B"/>
        <rFont val="Menlo"/>
        <family val="2"/>
      </rPr>
      <t>:</t>
    </r>
    <r>
      <rPr>
        <sz val="12"/>
        <color rgb="FF098658"/>
        <rFont val="Menlo"/>
        <family val="2"/>
      </rPr>
      <t>-0.0277573078698277</t>
    </r>
    <r>
      <rPr>
        <sz val="12"/>
        <color rgb="FF3B3B3B"/>
        <rFont val="Menlo"/>
        <family val="2"/>
      </rPr>
      <t>,</t>
    </r>
  </si>
  <si>
    <r>
      <t>"tyrtrna_c"</t>
    </r>
    <r>
      <rPr>
        <sz val="12"/>
        <color rgb="FF3B3B3B"/>
        <rFont val="Menlo"/>
        <family val="2"/>
      </rPr>
      <t>:</t>
    </r>
    <r>
      <rPr>
        <sz val="12"/>
        <color rgb="FF098658"/>
        <rFont val="Menlo"/>
        <family val="2"/>
      </rPr>
      <t>-0.0836995284115068</t>
    </r>
    <r>
      <rPr>
        <sz val="12"/>
        <color rgb="FF3B3B3B"/>
        <rFont val="Menlo"/>
        <family val="2"/>
      </rPr>
      <t>,</t>
    </r>
  </si>
  <si>
    <r>
      <t>"valtrna_c"</t>
    </r>
    <r>
      <rPr>
        <sz val="12"/>
        <color rgb="FF3B3B3B"/>
        <rFont val="Menlo"/>
        <family val="2"/>
      </rPr>
      <t>:</t>
    </r>
    <r>
      <rPr>
        <sz val="12"/>
        <color rgb="FF098658"/>
        <rFont val="Menlo"/>
        <family val="2"/>
      </rPr>
      <t>-0.313019049835262</t>
    </r>
    <r>
      <rPr>
        <sz val="12"/>
        <color rgb="FF3B3B3B"/>
        <rFont val="Menlo"/>
        <family val="2"/>
      </rPr>
      <t>,</t>
    </r>
  </si>
  <si>
    <r>
      <t>"zn2_c"</t>
    </r>
    <r>
      <rPr>
        <sz val="12"/>
        <color rgb="FF3B3B3B"/>
        <rFont val="Menlo"/>
        <family val="2"/>
      </rPr>
      <t>:</t>
    </r>
    <r>
      <rPr>
        <sz val="12"/>
        <color rgb="FF098658"/>
        <rFont val="Menlo"/>
        <family val="2"/>
      </rPr>
      <t>-0.00153573780123509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</si>
</sst>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
    <numFmt numFmtId="165" formatCode="0.000"/>
    <numFmt numFmtId="166" formatCode="0.000000"/>
    <numFmt numFmtId="167" formatCode="0.0"/>
    <numFmt numFmtId="168" formatCode="0.000000000000000%"/>
    <numFmt numFmtId="169" formatCode="0.0000"/>
    <numFmt numFmtId="170" formatCode="0.000000%"/>
    <numFmt numFmtId="171" formatCode="0.00000000000%"/>
    <numFmt numFmtId="172" formatCode="0.0000000000000%"/>
  </numFmts>
  <fonts count="21" x14ac:knownFonts="1">
    <font>
      <sz val="10"/>
      <name val="Arial"/>
      <family val="2"/>
      <charset val="1"/>
    </font>
    <font>
      <sz val="12"/>
      <color theme="1"/>
      <name val="Calibri"/>
      <family val="2"/>
      <scheme val="minor"/>
    </font>
    <font>
      <sz val="12"/>
      <color theme="1"/>
      <name val="Calibri"/>
      <family val="2"/>
      <scheme val="minor"/>
    </font>
    <font>
      <b/>
      <sz val="10"/>
      <name val="Arial"/>
      <family val="2"/>
      <charset val="1"/>
    </font>
    <font>
      <sz val="10"/>
      <name val="Arial"/>
      <family val="2"/>
      <charset val="1"/>
    </font>
    <font>
      <sz val="10"/>
      <name val="Arial"/>
      <family val="2"/>
    </font>
    <font>
      <sz val="8"/>
      <name val="Arial"/>
      <family val="2"/>
      <charset val="1"/>
    </font>
    <font>
      <b/>
      <sz val="10"/>
      <name val="Arial"/>
      <family val="2"/>
    </font>
    <font>
      <sz val="12"/>
      <color rgb="FF3B3B3B"/>
      <name val="Menlo"/>
      <family val="2"/>
    </font>
    <font>
      <sz val="12"/>
      <color rgb="FFA31515"/>
      <name val="Menlo"/>
      <family val="2"/>
    </font>
    <font>
      <sz val="12"/>
      <color rgb="FF098658"/>
      <name val="Menlo"/>
      <family val="2"/>
    </font>
    <font>
      <sz val="12"/>
      <color rgb="FF0451A5"/>
      <name val="Menlo"/>
      <family val="2"/>
    </font>
    <font>
      <u/>
      <sz val="10"/>
      <color theme="10"/>
      <name val="Arial"/>
      <family val="2"/>
      <charset val="1"/>
    </font>
    <font>
      <u/>
      <sz val="10"/>
      <name val="Arial"/>
      <family val="2"/>
      <charset val="1"/>
    </font>
    <font>
      <sz val="10"/>
      <color rgb="FF000000"/>
      <name val="Arial"/>
      <family val="2"/>
    </font>
    <font>
      <b/>
      <sz val="10"/>
      <color rgb="FF000000"/>
      <name val="Arial"/>
      <family val="2"/>
    </font>
    <font>
      <b/>
      <sz val="10"/>
      <color theme="1"/>
      <name val="Arial"/>
      <family val="2"/>
    </font>
    <font>
      <sz val="10"/>
      <color theme="1"/>
      <name val="Arial"/>
      <family val="2"/>
      <charset val="1"/>
    </font>
    <font>
      <sz val="10"/>
      <color rgb="FF000000"/>
      <name val="Arial"/>
      <family val="2"/>
      <charset val="1"/>
    </font>
    <font>
      <sz val="12"/>
      <color rgb="FFFF0000"/>
      <name val="Menlo"/>
      <family val="2"/>
    </font>
    <font>
      <sz val="10"/>
      <color rgb="FF000000"/>
      <name val="Tahoma"/>
      <family val="2"/>
    </font>
  </fonts>
  <fills count="15">
    <fill>
      <patternFill patternType="none"/>
    </fill>
    <fill>
      <patternFill patternType="gray125"/>
    </fill>
    <fill>
      <patternFill patternType="solid">
        <fgColor rgb="FFFF9999"/>
        <bgColor rgb="FFFF8080"/>
      </patternFill>
    </fill>
    <fill>
      <patternFill patternType="solid">
        <fgColor rgb="FF9999FF"/>
        <bgColor rgb="FFB2B2B2"/>
      </patternFill>
    </fill>
    <fill>
      <patternFill patternType="solid">
        <fgColor rgb="FFCCFF66"/>
        <bgColor rgb="FFFFFFA6"/>
      </patternFill>
    </fill>
    <fill>
      <patternFill patternType="solid">
        <fgColor rgb="FFB2B2B2"/>
        <bgColor rgb="FF969696"/>
      </patternFill>
    </fill>
    <fill>
      <patternFill patternType="solid">
        <fgColor rgb="FF66FF99"/>
        <bgColor rgb="FF66CCFF"/>
      </patternFill>
    </fill>
    <fill>
      <patternFill patternType="solid">
        <fgColor rgb="FF66CCFF"/>
        <bgColor rgb="FF9999FF"/>
      </patternFill>
    </fill>
    <fill>
      <patternFill patternType="solid">
        <fgColor rgb="FFCC9900"/>
        <bgColor rgb="FF808000"/>
      </patternFill>
    </fill>
    <fill>
      <patternFill patternType="solid">
        <fgColor rgb="FFFFCC00"/>
        <bgColor rgb="FFFFFF00"/>
      </patternFill>
    </fill>
    <fill>
      <patternFill patternType="solid">
        <fgColor rgb="FFFF99FF"/>
        <bgColor rgb="FFFF9999"/>
      </patternFill>
    </fill>
    <fill>
      <patternFill patternType="solid">
        <fgColor rgb="FFFFFF99"/>
        <bgColor rgb="FFFFFFCC"/>
      </patternFill>
    </fill>
    <fill>
      <patternFill patternType="solid">
        <fgColor rgb="FFFFFF00"/>
        <bgColor indexed="64"/>
      </patternFill>
    </fill>
    <fill>
      <patternFill patternType="solid">
        <fgColor theme="8" tint="0.79998168889431442"/>
        <bgColor theme="8" tint="0.79998168889431442"/>
      </patternFill>
    </fill>
    <fill>
      <patternFill patternType="solid">
        <fgColor rgb="FFDDEBF7"/>
        <bgColor rgb="FFDDEBF7"/>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thin">
        <color rgb="FF5B9BD5"/>
      </left>
      <right style="thin">
        <color rgb="FF5B9BD5"/>
      </right>
      <top style="thin">
        <color rgb="FF5B9BD5"/>
      </top>
      <bottom style="thin">
        <color rgb="FF5B9BD5"/>
      </bottom>
      <diagonal/>
    </border>
  </borders>
  <cellStyleXfs count="7">
    <xf numFmtId="0" fontId="0" fillId="0" borderId="0"/>
    <xf numFmtId="9" fontId="4" fillId="0" borderId="0" applyFont="0" applyFill="0" applyBorder="0" applyAlignment="0" applyProtection="0"/>
    <xf numFmtId="0" fontId="5" fillId="0" borderId="0"/>
    <xf numFmtId="0" fontId="4" fillId="0" borderId="0"/>
    <xf numFmtId="0" fontId="2" fillId="0" borderId="0"/>
    <xf numFmtId="0" fontId="12" fillId="0" borderId="0" applyNumberFormat="0" applyFill="0" applyBorder="0" applyAlignment="0" applyProtection="0"/>
    <xf numFmtId="0" fontId="1" fillId="0" borderId="0"/>
  </cellStyleXfs>
  <cellXfs count="184">
    <xf numFmtId="0" fontId="0" fillId="0" borderId="0" xfId="0"/>
    <xf numFmtId="0" fontId="3" fillId="0" borderId="0" xfId="0" applyFont="1"/>
    <xf numFmtId="164" fontId="0" fillId="0" borderId="0" xfId="0" applyNumberFormat="1"/>
    <xf numFmtId="165" fontId="0" fillId="0" borderId="0" xfId="0" applyNumberFormat="1"/>
    <xf numFmtId="166" fontId="0" fillId="0" borderId="0" xfId="0" applyNumberFormat="1" applyAlignment="1">
      <alignment horizontal="left"/>
    </xf>
    <xf numFmtId="0" fontId="0" fillId="2" borderId="0" xfId="0" applyFill="1"/>
    <xf numFmtId="0" fontId="3" fillId="2" borderId="0" xfId="0" applyFont="1" applyFill="1"/>
    <xf numFmtId="0" fontId="0" fillId="3" borderId="0" xfId="0" applyFill="1"/>
    <xf numFmtId="0" fontId="3" fillId="3" borderId="0" xfId="0" applyFont="1" applyFill="1"/>
    <xf numFmtId="0" fontId="0" fillId="4" borderId="0" xfId="0" applyFill="1"/>
    <xf numFmtId="0" fontId="3" fillId="4" borderId="0" xfId="0" applyFont="1" applyFill="1"/>
    <xf numFmtId="0" fontId="0" fillId="5" borderId="0" xfId="0" applyFill="1"/>
    <xf numFmtId="0" fontId="3" fillId="5" borderId="0" xfId="0" applyFont="1" applyFill="1"/>
    <xf numFmtId="0" fontId="0" fillId="6" borderId="0" xfId="0" applyFill="1"/>
    <xf numFmtId="0" fontId="3" fillId="6" borderId="0" xfId="0" applyFont="1" applyFill="1"/>
    <xf numFmtId="0" fontId="0" fillId="7" borderId="0" xfId="0" applyFill="1"/>
    <xf numFmtId="0" fontId="3" fillId="7" borderId="0" xfId="0" applyFont="1" applyFill="1"/>
    <xf numFmtId="0" fontId="0" fillId="8" borderId="0" xfId="0" applyFill="1"/>
    <xf numFmtId="2" fontId="0" fillId="8" borderId="0" xfId="0" applyNumberFormat="1" applyFill="1" applyAlignment="1">
      <alignment horizontal="left"/>
    </xf>
    <xf numFmtId="0" fontId="3" fillId="8" borderId="0" xfId="0" applyFont="1" applyFill="1"/>
    <xf numFmtId="10" fontId="0" fillId="10" borderId="0" xfId="0" applyNumberFormat="1" applyFill="1"/>
    <xf numFmtId="2" fontId="0" fillId="0" borderId="0" xfId="0" applyNumberFormat="1"/>
    <xf numFmtId="10" fontId="0" fillId="0" borderId="0" xfId="0" applyNumberFormat="1"/>
    <xf numFmtId="10" fontId="0" fillId="2" borderId="0" xfId="0" applyNumberFormat="1" applyFill="1"/>
    <xf numFmtId="2" fontId="0" fillId="3" borderId="0" xfId="0" applyNumberFormat="1" applyFill="1"/>
    <xf numFmtId="10" fontId="0" fillId="3" borderId="0" xfId="0" applyNumberFormat="1" applyFill="1"/>
    <xf numFmtId="10" fontId="0" fillId="4" borderId="0" xfId="0" applyNumberFormat="1" applyFill="1"/>
    <xf numFmtId="10" fontId="0" fillId="5" borderId="0" xfId="0" applyNumberFormat="1" applyFill="1"/>
    <xf numFmtId="10" fontId="0" fillId="6" borderId="0" xfId="0" applyNumberFormat="1" applyFill="1"/>
    <xf numFmtId="10" fontId="0" fillId="7" borderId="0" xfId="0" applyNumberFormat="1" applyFill="1"/>
    <xf numFmtId="10" fontId="0" fillId="4" borderId="4" xfId="0" applyNumberFormat="1" applyFill="1" applyBorder="1" applyAlignment="1">
      <alignment horizontal="left"/>
    </xf>
    <xf numFmtId="10" fontId="0" fillId="5" borderId="4" xfId="0" applyNumberFormat="1" applyFill="1" applyBorder="1" applyAlignment="1">
      <alignment horizontal="left"/>
    </xf>
    <xf numFmtId="10" fontId="0" fillId="6" borderId="4" xfId="0" applyNumberFormat="1" applyFill="1" applyBorder="1" applyAlignment="1">
      <alignment horizontal="left"/>
    </xf>
    <xf numFmtId="10" fontId="0" fillId="7" borderId="5" xfId="0" applyNumberFormat="1" applyFill="1" applyBorder="1" applyAlignment="1">
      <alignment horizontal="left"/>
    </xf>
    <xf numFmtId="0" fontId="0" fillId="0" borderId="3" xfId="0" applyBorder="1"/>
    <xf numFmtId="0" fontId="0" fillId="0" borderId="4" xfId="0" applyBorder="1"/>
    <xf numFmtId="0" fontId="0" fillId="0" borderId="5" xfId="0" applyBorder="1"/>
    <xf numFmtId="0" fontId="0" fillId="0" borderId="1" xfId="0" applyBorder="1"/>
    <xf numFmtId="2" fontId="0" fillId="9" borderId="6" xfId="0" applyNumberFormat="1" applyFill="1" applyBorder="1"/>
    <xf numFmtId="166" fontId="0" fillId="9" borderId="12" xfId="0" applyNumberFormat="1" applyFill="1" applyBorder="1"/>
    <xf numFmtId="2" fontId="0" fillId="9" borderId="12" xfId="0" applyNumberFormat="1" applyFill="1" applyBorder="1"/>
    <xf numFmtId="2" fontId="0" fillId="9" borderId="8" xfId="0" applyNumberFormat="1" applyFill="1" applyBorder="1"/>
    <xf numFmtId="166" fontId="0" fillId="9" borderId="0" xfId="0" applyNumberFormat="1" applyFill="1"/>
    <xf numFmtId="2" fontId="0" fillId="9" borderId="0" xfId="0" applyNumberFormat="1" applyFill="1"/>
    <xf numFmtId="2" fontId="0" fillId="9" borderId="10" xfId="0" applyNumberFormat="1" applyFill="1" applyBorder="1"/>
    <xf numFmtId="166" fontId="0" fillId="9" borderId="13" xfId="0" applyNumberFormat="1" applyFill="1" applyBorder="1"/>
    <xf numFmtId="2" fontId="0" fillId="9" borderId="13" xfId="0" applyNumberFormat="1" applyFill="1" applyBorder="1"/>
    <xf numFmtId="10" fontId="0" fillId="9" borderId="0" xfId="0" applyNumberFormat="1" applyFill="1"/>
    <xf numFmtId="2" fontId="0" fillId="9" borderId="7" xfId="0" applyNumberFormat="1" applyFill="1" applyBorder="1"/>
    <xf numFmtId="2" fontId="0" fillId="9" borderId="9" xfId="0" applyNumberFormat="1" applyFill="1" applyBorder="1"/>
    <xf numFmtId="2" fontId="0" fillId="9" borderId="11" xfId="0" applyNumberFormat="1" applyFill="1" applyBorder="1"/>
    <xf numFmtId="0" fontId="0" fillId="2" borderId="6" xfId="0" applyFill="1" applyBorder="1"/>
    <xf numFmtId="166" fontId="0" fillId="2" borderId="12" xfId="0" applyNumberFormat="1" applyFill="1" applyBorder="1"/>
    <xf numFmtId="0" fontId="0" fillId="2" borderId="12" xfId="0" applyFill="1" applyBorder="1"/>
    <xf numFmtId="2" fontId="0" fillId="2" borderId="7" xfId="0" applyNumberFormat="1" applyFill="1" applyBorder="1"/>
    <xf numFmtId="0" fontId="0" fillId="2" borderId="8" xfId="0" applyFill="1" applyBorder="1"/>
    <xf numFmtId="166" fontId="0" fillId="2" borderId="0" xfId="0" applyNumberFormat="1" applyFill="1"/>
    <xf numFmtId="2" fontId="0" fillId="2" borderId="9" xfId="0" applyNumberFormat="1" applyFill="1" applyBorder="1"/>
    <xf numFmtId="0" fontId="0" fillId="2" borderId="10" xfId="0" applyFill="1" applyBorder="1"/>
    <xf numFmtId="166" fontId="0" fillId="2" borderId="13" xfId="0" applyNumberFormat="1" applyFill="1" applyBorder="1"/>
    <xf numFmtId="0" fontId="0" fillId="2" borderId="13" xfId="0" applyFill="1" applyBorder="1"/>
    <xf numFmtId="2" fontId="0" fillId="2" borderId="11" xfId="0" applyNumberFormat="1" applyFill="1" applyBorder="1"/>
    <xf numFmtId="166" fontId="0" fillId="3" borderId="3" xfId="0" applyNumberFormat="1" applyFill="1" applyBorder="1"/>
    <xf numFmtId="166" fontId="0" fillId="3" borderId="4" xfId="0" applyNumberFormat="1" applyFill="1" applyBorder="1"/>
    <xf numFmtId="166" fontId="0" fillId="3" borderId="5" xfId="0" applyNumberFormat="1" applyFill="1" applyBorder="1"/>
    <xf numFmtId="0" fontId="0" fillId="4" borderId="6" xfId="0" applyFill="1" applyBorder="1"/>
    <xf numFmtId="166" fontId="0" fillId="4" borderId="12" xfId="0" applyNumberFormat="1" applyFill="1" applyBorder="1"/>
    <xf numFmtId="0" fontId="0" fillId="4" borderId="12" xfId="0" applyFill="1" applyBorder="1"/>
    <xf numFmtId="2" fontId="0" fillId="4" borderId="7" xfId="0" applyNumberFormat="1" applyFill="1" applyBorder="1"/>
    <xf numFmtId="0" fontId="0" fillId="4" borderId="8" xfId="0" applyFill="1" applyBorder="1"/>
    <xf numFmtId="166" fontId="0" fillId="4" borderId="0" xfId="0" applyNumberFormat="1" applyFill="1"/>
    <xf numFmtId="2" fontId="0" fillId="4" borderId="9" xfId="0" applyNumberFormat="1" applyFill="1" applyBorder="1"/>
    <xf numFmtId="0" fontId="0" fillId="4" borderId="10" xfId="0" applyFill="1" applyBorder="1"/>
    <xf numFmtId="166" fontId="0" fillId="4" borderId="13" xfId="0" applyNumberFormat="1" applyFill="1" applyBorder="1"/>
    <xf numFmtId="0" fontId="0" fillId="4" borderId="13" xfId="0" applyFill="1" applyBorder="1"/>
    <xf numFmtId="2" fontId="0" fillId="4" borderId="11" xfId="0" applyNumberFormat="1" applyFill="1" applyBorder="1"/>
    <xf numFmtId="0" fontId="0" fillId="5" borderId="6" xfId="0" applyFill="1" applyBorder="1"/>
    <xf numFmtId="166" fontId="0" fillId="5" borderId="12" xfId="0" applyNumberFormat="1" applyFill="1" applyBorder="1"/>
    <xf numFmtId="0" fontId="0" fillId="5" borderId="12" xfId="0" applyFill="1" applyBorder="1"/>
    <xf numFmtId="2" fontId="0" fillId="5" borderId="7" xfId="0" applyNumberFormat="1" applyFill="1" applyBorder="1"/>
    <xf numFmtId="0" fontId="0" fillId="5" borderId="8" xfId="0" applyFill="1" applyBorder="1"/>
    <xf numFmtId="166" fontId="0" fillId="5" borderId="0" xfId="0" applyNumberFormat="1" applyFill="1"/>
    <xf numFmtId="2" fontId="0" fillId="5" borderId="9" xfId="0" applyNumberFormat="1" applyFill="1" applyBorder="1"/>
    <xf numFmtId="0" fontId="0" fillId="5" borderId="10" xfId="0" applyFill="1" applyBorder="1"/>
    <xf numFmtId="166" fontId="0" fillId="5" borderId="13" xfId="0" applyNumberFormat="1" applyFill="1" applyBorder="1"/>
    <xf numFmtId="0" fontId="0" fillId="5" borderId="13" xfId="0" applyFill="1" applyBorder="1"/>
    <xf numFmtId="2" fontId="0" fillId="5" borderId="11" xfId="0" applyNumberFormat="1" applyFill="1" applyBorder="1"/>
    <xf numFmtId="167" fontId="0" fillId="6" borderId="2" xfId="0" applyNumberFormat="1" applyFill="1" applyBorder="1"/>
    <xf numFmtId="166" fontId="0" fillId="6" borderId="14" xfId="0" applyNumberFormat="1" applyFill="1" applyBorder="1"/>
    <xf numFmtId="167" fontId="0" fillId="6" borderId="14" xfId="0" applyNumberFormat="1" applyFill="1" applyBorder="1"/>
    <xf numFmtId="167" fontId="0" fillId="6" borderId="15" xfId="0" applyNumberFormat="1" applyFill="1" applyBorder="1"/>
    <xf numFmtId="167" fontId="0" fillId="7" borderId="2" xfId="0" applyNumberFormat="1" applyFill="1" applyBorder="1"/>
    <xf numFmtId="166" fontId="0" fillId="7" borderId="14" xfId="0" applyNumberFormat="1" applyFill="1" applyBorder="1"/>
    <xf numFmtId="167" fontId="0" fillId="7" borderId="14" xfId="0" applyNumberFormat="1" applyFill="1" applyBorder="1"/>
    <xf numFmtId="167" fontId="0" fillId="7" borderId="15" xfId="0" applyNumberFormat="1" applyFill="1" applyBorder="1"/>
    <xf numFmtId="0" fontId="0" fillId="0" borderId="0" xfId="0"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10" borderId="6" xfId="0" applyFill="1" applyBorder="1"/>
    <xf numFmtId="166" fontId="5" fillId="10" borderId="12" xfId="2" applyNumberFormat="1" applyFill="1" applyBorder="1"/>
    <xf numFmtId="0" fontId="0" fillId="10" borderId="12" xfId="0" applyFill="1" applyBorder="1"/>
    <xf numFmtId="2" fontId="0" fillId="10" borderId="7" xfId="0" applyNumberFormat="1" applyFill="1" applyBorder="1"/>
    <xf numFmtId="0" fontId="0" fillId="10" borderId="8" xfId="0" applyFill="1" applyBorder="1"/>
    <xf numFmtId="166" fontId="5" fillId="10" borderId="0" xfId="2" applyNumberFormat="1" applyFill="1"/>
    <xf numFmtId="0" fontId="0" fillId="10" borderId="0" xfId="0" applyFill="1"/>
    <xf numFmtId="2" fontId="0" fillId="10" borderId="9" xfId="0" applyNumberFormat="1" applyFill="1" applyBorder="1"/>
    <xf numFmtId="0" fontId="0" fillId="10" borderId="10" xfId="0" applyFill="1" applyBorder="1"/>
    <xf numFmtId="166" fontId="5" fillId="10" borderId="13" xfId="2" applyNumberFormat="1" applyFill="1" applyBorder="1"/>
    <xf numFmtId="0" fontId="0" fillId="10" borderId="13" xfId="0" applyFill="1" applyBorder="1"/>
    <xf numFmtId="2" fontId="0" fillId="10" borderId="11" xfId="0" applyNumberFormat="1" applyFill="1" applyBorder="1"/>
    <xf numFmtId="0" fontId="7" fillId="0" borderId="0" xfId="0" applyFont="1" applyAlignment="1">
      <alignment horizontal="right"/>
    </xf>
    <xf numFmtId="0" fontId="5" fillId="11" borderId="0" xfId="2" applyFill="1"/>
    <xf numFmtId="166" fontId="7" fillId="10" borderId="0" xfId="2" applyNumberFormat="1" applyFont="1" applyFill="1"/>
    <xf numFmtId="0" fontId="7" fillId="11" borderId="0" xfId="2" applyFont="1" applyFill="1"/>
    <xf numFmtId="166" fontId="7" fillId="9" borderId="0" xfId="0" applyNumberFormat="1" applyFont="1" applyFill="1"/>
    <xf numFmtId="10" fontId="0" fillId="2" borderId="4" xfId="1" applyNumberFormat="1" applyFont="1" applyFill="1" applyBorder="1" applyAlignment="1">
      <alignment horizontal="left" vertical="center"/>
    </xf>
    <xf numFmtId="10" fontId="0" fillId="3" borderId="4" xfId="1" applyNumberFormat="1" applyFont="1" applyFill="1" applyBorder="1" applyAlignment="1">
      <alignment horizontal="left"/>
    </xf>
    <xf numFmtId="0" fontId="5" fillId="11" borderId="6" xfId="2" applyFill="1" applyBorder="1"/>
    <xf numFmtId="0" fontId="5" fillId="11" borderId="12" xfId="2" applyFill="1" applyBorder="1"/>
    <xf numFmtId="0" fontId="5" fillId="11" borderId="7" xfId="2" applyFill="1" applyBorder="1"/>
    <xf numFmtId="0" fontId="5" fillId="11" borderId="8" xfId="2" applyFill="1" applyBorder="1"/>
    <xf numFmtId="0" fontId="5" fillId="11" borderId="9" xfId="2" applyFill="1" applyBorder="1"/>
    <xf numFmtId="0" fontId="5" fillId="11" borderId="10" xfId="2" applyFill="1" applyBorder="1"/>
    <xf numFmtId="0" fontId="5" fillId="11" borderId="13" xfId="2" applyFill="1" applyBorder="1"/>
    <xf numFmtId="0" fontId="5" fillId="11" borderId="11" xfId="2" applyFill="1" applyBorder="1"/>
    <xf numFmtId="10" fontId="0" fillId="9" borderId="3" xfId="1" applyNumberFormat="1" applyFont="1" applyFill="1" applyBorder="1" applyAlignment="1">
      <alignment horizontal="left"/>
    </xf>
    <xf numFmtId="10" fontId="5" fillId="11" borderId="4" xfId="1" applyNumberFormat="1" applyFont="1" applyFill="1" applyBorder="1" applyAlignment="1">
      <alignment horizontal="left"/>
    </xf>
    <xf numFmtId="10" fontId="5" fillId="10" borderId="4" xfId="1" applyNumberFormat="1" applyFont="1" applyFill="1" applyBorder="1" applyAlignment="1">
      <alignment horizontal="left"/>
    </xf>
    <xf numFmtId="166" fontId="0" fillId="3" borderId="6" xfId="0" applyNumberFormat="1" applyFill="1" applyBorder="1"/>
    <xf numFmtId="0" fontId="0" fillId="3" borderId="7" xfId="0" applyFill="1" applyBorder="1"/>
    <xf numFmtId="166" fontId="0" fillId="3" borderId="8" xfId="0" applyNumberFormat="1" applyFill="1" applyBorder="1"/>
    <xf numFmtId="0" fontId="0" fillId="3" borderId="9" xfId="0" applyFill="1" applyBorder="1"/>
    <xf numFmtId="166" fontId="0" fillId="3" borderId="10" xfId="0" applyNumberFormat="1" applyFill="1" applyBorder="1"/>
    <xf numFmtId="0" fontId="0" fillId="3" borderId="11" xfId="0" applyFill="1" applyBorder="1"/>
    <xf numFmtId="10" fontId="5" fillId="11" borderId="3" xfId="1" applyNumberFormat="1" applyFont="1" applyFill="1" applyBorder="1" applyAlignment="1">
      <alignment horizontal="left"/>
    </xf>
    <xf numFmtId="10" fontId="0" fillId="9" borderId="4" xfId="1" applyNumberFormat="1" applyFont="1" applyFill="1" applyBorder="1" applyAlignment="1">
      <alignment horizontal="left"/>
    </xf>
    <xf numFmtId="166" fontId="0" fillId="0" borderId="0" xfId="0" applyNumberFormat="1"/>
    <xf numFmtId="168" fontId="0" fillId="0" borderId="0" xfId="0" applyNumberFormat="1"/>
    <xf numFmtId="0" fontId="7" fillId="0" borderId="0" xfId="0" applyFont="1"/>
    <xf numFmtId="0" fontId="0" fillId="12" borderId="0" xfId="0" applyFill="1"/>
    <xf numFmtId="0" fontId="8" fillId="0" borderId="0" xfId="0" applyFont="1"/>
    <xf numFmtId="0" fontId="9" fillId="0" borderId="0" xfId="0" applyFont="1"/>
    <xf numFmtId="0" fontId="0" fillId="0" borderId="0" xfId="0" applyAlignment="1">
      <alignment horizontal="center" wrapText="1"/>
    </xf>
    <xf numFmtId="0" fontId="11" fillId="0" borderId="0" xfId="0" applyFont="1"/>
    <xf numFmtId="0" fontId="0" fillId="0" borderId="0" xfId="0" applyAlignment="1">
      <alignment wrapText="1"/>
    </xf>
    <xf numFmtId="0" fontId="0" fillId="0" borderId="0" xfId="0" applyAlignment="1">
      <alignment vertical="top" wrapText="1"/>
    </xf>
    <xf numFmtId="0" fontId="12" fillId="0" borderId="0" xfId="5" applyAlignment="1">
      <alignment horizontal="center" wrapText="1"/>
    </xf>
    <xf numFmtId="0" fontId="13" fillId="0" borderId="0" xfId="0" applyFont="1" applyAlignment="1">
      <alignment wrapText="1"/>
    </xf>
    <xf numFmtId="0" fontId="0" fillId="0" borderId="0" xfId="0" applyAlignment="1">
      <alignment horizontal="right"/>
    </xf>
    <xf numFmtId="0" fontId="7" fillId="12" borderId="0" xfId="0" applyFont="1" applyFill="1" applyAlignment="1">
      <alignment horizontal="left"/>
    </xf>
    <xf numFmtId="0" fontId="0" fillId="12" borderId="0" xfId="0" applyFill="1" applyAlignment="1">
      <alignment horizontal="center" wrapText="1"/>
    </xf>
    <xf numFmtId="0" fontId="4" fillId="0" borderId="0" xfId="3"/>
    <xf numFmtId="0" fontId="7" fillId="0" borderId="0" xfId="3" applyFont="1"/>
    <xf numFmtId="0" fontId="5" fillId="0" borderId="0" xfId="3" applyFont="1"/>
    <xf numFmtId="0" fontId="5" fillId="12" borderId="0" xfId="0" applyFont="1" applyFill="1" applyAlignment="1">
      <alignment vertical="top" wrapText="1"/>
    </xf>
    <xf numFmtId="0" fontId="5" fillId="0" borderId="0" xfId="0" applyFont="1" applyAlignment="1">
      <alignment vertical="top" wrapText="1"/>
    </xf>
    <xf numFmtId="0" fontId="5" fillId="0" borderId="0" xfId="0" applyFont="1"/>
    <xf numFmtId="9" fontId="0" fillId="0" borderId="0" xfId="1" applyFont="1" applyAlignment="1">
      <alignment horizontal="right"/>
    </xf>
    <xf numFmtId="0" fontId="5" fillId="0" borderId="0" xfId="0" applyFont="1" applyAlignment="1">
      <alignment vertical="top"/>
    </xf>
    <xf numFmtId="10" fontId="0" fillId="0" borderId="0" xfId="1" applyNumberFormat="1" applyFont="1" applyAlignment="1">
      <alignment horizontal="right"/>
    </xf>
    <xf numFmtId="169" fontId="0" fillId="0" borderId="0" xfId="0" applyNumberFormat="1"/>
    <xf numFmtId="0" fontId="6" fillId="0" borderId="0" xfId="0" applyFont="1" applyAlignment="1">
      <alignment horizontal="right"/>
    </xf>
    <xf numFmtId="9" fontId="0" fillId="12" borderId="0" xfId="1" applyFont="1" applyFill="1" applyAlignment="1">
      <alignment horizontal="right"/>
    </xf>
    <xf numFmtId="0" fontId="13" fillId="0" borderId="0" xfId="0" applyFont="1"/>
    <xf numFmtId="0" fontId="13" fillId="0" borderId="0" xfId="0" applyFont="1" applyAlignment="1">
      <alignment horizontal="right"/>
    </xf>
    <xf numFmtId="0" fontId="0" fillId="0" borderId="0" xfId="0" applyAlignment="1">
      <alignment horizontal="right" wrapText="1"/>
    </xf>
    <xf numFmtId="168" fontId="0" fillId="0" borderId="0" xfId="0" applyNumberFormat="1" applyAlignment="1">
      <alignment horizontal="right"/>
    </xf>
    <xf numFmtId="0" fontId="14" fillId="0" borderId="0" xfId="0" applyFont="1"/>
    <xf numFmtId="0" fontId="15" fillId="0" borderId="0" xfId="0" applyFont="1"/>
    <xf numFmtId="170" fontId="0" fillId="0" borderId="0" xfId="0" applyNumberFormat="1" applyAlignment="1">
      <alignment wrapText="1"/>
    </xf>
    <xf numFmtId="171" fontId="0" fillId="0" borderId="0" xfId="0" applyNumberFormat="1" applyAlignment="1">
      <alignment wrapText="1"/>
    </xf>
    <xf numFmtId="0" fontId="17" fillId="13" borderId="17" xfId="0" applyFont="1" applyFill="1" applyBorder="1" applyAlignment="1">
      <alignment horizontal="right"/>
    </xf>
    <xf numFmtId="10" fontId="18" fillId="14" borderId="18" xfId="0" applyNumberFormat="1" applyFont="1" applyFill="1" applyBorder="1" applyAlignment="1">
      <alignment horizontal="right"/>
    </xf>
    <xf numFmtId="10" fontId="18" fillId="0" borderId="18" xfId="0" applyNumberFormat="1" applyFont="1" applyBorder="1" applyAlignment="1">
      <alignment horizontal="right"/>
    </xf>
    <xf numFmtId="0" fontId="16" fillId="0" borderId="16" xfId="0" applyFont="1" applyBorder="1" applyAlignment="1">
      <alignment vertical="top" wrapText="1"/>
    </xf>
    <xf numFmtId="9" fontId="17" fillId="0" borderId="17" xfId="1" applyFont="1" applyFill="1" applyBorder="1" applyAlignment="1">
      <alignment horizontal="right"/>
    </xf>
    <xf numFmtId="10" fontId="17" fillId="0" borderId="17" xfId="1" applyNumberFormat="1" applyFont="1" applyFill="1" applyBorder="1" applyAlignment="1">
      <alignment horizontal="right"/>
    </xf>
    <xf numFmtId="172" fontId="0" fillId="0" borderId="0" xfId="0" applyNumberFormat="1" applyAlignment="1">
      <alignment wrapText="1"/>
    </xf>
    <xf numFmtId="10" fontId="0" fillId="12" borderId="0" xfId="1" applyNumberFormat="1" applyFont="1" applyFill="1" applyAlignment="1">
      <alignment horizontal="right"/>
    </xf>
    <xf numFmtId="0" fontId="19" fillId="0" borderId="0" xfId="0" applyFont="1"/>
    <xf numFmtId="0" fontId="0" fillId="0" borderId="0" xfId="0" applyAlignment="1">
      <alignment horizontal="center"/>
    </xf>
    <xf numFmtId="0" fontId="0" fillId="0" borderId="0" xfId="0" applyAlignment="1">
      <alignment horizontal="center" wrapText="1"/>
    </xf>
    <xf numFmtId="0" fontId="12" fillId="0" borderId="0" xfId="5" applyAlignment="1">
      <alignment horizontal="center" wrapText="1"/>
    </xf>
  </cellXfs>
  <cellStyles count="7">
    <cellStyle name="Hyperlink" xfId="5" builtinId="8"/>
    <cellStyle name="Normal" xfId="0" builtinId="0"/>
    <cellStyle name="Normal 2" xfId="3" xr:uid="{8D42D368-083B-1646-83C8-1014EAF66E1D}"/>
    <cellStyle name="Normal 3" xfId="2" xr:uid="{57CDEB8D-634D-FE49-AF0C-3E2A05695A8B}"/>
    <cellStyle name="Normal 4" xfId="4" xr:uid="{B718A11A-7FC6-D749-BA26-E8C58F0FBEC7}"/>
    <cellStyle name="Normal 5" xfId="6" xr:uid="{D045E9A5-95AA-6B4B-9AD8-C16EB301DD4C}"/>
    <cellStyle name="Percent" xfId="1" builtinId="5"/>
  </cellStyles>
  <dxfs count="303">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rgb="FF3B3B3B"/>
        <name val="Menlo"/>
        <family val="2"/>
        <scheme val="none"/>
      </font>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i val="0"/>
        <strike val="0"/>
        <condense val="0"/>
        <extend val="0"/>
        <outline val="0"/>
        <shadow val="0"/>
        <u val="none"/>
        <vertAlign val="baseline"/>
        <sz val="12"/>
        <color rgb="FFA31515"/>
        <name val="Menlo"/>
        <family val="2"/>
        <scheme val="none"/>
      </font>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2" formatCode="0.00"/>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2" formatCode="0.00"/>
    </dxf>
    <dxf>
      <numFmt numFmtId="169" formatCode="0.0000"/>
    </dxf>
    <dxf>
      <numFmt numFmtId="169" formatCode="0.0000"/>
    </dxf>
    <dxf>
      <numFmt numFmtId="2" formatCode="0.00"/>
    </dxf>
    <dxf>
      <numFmt numFmtId="0" formatCode="General"/>
    </dxf>
    <dxf>
      <numFmt numFmtId="2" formatCode="0.00"/>
    </dxf>
    <dxf>
      <numFmt numFmtId="0" formatCode="General"/>
    </dxf>
    <dxf>
      <numFmt numFmtId="0" formatCode="General"/>
    </dxf>
    <dxf>
      <numFmt numFmtId="0" formatCode="General"/>
    </dxf>
    <dxf>
      <font>
        <b val="0"/>
      </font>
      <alignment horizontal="general" vertical="top" textRotation="0" wrapText="1"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4" formatCode="0.00%"/>
      <fill>
        <patternFill patternType="solid">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charset val="1"/>
        <scheme val="none"/>
      </font>
      <numFmt numFmtId="14" formatCode="0.0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dxf>
    <dxf>
      <alignment horizontal="right" vertical="bottom" textRotation="0" wrapText="0" indent="0" justifyLastLine="0" shrinkToFit="0" readingOrder="0"/>
    </dxf>
    <dxf>
      <font>
        <b val="0"/>
      </font>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ill>
        <patternFill patternType="none">
          <fgColor rgb="FF000000"/>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top" textRotation="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A6"/>
      <rgbColor rgb="FF66CCFF"/>
      <rgbColor rgb="FFFF9999"/>
      <rgbColor rgb="FFFF99FF"/>
      <rgbColor rgb="FFFFCC99"/>
      <rgbColor rgb="FF3366FF"/>
      <rgbColor rgb="FF66FF99"/>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ric Mooney" id="{F9DA0C21-F771-4789-8D47-44E5E3ADA0F2}" userId="748a42cd58a083a8" providerId="Windows Live"/>
  <person displayName="Mooney, Eric James" id="{3BB1E4B7-8A84-1743-AB99-6952E2C74C20}" userId="S::ejm6426@psu.edu::459e8eda-b576-4c3c-9900-d76ade15b4b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764D5CB-C813-6041-ABC4-C6E4AD58D748}" name="ExtraRxns2511" displayName="ExtraRxns2511" ref="X5:Z17" totalsRowShown="0" headerRowDxfId="302" dataDxfId="301">
  <autoFilter ref="X5:Z17" xr:uid="{FE7B857A-6163-784B-9297-DC54E624BDF2}"/>
  <tableColumns count="3">
    <tableColumn id="1" xr3:uid="{00969332-26E7-664E-93E1-97B1416AC4DB}" name="rxn description or data (optional)" dataDxfId="300" dataCellStyle="Normal 2"/>
    <tableColumn id="2" xr3:uid="{F848F23A-68BF-BA4C-AB51-BD563A5A4E0F}" name="name" dataDxfId="299" dataCellStyle="Normal 2"/>
    <tableColumn id="3" xr3:uid="{FAE89D9A-52CB-5D43-BE50-E8E63607B097}" name="stoichiometry" dataDxfId="298" dataCellStyle="Normal 2"/>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2A4DD-D032-3D4E-AB4C-C6793E81BDF1}" name="biomassComponents2612" displayName="biomassComponents2612" ref="P5:W12" totalsRowShown="0" headerRowDxfId="297" dataDxfId="296" dataCellStyle="Percent">
  <autoFilter ref="P5:W12" xr:uid="{FF498876-BCFA-DE44-AB80-834F76DB6419}"/>
  <tableColumns count="8">
    <tableColumn id="4" xr3:uid="{BCEB2086-43E7-6F4A-8CDD-98E5E153DF2A}" name="rxn name" dataDxfId="295" dataCellStyle="Percent">
      <calculatedColumnFormula>O6</calculatedColumnFormula>
    </tableColumn>
    <tableColumn id="2" xr3:uid="{8A242555-0E6E-024C-A9CC-0272071A0CCB}" name="product name" dataDxfId="294" dataCellStyle="Percent">
      <calculatedColumnFormula>SUBSTITUTE(LOWER(biomassComponents2612[[#This Row],[rxn name]]),"biosyn-","BIO-")</calculatedColumnFormula>
    </tableColumn>
    <tableColumn id="6" xr3:uid="{51CFAEDC-0667-AD48-8CE1-B358F859732B}" name="original coeffs from input" dataDxfId="293" dataCellStyle="Percent">
      <calculatedColumnFormula array="1">_xlfn.LET(_xlpm.mass,-mets2713[MW for biomass normalization (g/mol)]*mets2713[normalized coeffs],SUM(_xlfn._xlws.FILTER(_xlpm.mass/1000,(mets2713[category]=_xlfn.TEXTAFTER(O6,"BIOSYN-")),"")))</calculatedColumnFormula>
    </tableColumn>
    <tableColumn id="5" xr3:uid="{5573A45E-55EE-EE4C-BE9D-548D993DDA61}" name="pre-determined coeffs" dataDxfId="292" dataCellStyle="Percent"/>
    <tableColumn id="1" xr3:uid="{555A5403-688F-5648-923D-77868DA749A9}" name="normalized coeffs" dataDxfId="291" dataCellStyle="Percent">
      <calculatedColumnFormula>biomassComponents2612[[#This Row],[pre-determined coeffs]]</calculatedColumnFormula>
    </tableColumn>
    <tableColumn id="3" xr3:uid="{0C083B54-E832-EB46-8FE2-3A2D4777D31C}" name="stoichiometry (if needed)" dataDxfId="290" dataCellStyle="Percent">
      <calculatedColumnFormula array="1">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BIO-"&amp;mets2713[name],mets2713[category]=_xlfn.TEXTAFTER(O6,"BIOSYN-"),""))&amp;" --&gt; "&amp;biomassComponents2612[[#This Row],[product name]]</calculatedColumnFormula>
    </tableColumn>
    <tableColumn id="7" xr3:uid="{9759D58A-B2B5-2547-93B1-DC18A5F5EF58}" name="new GSM coeffs" dataDxfId="289" dataCellStyle="Percent">
      <calculatedColumnFormula array="1">_xlfn.TEXTJOIN(" + ",TRUE,_xlfn._xlws.FILTER((-mets2713[normalized coeffs]*biomassComponents2612[[#This Row],[normalized coeffs]]/biomassComponents2612[[#This Row],[original coeffs from input]])&amp;" BIO-"&amp;mets2713[name],mets2713[category]=_xlfn.TEXTAFTER(P6,"BIOSYN-"),""))</calculatedColumnFormula>
    </tableColumn>
    <tableColumn id="8" xr3:uid="{03AC10E0-3948-7846-B238-52A27B586287}" name="stoich. (auto)" dataDxfId="288" dataCellStyle="Percent">
      <calculatedColumnFormula array="1">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BIO-"&amp;mets2713[name],mets2713[category]=_xlfn.TEXTAFTER(O6,"BIOSYN-"),""))&amp;" --&gt; "&amp;biomassComponents2612[[#This Row],[product name]]</calculatedColumnFormula>
    </tableColumn>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13DFEC-153D-214B-8EF5-E844D8D8211E}" name="mets2713" displayName="mets2713" ref="A5:M83" totalsRowShown="0" headerRowDxfId="287">
  <autoFilter ref="A5:M83" xr:uid="{A59107F0-EED3-5F4B-9DA5-382606291CC5}"/>
  <sortState xmlns:xlrd2="http://schemas.microsoft.com/office/spreadsheetml/2017/richdata2" ref="A6:M98">
    <sortCondition ref="D5:D98"/>
  </sortState>
  <tableColumns count="13">
    <tableColumn id="1" xr3:uid="{7C86FEBB-6829-2247-8BA7-0EE183B81D09}" name="pasted JSON metabolite keys and values from GSM biomass rxn"/>
    <tableColumn id="2" xr3:uid="{0B389D99-3433-0842-BCDC-4A836A95083D}" name="name" dataDxfId="286">
      <calculatedColumnFormula>SUBSTITUTE(_xlfn.TEXTBEFORE(mets2713[[#This Row],[pasted JSON metabolite keys and values from GSM biomass rxn]],":"),CHAR(34),"")</calculatedColumnFormula>
    </tableColumn>
    <tableColumn id="3" xr3:uid="{55665855-3ADF-974F-8F01-0C2D3D5106CF}" name="name w/o location" dataDxfId="285">
      <calculatedColumnFormula>_xlfn.TEXTBEFORE(mets2713[[#This Row],[name]],"_",-1)</calculatedColumnFormula>
    </tableColumn>
    <tableColumn id="4" xr3:uid="{2B3EE7BE-D807-1144-9667-D07C1B5376E1}" name="category" dataDxfId="284">
      <calculatedColumnFormula>_xlfn.XLOOKUP(mets2713[[#This Row],[name w/o location]],metaboliteInfo[name w/o location],metaboliteInfo[suggested category],"")</calculatedColumnFormula>
    </tableColumn>
    <tableColumn id="5" xr3:uid="{8986BAB0-86FE-CB49-B725-E9DC366626AE}" name="MW for biomass normalization (g/mol)" dataDxfId="283">
      <calculatedColumnFormula>IFERROR(_xlfn.XLOOKUP(mets2713[[#This Row],[name w/o location]],metaboliteInfo[name w/o location],metaboliteInfo[MW for biomass normalization (g/mol)],0),0)</calculatedColumnFormula>
    </tableColumn>
    <tableColumn id="6" xr3:uid="{FFD121F6-132C-D94E-A745-0119DC43BFDD}" name="raw (GSM) coefficient" dataDxfId="282">
      <calculatedColumnFormula>_xlfn.NUMBERVALUE(SUBSTITUTE(_xlfn.TEXTAFTER(mets2713[[#This Row],[pasted JSON metabolite keys and values from GSM biomass rxn]],":"),",",""))</calculatedColumnFormula>
    </tableColumn>
    <tableColumn id="7" xr3:uid="{A4F57E70-2D1F-DB44-8198-5E513E9831DA}" name="coeff. w/o GAM" dataDxfId="281">
      <calculatedColumnFormula array="1">_xlfn.LET(_xlpm.id,mets2713[[#This Row],[name w/o location]],IF(IsElementOfSet_DIY(_xlpm.id,{"atp","adp","h","pi","h2o"}),SIGN(mets2713[[#This Row],[raw (GSM) coefficient]])*(ABS(mets2713[[#This Row],[raw (GSM) coefficient]])-$J$2),mets2713[[#This Row],[raw (GSM) coefficient]]))</calculatedColumnFormula>
    </tableColumn>
    <tableColumn id="8" xr3:uid="{E77DBEE6-5274-6F40-923D-1A2E17E5A39C}" name="coeffs after extra operations" dataDxfId="280">
      <calculatedColumnFormula>mets2713[[#This Row],[coeff. w/o GAM]]</calculatedColumnFormula>
    </tableColumn>
    <tableColumn id="9" xr3:uid="{75CDEDB2-E06C-7B4C-9B77-663DE23AD076}" name="normalized coeffs" dataDxfId="279">
      <calculatedColumnFormula>H6/($H$3)</calculatedColumnFormula>
    </tableColumn>
    <tableColumn id="10" xr3:uid="{B13951A4-004F-5D42-826C-744EF9F14595}" name="normalized coeff. w/ updated GAM" dataDxfId="278">
      <calculatedColumnFormula array="1">_xlfn.LET(_xlpm.id,mets2713[[#This Row],[name w/o location]],_xlpm.oldcoeff,mets2713[[#This Row],[normalized coeffs]],_xlpm.gam,$J$2-$G$2,_xlfn.IFS(IFERROR(MATCH(_xlpm.id,{"atp","h2o"},0),0)&gt;0,_xlpm.oldcoeff-_xlpm.gam,IFERROR(MATCH(_xlpm.id,{"adp","h","pi"},0),0)&gt;0,_xlpm.oldcoeff+_xlpm.gam,TRUE,_xlpm.oldcoeff))</calculatedColumnFormula>
    </tableColumn>
    <tableColumn id="11" xr3:uid="{35B1DE49-27BA-8C48-8E70-DEF3E782EAD5}" name="biomass equation name">
      <calculatedColumnFormula array="1">"BIOSYN-"&amp;_xlfn.IFS(IFERROR(MATCH(mets2713[[#This Row],[category]],{0,"0",""},0),0)&gt;0,mets2713[[#This Row],[name]],TRUE,mets2713[[#This Row],[category]]&amp;"-"&amp;mets2713[[#This Row],[name]])</calculatedColumnFormula>
    </tableColumn>
    <tableColumn id="12" xr3:uid="{41FC6802-72E7-2045-BBAA-4C4D4F9E8C3D}" name="biomass equation" dataDxfId="277">
      <calculatedColumnFormula array="1">IF(IsElementOfSet_DIY(mets2713[[#This Row],[category]],{"ignore","PROT"}),"",_xlfn.LET(_xlpm.mw,mets2713[[#This Row],[MW for biomass normalization (g/mol)]],"MET-"&amp;mets2713[[#This Row],[name]]&amp;" --&gt; "&amp;IF((mets2713[[#This Row],[category]]="DNA")+(mets2713[[#This Row],[category]]="RNA"),"MET-ppi_c + ","")&amp;ROUND(ABS(_xlpm.mw/1000),6)&amp;" BIO-"&amp;mets2713[[#This Row],[name]]))</calculatedColumnFormula>
    </tableColumn>
    <tableColumn id="13" xr3:uid="{4C1DAD02-8AB1-1049-8ED3-BF77D8F6DA74}" name="new GSM coeffs" dataDxfId="276">
      <calculatedColumnFormula array="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calculatedColumnFormula>
    </tableColumn>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4BD489A7-83EF-A14E-81CC-40BC5186BE47}" name="ExtraRxns251928" displayName="ExtraRxns251928" ref="X5:Z19" totalsRowShown="0" headerRowDxfId="275" dataDxfId="274">
  <autoFilter ref="X5:Z19" xr:uid="{FE7B857A-6163-784B-9297-DC54E624BDF2}"/>
  <tableColumns count="3">
    <tableColumn id="1" xr3:uid="{BF401484-48D5-1448-83F7-E2CF88B45D5A}" name="rxn description or data (optional)" dataDxfId="273" dataCellStyle="Normal 2"/>
    <tableColumn id="2" xr3:uid="{E585B5AA-4D92-974D-AFE1-1AF6E6902483}" name="name" dataDxfId="272" dataCellStyle="Normal 2"/>
    <tableColumn id="3" xr3:uid="{5B1B61E3-6882-4A46-827C-F03BD125EB05}" name="stoichiometry" dataDxfId="271" dataCellStyle="Normal 2"/>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40C2AC5D-65B2-9F4E-91AC-EFFF84370117}" name="biomassComponents262029" displayName="biomassComponents262029" ref="P5:V15" totalsRowShown="0" headerRowDxfId="270" dataDxfId="269" dataCellStyle="Percent">
  <autoFilter ref="P5:V15" xr:uid="{FF498876-BCFA-DE44-AB80-834F76DB6419}"/>
  <tableColumns count="7">
    <tableColumn id="4" xr3:uid="{4FDC7F31-6F6D-404F-84D6-E871EC84D287}" name="rxn name" dataDxfId="268" dataCellStyle="Percent">
      <calculatedColumnFormula>O6</calculatedColumnFormula>
    </tableColumn>
    <tableColumn id="2" xr3:uid="{B9E53F5E-ACB1-9C48-A9E3-C935E6F1B398}" name="product name" dataDxfId="267" dataCellStyle="Percent">
      <calculatedColumnFormula>SUBSTITUTE(LOWER(biomassComponents262029[[#This Row],[rxn name]]),"biosyn-","BIO-")</calculatedColumnFormula>
    </tableColumn>
    <tableColumn id="6" xr3:uid="{45D9547F-8532-214F-9117-7121672B7FBF}" name="original coeffs from input" dataDxfId="266" dataCellStyle="Percent">
      <calculatedColumnFormula>biomassComponents2620[[#This Row],[normalized coeffs]]</calculatedColumnFormula>
    </tableColumn>
    <tableColumn id="5" xr3:uid="{F4741BAE-8819-344F-9F83-360D77CA8D26}" name="pre-determined coeffs" dataDxfId="265" dataCellStyle="Percent"/>
    <tableColumn id="1" xr3:uid="{B284F489-8C91-414E-A76B-BCEE19C84159}" name="normalized coeffs" dataDxfId="264" dataCellStyle="Percent">
      <calculatedColumnFormula array="1">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calculatedColumnFormula>
    </tableColumn>
    <tableColumn id="3" xr3:uid="{BC2F2912-73C4-F04A-8D2C-DB4B7D55780B}" name="stoichiometry (if needed)" dataDxfId="263" dataCellStyle="Percent">
      <calculatedColumnFormula array="1">_xlfn.TEXTJOIN(" + ",TRUE,_xlfn._xlws.FILTER(ROUND(-mets27[MW for biomass normalization (g/mol)]*mets27[normalized coeffs]*(biomassComponents262029[[#This Row],[normalized coeffs]]/biomassComponents262029[[#This Row],[original coeffs from input]])/(1000*biomassComponents262029[[#This Row],[normalized coeffs]]),6)&amp;" BIO-"&amp;mets27[name],mets27[category]=_xlfn.TEXTAFTER(O6,"BIOSYN-"),""))&amp;" --&gt; "&amp;biomassComponents262029[[#This Row],[product name]]</calculatedColumnFormula>
    </tableColumn>
    <tableColumn id="7" xr3:uid="{89178CFD-818D-5545-8F24-B6EC104863D4}" name="new GSM coeffs" dataDxfId="262" dataCellStyle="Percent">
      <calculatedColumnFormula array="1">IFERROR(_xlfn.TEXTJOIN(" + ",TRUE,_xlfn._xlws.FILTER((-mets272130[normalized coeffs]*biomassComponents262029[[#This Row],[normalized coeffs]]/biomassComponents262029[[#This Row],[original coeffs from input]])&amp;" BIO-"&amp;mets272130[name],mets272130[category]=_xlfn.TEXTAFTER(P6,"BIOSYN-"),"")),"")</calculatedColumnFormula>
    </tableColumn>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C65C069-E2F8-9C47-991E-FAE19DD014D1}" name="mets272130" displayName="mets272130" ref="A5:M93" totalsRowShown="0" headerRowDxfId="261">
  <autoFilter ref="A5:M93" xr:uid="{A59107F0-EED3-5F4B-9DA5-382606291CC5}"/>
  <sortState xmlns:xlrd2="http://schemas.microsoft.com/office/spreadsheetml/2017/richdata2" ref="A6:M80">
    <sortCondition ref="B5:B80"/>
  </sortState>
  <tableColumns count="13">
    <tableColumn id="1" xr3:uid="{B27BFACE-1AD9-BE44-9AF4-E147F9775C49}" name="pasted JSON metabolite keys and values from GSM biomass rxn"/>
    <tableColumn id="2" xr3:uid="{5B9CF0D2-3014-514B-B7C8-5650BBB85CD9}" name="name" dataDxfId="260">
      <calculatedColumnFormula>SUBSTITUTE(_xlfn.TEXTBEFORE(mets272130[[#This Row],[pasted JSON metabolite keys and values from GSM biomass rxn]],":"),CHAR(34),"")</calculatedColumnFormula>
    </tableColumn>
    <tableColumn id="3" xr3:uid="{3ECD84D7-BE1B-424C-9D9B-4138C6D9A941}" name="name w/o location" dataDxfId="259">
      <calculatedColumnFormula>_xlfn.TEXTBEFORE(mets272130[[#This Row],[name]],"_",-1)</calculatedColumnFormula>
    </tableColumn>
    <tableColumn id="4" xr3:uid="{22334AE1-3D66-AC40-9BD1-979F8D65F3CD}" name="category" dataDxfId="258">
      <calculatedColumnFormula>_xlfn.XLOOKUP(mets272130[[#This Row],[name w/o location]],metaboliteInfo[name w/o location],metaboliteInfo[suggested category],"")</calculatedColumnFormula>
    </tableColumn>
    <tableColumn id="5" xr3:uid="{95DD7918-63DB-A543-9E28-51DB788F3B3E}" name="MW for biomass normalization (g/mol)" dataDxfId="257">
      <calculatedColumnFormula>_xlfn.XLOOKUP(mets272130[[#This Row],[name w/o location]],metaboliteInfo[name w/o location],metaboliteInfo[MW for biomass normalization (g/mol)],0)</calculatedColumnFormula>
    </tableColumn>
    <tableColumn id="6" xr3:uid="{23BAB6D1-239E-074A-A322-E328599F8D2E}" name="raw (GSM) coefficient" dataDxfId="256">
      <calculatedColumnFormula>_xlfn.NUMBERVALUE(SUBSTITUTE(_xlfn.TEXTAFTER(mets272130[[#This Row],[pasted JSON metabolite keys and values from GSM biomass rxn]],":"),",",""))</calculatedColumnFormula>
    </tableColumn>
    <tableColumn id="7" xr3:uid="{1324603D-F371-C44E-A9EF-45D7316DEA8B}" name="coeff. w/o GAM" dataDxfId="255">
      <calculatedColumnFormula array="1">_xlfn.LET(_xlpm.id,mets272130[[#This Row],[name w/o location]],IF(IsElementOfSet_DIY(_xlpm.id,{"atp","adp","h","pi","h2o"}),SIGN(mets272130[[#This Row],[raw (GSM) coefficient]])*(ABS(mets272130[[#This Row],[raw (GSM) coefficient]])-$J$2),mets272130[[#This Row],[raw (GSM) coefficient]]))</calculatedColumnFormula>
    </tableColumn>
    <tableColumn id="8" xr3:uid="{1A215B4F-9902-4D40-8747-075E1965DE2F}" name="coeffs after extra operations" dataDxfId="254">
      <calculatedColumnFormula>mets272130[[#This Row],[coeff. w/o GAM]]</calculatedColumnFormula>
    </tableColumn>
    <tableColumn id="9" xr3:uid="{86C44878-E19C-F04B-B67C-B95B0442E92A}" name="normalized coeffs" dataDxfId="253">
      <calculatedColumnFormula>H6/($H$3)</calculatedColumnFormula>
    </tableColumn>
    <tableColumn id="10" xr3:uid="{25026B3D-FC82-0948-81FB-DF939063C187}" name="normalized coeff. w/ updated GAM" dataDxfId="252">
      <calculatedColumnFormula array="1">_xlfn.LET(_xlpm.id,mets272130[[#This Row],[name w/o location]],_xlpm.oldcoeff,mets272130[[#This Row],[normalized coeffs]],_xlpm.gam,$J$2-$G$2,_xlfn.IFS(IFERROR(MATCH(_xlpm.id,{"atp","h2o"},0),0)&gt;0,_xlpm.oldcoeff-_xlpm.gam,IFERROR(MATCH(_xlpm.id,{"adp","h","pi"},0),0)&gt;0,_xlpm.oldcoeff+_xlpm.gam,TRUE,_xlpm.oldcoeff))</calculatedColumnFormula>
    </tableColumn>
    <tableColumn id="11" xr3:uid="{2FDE42B9-E78C-9249-9EC4-9BC128FC93C9}" name="biomass equation name">
      <calculatedColumnFormula array="1">"BIOSYN-"&amp;_xlfn.IFS(IFERROR(MATCH(mets272130[[#This Row],[category]],{0,"0",""},0),0)&gt;0,mets272130[[#This Row],[name]],TRUE,mets272130[[#This Row],[category]]&amp;"-"&amp;mets272130[[#This Row],[name]])</calculatedColumnFormula>
    </tableColumn>
    <tableColumn id="12" xr3:uid="{B6F74C56-42DE-D14D-A20D-09B46421F00C}" name="biomass equation" dataDxfId="251">
      <calculatedColumnFormula array="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calculatedColumnFormula>
    </tableColumn>
    <tableColumn id="13" xr3:uid="{91EC7567-EED2-2A4E-8ADD-A7F59595FCF3}" name="new GSM coeffs" dataDxfId="250">
      <calculatedColumnFormula array="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calculatedColumnFormula>
    </tableColumn>
  </tableColumns>
  <tableStyleInfo name="TableStyleLight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470F8FF-B1DC-A54E-8A3B-9E51EBB42671}" name="ExtraRxns2519" displayName="ExtraRxns2519" ref="X5:Z19" totalsRowShown="0" headerRowDxfId="249" dataDxfId="248">
  <autoFilter ref="X5:Z19" xr:uid="{FE7B857A-6163-784B-9297-DC54E624BDF2}"/>
  <tableColumns count="3">
    <tableColumn id="1" xr3:uid="{9D080EBE-9F60-7549-8A1F-B986969F786C}" name="rxn description or data (optional)" dataDxfId="247" dataCellStyle="Normal 2"/>
    <tableColumn id="2" xr3:uid="{7DBBEF99-E963-6D42-A6A3-00D1A6DA272E}" name="name" dataDxfId="246" dataCellStyle="Normal 2"/>
    <tableColumn id="3" xr3:uid="{7806EEA0-1B41-AF4F-A66E-86A57EDCDE91}" name="stoichiometry" dataDxfId="245" dataCellStyle="Normal 2"/>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9EE8AB7-3D5B-1A42-ABD3-DFAA9B2496D1}" name="biomassComponents2620" displayName="biomassComponents2620" ref="P5:V15" totalsRowShown="0" headerRowDxfId="244" dataDxfId="243" dataCellStyle="Percent">
  <autoFilter ref="P5:V15" xr:uid="{FF498876-BCFA-DE44-AB80-834F76DB6419}"/>
  <tableColumns count="7">
    <tableColumn id="4" xr3:uid="{068AE539-ED56-0D47-8FF5-6E6A270B8904}" name="rxn name" dataDxfId="242" dataCellStyle="Percent">
      <calculatedColumnFormula>O6</calculatedColumnFormula>
    </tableColumn>
    <tableColumn id="2" xr3:uid="{1722132C-331A-AD47-8BCE-E6E0505028CE}" name="product name" dataDxfId="241" dataCellStyle="Percent">
      <calculatedColumnFormula>SUBSTITUTE(LOWER(biomassComponents2620[[#This Row],[rxn name]]),"biosyn-","BIO-")</calculatedColumnFormula>
    </tableColumn>
    <tableColumn id="6" xr3:uid="{95187CEB-CC96-AE48-8317-12301F094ADF}" name="original coeffs from input" dataDxfId="240" dataCellStyle="Percent">
      <calculatedColumnFormula array="1">SUM(_xlfn._xlws.FILTER(-mets2721[MW for biomass normalization (g/mol)]*mets2721[normalized coeffs]/1000,mets2721[category]=_xlfn.TEXTAFTER(O6,"BIOSYN-"),""))</calculatedColumnFormula>
    </tableColumn>
    <tableColumn id="5" xr3:uid="{8E951262-9E8C-BE4A-91E5-8B008C6C2485}" name="pre-determined coeffs" dataDxfId="239" dataCellStyle="Percent"/>
    <tableColumn id="1" xr3:uid="{F1DA4A0C-5A3F-6540-A213-60D7CE2CF778}" name="normalized coeffs" dataDxfId="238" dataCellStyle="Percent"/>
    <tableColumn id="3" xr3:uid="{B1B188BB-9AF6-9445-A97A-EE1A7EB9F7CB}" name="stoichiometry (if needed)" dataDxfId="237" dataCellStyle="Percent">
      <calculatedColumnFormula array="1">_xlfn.TEXTJOIN(" + ",TRUE,_xlfn._xlws.FILTER(ROUND(-mets27[MW for biomass normalization (g/mol)]*mets27[normalized coeffs]*(biomassComponents2620[[#This Row],[normalized coeffs]]/biomassComponents2620[[#This Row],[original coeffs from input]])/(1000*biomassComponents2620[[#This Row],[normalized coeffs]]),6)&amp;" BIO-"&amp;mets27[name],mets27[category]=_xlfn.TEXTAFTER(O6,"BIOSYN-"),""))&amp;" --&gt; "&amp;biomassComponents2620[[#This Row],[product name]]</calculatedColumnFormula>
    </tableColumn>
    <tableColumn id="7" xr3:uid="{46A01776-EEC2-BA41-A0FB-4F6025CEEFA4}" name="new GSM coeffs" dataDxfId="236" dataCellStyle="Percent">
      <calculatedColumnFormula array="1">IFERROR(_xlfn.TEXTJOIN(" + ",TRUE,_xlfn._xlws.FILTER((-mets2721[normalized coeffs]*biomassComponents2620[[#This Row],[normalized coeffs]]/biomassComponents2620[[#This Row],[original coeffs from input]])&amp;" BIO-"&amp;mets2721[name],mets2721[category]=_xlfn.TEXTAFTER(P6,"BIOSYN-"),"")),"")</calculatedColumnFormula>
    </tableColumn>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1BE28C8-6C08-C14D-AE86-123B160C2563}" name="mets2721" displayName="mets2721" ref="A5:M93" totalsRowShown="0" headerRowDxfId="235">
  <autoFilter ref="A5:M93" xr:uid="{A59107F0-EED3-5F4B-9DA5-382606291CC5}"/>
  <sortState xmlns:xlrd2="http://schemas.microsoft.com/office/spreadsheetml/2017/richdata2" ref="A6:M80">
    <sortCondition ref="B5:B80"/>
  </sortState>
  <tableColumns count="13">
    <tableColumn id="1" xr3:uid="{26B544BD-BD2A-564F-8B9A-9473E08F2B3B}" name="pasted JSON metabolite keys and values from GSM biomass rxn"/>
    <tableColumn id="2" xr3:uid="{25988D63-00A6-6746-AA63-9EA9CE520003}" name="name" dataDxfId="234">
      <calculatedColumnFormula>SUBSTITUTE(_xlfn.TEXTBEFORE(mets2721[[#This Row],[pasted JSON metabolite keys and values from GSM biomass rxn]],":"),CHAR(34),"")</calculatedColumnFormula>
    </tableColumn>
    <tableColumn id="3" xr3:uid="{2835AD22-6F1C-834E-9195-6C7D9B00562F}" name="name w/o location" dataDxfId="233">
      <calculatedColumnFormula>_xlfn.TEXTBEFORE(mets2721[[#This Row],[name]],"_",-1)</calculatedColumnFormula>
    </tableColumn>
    <tableColumn id="4" xr3:uid="{0F58A2F9-B048-9D40-846E-951611A5D533}" name="category" dataDxfId="232">
      <calculatedColumnFormula>_xlfn.XLOOKUP(mets2721[[#This Row],[name w/o location]],metaboliteInfo[name w/o location],metaboliteInfo[suggested category],"")</calculatedColumnFormula>
    </tableColumn>
    <tableColumn id="5" xr3:uid="{C38DDF50-BB2C-1741-BE2D-DC8FF2D63D3E}" name="MW for biomass normalization (g/mol)" dataDxfId="231">
      <calculatedColumnFormula>_xlfn.XLOOKUP(mets2721[[#This Row],[name w/o location]],metaboliteInfo[name w/o location],metaboliteInfo[MW for biomass normalization (g/mol)],0)</calculatedColumnFormula>
    </tableColumn>
    <tableColumn id="6" xr3:uid="{F7736D9A-ABF1-1C45-9862-977B044117BC}" name="raw (GSM) coefficient" dataDxfId="230">
      <calculatedColumnFormula>_xlfn.NUMBERVALUE(SUBSTITUTE(_xlfn.TEXTAFTER(mets2721[[#This Row],[pasted JSON metabolite keys and values from GSM biomass rxn]],":"),",",""))</calculatedColumnFormula>
    </tableColumn>
    <tableColumn id="7" xr3:uid="{F90AB160-3EEA-534B-8277-36ACF29D403F}" name="coeff. w/o GAM" dataDxfId="229">
      <calculatedColumnFormula array="1">_xlfn.LET(_xlpm.id,mets2721[[#This Row],[name w/o location]],IF(IsElementOfSet_DIY(_xlpm.id,{"atp","adp","h","pi","h2o"}),SIGN(mets2721[[#This Row],[raw (GSM) coefficient]])*(ABS(mets2721[[#This Row],[raw (GSM) coefficient]])-$J$2),mets2721[[#This Row],[raw (GSM) coefficient]]))</calculatedColumnFormula>
    </tableColumn>
    <tableColumn id="8" xr3:uid="{975BD895-DFB5-8247-B7D9-4A9FE524715E}" name="coeffs after extra operations" dataDxfId="228">
      <calculatedColumnFormula>mets2721[[#This Row],[coeff. w/o GAM]]</calculatedColumnFormula>
    </tableColumn>
    <tableColumn id="9" xr3:uid="{97459676-7F10-774C-9B7F-77C5C50FE960}" name="normalized coeffs" dataDxfId="227">
      <calculatedColumnFormula>H6/($H$3)</calculatedColumnFormula>
    </tableColumn>
    <tableColumn id="10" xr3:uid="{8A5C07BA-078B-1A4B-8B8B-B6C98C47B972}" name="normalized coeff. w/ updated GAM" dataDxfId="226">
      <calculatedColumnFormula array="1">_xlfn.LET(_xlpm.id,mets2721[[#This Row],[name w/o location]],_xlpm.oldcoeff,mets2721[[#This Row],[normalized coeffs]],_xlpm.gam,$J$2-$G$2,_xlfn.IFS(IFERROR(MATCH(_xlpm.id,{"atp","h2o"},0),0)&gt;0,_xlpm.oldcoeff-_xlpm.gam,IFERROR(MATCH(_xlpm.id,{"adp","h","pi"},0),0)&gt;0,_xlpm.oldcoeff+_xlpm.gam,TRUE,_xlpm.oldcoeff))</calculatedColumnFormula>
    </tableColumn>
    <tableColumn id="11" xr3:uid="{96A9BD9C-73A7-C54D-BEB8-DEA4E23DADC3}" name="biomass equation name">
      <calculatedColumnFormula array="1">"BIOSYN-"&amp;_xlfn.IFS(IFERROR(MATCH(mets2721[[#This Row],[category]],{0,"0",""},0),0)&gt;0,mets2721[[#This Row],[name]],TRUE,mets2721[[#This Row],[category]]&amp;"-"&amp;mets2721[[#This Row],[name]])</calculatedColumnFormula>
    </tableColumn>
    <tableColumn id="12" xr3:uid="{365C57D6-C30F-E848-AF46-777D9D1C614A}" name="biomass equation" dataDxfId="225">
      <calculatedColumnFormula array="1">IF(IsElementOfSet_DIY(mets2721[[#This Row],[category]],{"ignore","PROT"}),"",_xlfn.LET(_xlpm.mw,mets2721[[#This Row],[MW for biomass normalization (g/mol)]],"MET-"&amp;mets2721[[#This Row],[name]]&amp;" --&gt; "&amp;IF((mets2721[[#This Row],[category]]="DNA")+(mets2721[[#This Row],[category]]="RNA"),"MET-ppi_c + ","")&amp;ROUND(ABS(_xlpm.mw/1000),6)&amp;" BIO-"&amp;mets2721[[#This Row],[name]]))</calculatedColumnFormula>
    </tableColumn>
    <tableColumn id="13" xr3:uid="{A2F6F340-4253-D04C-99CE-3B4A45D35369}" name="new GSM coeffs" dataDxfId="224">
      <calculatedColumnFormula array="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calculatedColumnFormula>
    </tableColumn>
  </tableColumns>
  <tableStyleInfo name="TableStyleLight1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164A4F2-E085-914C-BD10-44E87DE32CD4}" name="ExtraRxns25" displayName="ExtraRxns25" ref="X5:Z19" totalsRowShown="0" headerRowDxfId="223" dataDxfId="222">
  <autoFilter ref="X5:Z19" xr:uid="{FE7B857A-6163-784B-9297-DC54E624BDF2}"/>
  <tableColumns count="3">
    <tableColumn id="1" xr3:uid="{CDB9767B-53A2-4F44-90E2-A570DFE0AA07}" name="rxn description or data (optional)" dataDxfId="221" dataCellStyle="Normal 2"/>
    <tableColumn id="2" xr3:uid="{21C16CC0-ED7E-0A4C-A4F4-37BCE4469416}" name="name" dataDxfId="220" dataCellStyle="Normal 2"/>
    <tableColumn id="3" xr3:uid="{123BBF5D-321B-524D-AD16-C1D173FDC753}" name="stoichiometry" dataDxfId="219" dataCellStyle="Normal 2"/>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2742F72-9A23-8A49-A9A1-872C17A33E61}" name="biomassComponents26" displayName="biomassComponents26" ref="P5:V15" totalsRowShown="0" headerRowDxfId="218" dataDxfId="217" dataCellStyle="Percent">
  <autoFilter ref="P5:V15" xr:uid="{FF498876-BCFA-DE44-AB80-834F76DB6419}"/>
  <tableColumns count="7">
    <tableColumn id="4" xr3:uid="{48ECE16C-9393-F548-B45A-3BB5E381DC6F}" name="rxn name" dataDxfId="216" dataCellStyle="Percent">
      <calculatedColumnFormula>O6</calculatedColumnFormula>
    </tableColumn>
    <tableColumn id="2" xr3:uid="{67C9230F-B486-7B42-903E-A371A6C91C01}" name="product name" dataDxfId="215" dataCellStyle="Percent">
      <calculatedColumnFormula>SUBSTITUTE(LOWER(biomassComponents26[[#This Row],[rxn name]]),"biosyn-","BIO-")</calculatedColumnFormula>
    </tableColumn>
    <tableColumn id="6" xr3:uid="{5A452C1D-D4B4-D649-9DB1-6C58C608C4ED}" name="original coeffs from input" dataDxfId="214" dataCellStyle="Percent">
      <calculatedColumnFormula array="1">SUM(_xlfn._xlws.FILTER(-mets27[MW for biomass normalization (g/mol)]*mets27[normalized coeffs]/1000,mets27[category]=_xlfn.TEXTAFTER(O6,"BIOSYN-"),""))</calculatedColumnFormula>
    </tableColumn>
    <tableColumn id="5" xr3:uid="{B2D89668-C2B4-BE4C-A664-B24CED7DE795}" name="pre-determined coeffs" dataDxfId="213" dataCellStyle="Percent"/>
    <tableColumn id="1" xr3:uid="{CDB3C746-448D-9E47-A515-669A9C71341F}" name="normalized coeffs" dataDxfId="212" dataCellStyle="Percent"/>
    <tableColumn id="3" xr3:uid="{7CDFF057-9A74-D64E-8B66-9008CE588EE1}" name="stoichiometry (if needed)" dataDxfId="211" dataCellStyle="Percent">
      <calculatedColumnFormula array="1">_xlfn.TEXTJOIN(" + ",TRUE,_xlfn._xlws.FILTER(ROUND(-mets27[MW for biomass normalization (g/mol)]*mets27[normalized coeffs]*(biomassComponents26[[#This Row],[normalized coeffs]]/biomassComponents26[[#This Row],[original coeffs from input]])/(1000*biomassComponents26[[#This Row],[normalized coeffs]]),6)&amp;" BIO-"&amp;mets27[name],mets27[category]=_xlfn.TEXTAFTER(O6,"BIOSYN-"),""))&amp;" --&gt; "&amp;biomassComponents26[[#This Row],[product name]]</calculatedColumnFormula>
    </tableColumn>
    <tableColumn id="7" xr3:uid="{16E0C380-E119-EC4F-9E0E-12163105D663}" name="new GSM coeffs" dataDxfId="210" dataCellStyle="Percent">
      <calculatedColumnFormula array="1">IFERROR(_xlfn.TEXTJOIN(" + ",TRUE,_xlfn._xlws.FILTER((-mets27[normalized coeffs]*biomassComponents26[[#This Row],[normalized coeffs]]/biomassComponents26[[#This Row],[original coeffs from input]])&amp;" BIO-"&amp;mets27[name],mets27[category]=_xlfn.TEXTAFTER(P6,"BIOSYN-"),"")),"")</calculatedColumnFormula>
    </tableColumn>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4970DFA-2BC5-A846-BF0F-D8CEE62E03E5}" name="mets27" displayName="mets27" ref="A5:M93" totalsRowShown="0" headerRowDxfId="209">
  <autoFilter ref="A5:M93" xr:uid="{A59107F0-EED3-5F4B-9DA5-382606291CC5}"/>
  <sortState xmlns:xlrd2="http://schemas.microsoft.com/office/spreadsheetml/2017/richdata2" ref="A9:M93">
    <sortCondition ref="B5:B93"/>
  </sortState>
  <tableColumns count="13">
    <tableColumn id="1" xr3:uid="{64BC64D4-A34B-A644-9F16-D036F52391CA}" name="pasted JSON metabolite keys and values from GSM biomass rxn"/>
    <tableColumn id="2" xr3:uid="{840F0D84-DEBA-6440-995D-C95799B4CD41}" name="name" dataDxfId="208">
      <calculatedColumnFormula>SUBSTITUTE(_xlfn.TEXTBEFORE(mets27[[#This Row],[pasted JSON metabolite keys and values from GSM biomass rxn]],":"),CHAR(34),"")</calculatedColumnFormula>
    </tableColumn>
    <tableColumn id="3" xr3:uid="{F6A329BB-A9AC-C942-B54F-A3B4322DEF7E}" name="name w/o location" dataDxfId="207">
      <calculatedColumnFormula>_xlfn.TEXTBEFORE(mets27[[#This Row],[name]],"_",-1)</calculatedColumnFormula>
    </tableColumn>
    <tableColumn id="4" xr3:uid="{A04A8504-4248-6948-B9E7-4AED91CAD8A2}" name="category" dataDxfId="206">
      <calculatedColumnFormula>_xlfn.XLOOKUP(mets27[[#This Row],[name w/o location]],metaboliteInfo[name w/o location],metaboliteInfo[suggested category],"")</calculatedColumnFormula>
    </tableColumn>
    <tableColumn id="5" xr3:uid="{F47777B4-A11F-4545-8760-3624EFFCB62A}" name="MW for biomass normalization (g/mol)" dataDxfId="205">
      <calculatedColumnFormula>_xlfn.XLOOKUP(mets27[[#This Row],[name w/o location]],metaboliteInfo[name w/o location],metaboliteInfo[MW for biomass normalization (g/mol)],0)</calculatedColumnFormula>
    </tableColumn>
    <tableColumn id="6" xr3:uid="{A7446F98-C76C-4242-90BF-D27E402DA73B}" name="raw (GSM) coefficient" dataDxfId="204">
      <calculatedColumnFormula>_xlfn.NUMBERVALUE(SUBSTITUTE(_xlfn.TEXTAFTER(mets27[[#This Row],[pasted JSON metabolite keys and values from GSM biomass rxn]],":"),",",""))</calculatedColumnFormula>
    </tableColumn>
    <tableColumn id="7" xr3:uid="{F6055AF2-D847-6A45-9436-EDE312BC9866}" name="coeff. w/o GAM" dataDxfId="203">
      <calculatedColumnFormula array="1">_xlfn.LET(_xlpm.id,mets27[[#This Row],[name w/o location]],IF(IsElementOfSet_DIY(_xlpm.id,{"atp","adp","h","pi","h2o"}),SIGN(mets27[[#This Row],[raw (GSM) coefficient]])*(ABS(mets27[[#This Row],[raw (GSM) coefficient]])-$J$2),mets27[[#This Row],[raw (GSM) coefficient]]))</calculatedColumnFormula>
    </tableColumn>
    <tableColumn id="8" xr3:uid="{F1D40F39-0F8C-544D-827E-AA0A60F19977}" name="coeffs after extra operations" dataDxfId="202">
      <calculatedColumnFormula>mets27[[#This Row],[coeff. w/o GAM]]</calculatedColumnFormula>
    </tableColumn>
    <tableColumn id="9" xr3:uid="{6FE4B350-6C40-7C4C-8D97-78EEECE111D4}" name="normalized coeffs" dataDxfId="201">
      <calculatedColumnFormula>H6/($H$3)</calculatedColumnFormula>
    </tableColumn>
    <tableColumn id="10" xr3:uid="{95C87EBA-8FB9-FB4F-BB6E-CC83AAE151EA}" name="normalized coeff. w/ updated GAM" dataDxfId="200">
      <calculatedColumnFormula array="1">_xlfn.LET(_xlpm.id,mets27[[#This Row],[name w/o location]],_xlpm.oldcoeff,mets27[[#This Row],[normalized coeffs]],_xlpm.gam,$J$2-$G$2,_xlfn.IFS(IFERROR(MATCH(_xlpm.id,{"atp","h2o"},0),0)&gt;0,_xlpm.oldcoeff-_xlpm.gam,IFERROR(MATCH(_xlpm.id,{"adp","h","pi"},0),0)&gt;0,_xlpm.oldcoeff+_xlpm.gam,TRUE,_xlpm.oldcoeff))</calculatedColumnFormula>
    </tableColumn>
    <tableColumn id="11" xr3:uid="{8075DCF8-D029-9C47-8707-BA52AA69742F}" name="biomass equation name">
      <calculatedColumnFormula array="1">"BIOSYN-"&amp;_xlfn.IFS(IFERROR(MATCH(mets27[[#This Row],[category]],{0,"0",""},0),0)&gt;0,mets27[[#This Row],[name]],TRUE,mets27[[#This Row],[category]]&amp;"-"&amp;mets27[[#This Row],[name]])</calculatedColumnFormula>
    </tableColumn>
    <tableColumn id="12" xr3:uid="{65DF01F3-3192-7C44-B660-073C81397CBA}" name="biomass equation" dataDxfId="199">
      <calculatedColumnFormula array="1">IF(IsElementOfSet_DIY(mets27[[#This Row],[category]],{"ignore","PROT"}),"",_xlfn.LET(_xlpm.mw,mets27[[#This Row],[MW for biomass normalization (g/mol)]],"MET-"&amp;mets27[[#This Row],[name]]&amp;" --&gt; "&amp;IF((mets27[[#This Row],[category]]="DNA")+(mets27[[#This Row],[category]]="RNA"),"MET-ppi_c + ","")&amp;ROUND(ABS(_xlpm.mw/1000),6)&amp;" BIO-"&amp;mets27[[#This Row],[name]]))</calculatedColumnFormula>
    </tableColumn>
    <tableColumn id="13" xr3:uid="{B90EC7F7-FEF6-5C44-9AFD-B870E86458C9}" name="new GSM coeffs" dataDxfId="198">
      <calculatedColumnFormula array="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1702A1D-C3B8-C642-8C04-0EE498D7A3F5}" name="ExtraRxns2531" displayName="ExtraRxns2531" ref="X5:Z19" totalsRowShown="0" headerRowDxfId="25" dataDxfId="24">
  <autoFilter ref="X5:Z19" xr:uid="{FE7B857A-6163-784B-9297-DC54E624BDF2}"/>
  <tableColumns count="3">
    <tableColumn id="1" xr3:uid="{E5700943-60FE-FB41-8EA2-E19C1A2B5696}" name="rxn description or data (optional)" dataDxfId="23" dataCellStyle="Normal 2"/>
    <tableColumn id="2" xr3:uid="{33FA4A7F-571D-ED48-8AFB-B898299E69FA}" name="name" dataDxfId="22" dataCellStyle="Normal 2"/>
    <tableColumn id="3" xr3:uid="{DB92F9F0-BB92-794B-93C8-333357B94793}" name="stoichiometry" dataDxfId="21" dataCellStyle="Normal 2"/>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2652A5B2-9B2B-E146-8541-187EE5F9042D}" name="biomassComponents2632" displayName="biomassComponents2632" ref="P5:V15" totalsRowShown="0" headerRowDxfId="20" dataDxfId="19" dataCellStyle="Percent">
  <autoFilter ref="P5:V15" xr:uid="{FF498876-BCFA-DE44-AB80-834F76DB6419}"/>
  <tableColumns count="7">
    <tableColumn id="4" xr3:uid="{004D0999-269E-B147-AC55-85A2F3720849}" name="rxn name" dataDxfId="18" dataCellStyle="Percent">
      <calculatedColumnFormula>O6</calculatedColumnFormula>
    </tableColumn>
    <tableColumn id="2" xr3:uid="{B6164983-455C-A148-B698-11B25A245714}" name="product name" dataDxfId="17" dataCellStyle="Percent">
      <calculatedColumnFormula>SUBSTITUTE(LOWER(biomassComponents2632[[#This Row],[rxn name]]),"biosyn-","BIO-")</calculatedColumnFormula>
    </tableColumn>
    <tableColumn id="6" xr3:uid="{4B0B52B9-80B7-B447-BE87-D05A56384F14}" name="original coeffs from input" dataDxfId="16" dataCellStyle="Percent">
      <calculatedColumnFormula array="1">SUM(_xlfn._xlws.FILTER(-mets2733[MW for biomass normalization (g/mol)]*mets2733[normalized coeffs]/1000,mets2733[category]=_xlfn.TEXTAFTER(O6,"BIOSYN-"),""))</calculatedColumnFormula>
    </tableColumn>
    <tableColumn id="5" xr3:uid="{EA1DE725-EA8A-0C44-AC38-DA1A73FB4773}" name="pre-determined coeffs" dataDxfId="15" dataCellStyle="Percent"/>
    <tableColumn id="1" xr3:uid="{C923FC96-E2FA-7843-AB8B-C131BE4AC581}" name="normalized coeffs" dataDxfId="14" dataCellStyle="Percent"/>
    <tableColumn id="3" xr3:uid="{B249F930-E806-E74F-B3B7-6A32E12B3414}" name="stoichiometry (if needed)" dataDxfId="13" dataCellStyle="Percent">
      <calculatedColumnFormula array="1">_xlfn.TEXTJOIN(" + ",TRUE,_xlfn._xlws.FILTER(ROUND(-mets27[MW for biomass normalization (g/mol)]*mets27[normalized coeffs]*(biomassComponents2632[[#This Row],[normalized coeffs]]/biomassComponents2632[[#This Row],[original coeffs from input]])/(1000*biomassComponents2632[[#This Row],[normalized coeffs]]),6)&amp;" BIO-"&amp;mets27[name],mets27[category]=_xlfn.TEXTAFTER(O6,"BIOSYN-"),""))&amp;" --&gt; "&amp;biomassComponents2632[[#This Row],[product name]]</calculatedColumnFormula>
    </tableColumn>
    <tableColumn id="7" xr3:uid="{2677DDA2-29C0-FA43-ABD3-F2A9E09C2C7E}" name="new GSM coeffs" dataDxfId="12" dataCellStyle="Percent">
      <calculatedColumnFormula array="1">IFERROR(_xlfn.TEXTJOIN(" + ",TRUE,_xlfn._xlws.FILTER((-mets2733[normalized coeffs]*biomassComponents2632[[#This Row],[normalized coeffs]]/biomassComponents2632[[#This Row],[original coeffs from input]])&amp;" BIO-"&amp;mets2733[name],mets2733[category]=_xlfn.TEXTAFTER(P6,"BIOSYN-"),"")),"")</calculatedColumnFormula>
    </tableColumn>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6D5A9E4-51AF-2D49-BDDD-EBCDAA9124ED}" name="mets2733" displayName="mets2733" ref="A5:M93" totalsRowShown="0" headerRowDxfId="11">
  <autoFilter ref="A5:M93" xr:uid="{A59107F0-EED3-5F4B-9DA5-382606291CC5}"/>
  <sortState xmlns:xlrd2="http://schemas.microsoft.com/office/spreadsheetml/2017/richdata2" ref="A6:M90">
    <sortCondition ref="B5:B93"/>
  </sortState>
  <tableColumns count="13">
    <tableColumn id="1" xr3:uid="{4092C8F6-7A1C-FC4B-B914-54DECDD85E1E}" name="pasted JSON metabolite keys and values from GSM biomass rxn"/>
    <tableColumn id="2" xr3:uid="{3DDA093B-FD37-154D-B4EB-3486C310E6E4}" name="name" dataDxfId="10">
      <calculatedColumnFormula>SUBSTITUTE(_xlfn.TEXTBEFORE(mets2733[[#This Row],[pasted JSON metabolite keys and values from GSM biomass rxn]],":"),CHAR(34),"")</calculatedColumnFormula>
    </tableColumn>
    <tableColumn id="3" xr3:uid="{580586AA-D9B4-0F40-B14F-3692C076AF04}" name="name w/o location" dataDxfId="9">
      <calculatedColumnFormula>_xlfn.TEXTBEFORE(mets2733[[#This Row],[name]],"_",-1)</calculatedColumnFormula>
    </tableColumn>
    <tableColumn id="4" xr3:uid="{90744949-4DEC-3546-B084-1D71174D9B8F}" name="category" dataDxfId="8">
      <calculatedColumnFormula>_xlfn.XLOOKUP(mets2733[[#This Row],[name w/o location]],metaboliteInfo[name w/o location],metaboliteInfo[suggested category],"")</calculatedColumnFormula>
    </tableColumn>
    <tableColumn id="5" xr3:uid="{3CAF02D4-5AE2-8945-9271-A60145B09DE3}" name="MW for biomass normalization (g/mol)" dataDxfId="7">
      <calculatedColumnFormula>_xlfn.XLOOKUP(mets2733[[#This Row],[name w/o location]],metaboliteInfo[name w/o location],metaboliteInfo[MW for biomass normalization (g/mol)],0)</calculatedColumnFormula>
    </tableColumn>
    <tableColumn id="6" xr3:uid="{DE6D0981-DFEC-C548-A30F-B189968A7A56}" name="raw (GSM) coefficient" dataDxfId="6">
      <calculatedColumnFormula>_xlfn.NUMBERVALUE(SUBSTITUTE(_xlfn.TEXTAFTER(mets2733[[#This Row],[pasted JSON metabolite keys and values from GSM biomass rxn]],":"),",",""))</calculatedColumnFormula>
    </tableColumn>
    <tableColumn id="7" xr3:uid="{F4E2971A-53C4-E845-9596-96614F221F98}" name="coeff. w/o GAM" dataDxfId="5">
      <calculatedColumnFormula array="1">_xlfn.LET(_xlpm.id,mets2733[[#This Row],[name w/o location]],IF(IsElementOfSet_DIY(_xlpm.id,{"atp","adp","h","pi","h2o"}),SIGN(mets2733[[#This Row],[raw (GSM) coefficient]])*(ABS(mets2733[[#This Row],[raw (GSM) coefficient]])-$J$2),mets2733[[#This Row],[raw (GSM) coefficient]]))</calculatedColumnFormula>
    </tableColumn>
    <tableColumn id="8" xr3:uid="{6AE8BCF1-CB1C-9442-863C-945600782C68}" name="coeffs after extra operations" dataDxfId="4">
      <calculatedColumnFormula>mets2733[[#This Row],[coeff. w/o GAM]]</calculatedColumnFormula>
    </tableColumn>
    <tableColumn id="9" xr3:uid="{C07524F9-5263-F548-83DE-0EC4CE37DD2F}" name="normalized coeffs" dataDxfId="3">
      <calculatedColumnFormula>H6/($H$3)</calculatedColumnFormula>
    </tableColumn>
    <tableColumn id="10" xr3:uid="{F12886FD-042B-8A45-B629-636459E9EAA9}" name="normalized coeff. w/ updated GAM" dataDxfId="2">
      <calculatedColumnFormula array="1">_xlfn.LET(_xlpm.id,mets2733[[#This Row],[name w/o location]],_xlpm.oldcoeff,mets2733[[#This Row],[normalized coeffs]],_xlpm.gam,$J$2-$G$2,_xlfn.IFS(IFERROR(MATCH(_xlpm.id,{"atp","h2o"},0),0)&gt;0,_xlpm.oldcoeff-_xlpm.gam,IFERROR(MATCH(_xlpm.id,{"adp","h","pi"},0),0)&gt;0,_xlpm.oldcoeff+_xlpm.gam,TRUE,_xlpm.oldcoeff))</calculatedColumnFormula>
    </tableColumn>
    <tableColumn id="11" xr3:uid="{50A3B58F-F044-FA43-8B72-3041257CDAB6}" name="biomass equation name">
      <calculatedColumnFormula array="1">"BIOSYN-"&amp;_xlfn.IFS(IFERROR(MATCH(mets2733[[#This Row],[category]],{0,"0",""},0),0)&gt;0,mets2733[[#This Row],[name]],TRUE,mets2733[[#This Row],[category]]&amp;"-"&amp;mets2733[[#This Row],[name]])</calculatedColumnFormula>
    </tableColumn>
    <tableColumn id="12" xr3:uid="{E8DD4F26-919B-BE41-9D51-1E1E648FCC71}" name="biomass equation" dataDxfId="1">
      <calculatedColumnFormula array="1">IF(IsElementOfSet_DIY(mets2733[[#This Row],[category]],{"ignore","PROT"}),"",_xlfn.LET(_xlpm.mw,mets2733[[#This Row],[MW for biomass normalization (g/mol)]],"MET-"&amp;mets2733[[#This Row],[name]]&amp;" --&gt; "&amp;IF((mets2733[[#This Row],[category]]="DNA")+(mets2733[[#This Row],[category]]="RNA"),"MET-ppi_c + ","")&amp;ROUND(ABS(_xlpm.mw/1000),6)&amp;" BIO-"&amp;mets2733[[#This Row],[name]]))</calculatedColumnFormula>
    </tableColumn>
    <tableColumn id="13" xr3:uid="{B8DFF860-F7C0-8A43-8380-17A8F231AA34}" name="new GSM coeffs" dataDxfId="0">
      <calculatedColumnFormula array="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calculatedColumnFormula>
    </tableColumn>
  </tableColumns>
  <tableStyleInfo name="TableStyleLight1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BC067B-84A2-3942-A342-C7EDCF9A520C}" name="ExtraRxns3" displayName="ExtraRxns3" ref="X5:Z17" totalsRowShown="0" headerRowDxfId="197" dataDxfId="196">
  <autoFilter ref="X5:Z17" xr:uid="{FE7B857A-6163-784B-9297-DC54E624BDF2}"/>
  <tableColumns count="3">
    <tableColumn id="1" xr3:uid="{9A1F9760-02B4-8D4E-91BC-64CD537BFEFB}" name="rxn description or data (optional)" dataDxfId="195" dataCellStyle="Normal 2"/>
    <tableColumn id="2" xr3:uid="{81259F90-8F06-9949-9B84-A0B7BA88BCA1}" name="name" dataDxfId="194" dataCellStyle="Normal 2"/>
    <tableColumn id="3" xr3:uid="{752D64E0-14EC-244F-9518-CD4D325DF78A}" name="stoichiometry" dataDxfId="193" dataCellStyle="Normal 2"/>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0ECF11-8115-154A-BF95-82CC143B2EC7}" name="biomassComponents5" displayName="biomassComponents5" ref="P5:V14" totalsRowShown="0" headerRowDxfId="192" dataDxfId="191" dataCellStyle="Percent">
  <autoFilter ref="P5:V14" xr:uid="{FF498876-BCFA-DE44-AB80-834F76DB6419}"/>
  <tableColumns count="7">
    <tableColumn id="4" xr3:uid="{CFCA9F16-A1E3-9944-AD52-6B76C8D51202}" name="rxn name" dataDxfId="190" dataCellStyle="Percent">
      <calculatedColumnFormula>O6</calculatedColumnFormula>
    </tableColumn>
    <tableColumn id="2" xr3:uid="{C7EF970B-CDA2-024A-B1D0-26A79161CC34}" name="product name" dataDxfId="189" dataCellStyle="Percent">
      <calculatedColumnFormula>SUBSTITUTE(LOWER(biomassComponents5[[#This Row],[rxn name]]),"biosyn-","BIO-")</calculatedColumnFormula>
    </tableColumn>
    <tableColumn id="6" xr3:uid="{3794B1A4-7719-7541-A698-747FB8C85607}" name="original coeffs from input" dataDxfId="188" dataCellStyle="Percent">
      <calculatedColumnFormula array="1">SUM(_xlfn._xlws.FILTER(-mets9[MW for biomass normalization (g/mol)]*mets9[normalized coeffs]/1000,mets9[category]=_xlfn.TEXTAFTER(O6,"BIOSYN-"),""))</calculatedColumnFormula>
    </tableColumn>
    <tableColumn id="5" xr3:uid="{E129D69A-3C9C-1D48-B6BA-B45D098C00C1}" name="pre-determined coeffs" dataDxfId="187" dataCellStyle="Percent"/>
    <tableColumn id="1" xr3:uid="{3B01944F-F52A-9842-9D1C-B0375CE012F1}" name="normalized coeffs" dataDxfId="186" dataCellStyle="Percent">
      <calculatedColumnFormula array="1">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calculatedColumnFormula>
    </tableColumn>
    <tableColumn id="3" xr3:uid="{6683A6DD-FE38-074A-B334-EAF18B2CF6A9}" name="stoichiometry (if needed)" dataDxfId="185" dataCellStyle="Percent">
      <calculatedColumnFormula array="1">_xlfn.TEXTJOIN(" + ",TRUE,_xlfn._xlws.FILTER(ROUND(-mets[MW for biomass normalization (g/mol)]*mets[normalized coeffs]*(biomassComponents5[[#This Row],[normalized coeffs]]/biomassComponents5[[#This Row],[original coeffs from input]])/(1000*biomassComponents5[[#This Row],[normalized coeffs]]),6)&amp;" BIO-"&amp;mets[name],mets[category]=_xlfn.TEXTAFTER(O6,"BIOSYN-"),""))&amp;" --&gt; "&amp;biomassComponents5[[#This Row],[product name]]</calculatedColumnFormula>
    </tableColumn>
    <tableColumn id="7" xr3:uid="{71FA27A4-EF8F-2443-B569-70ED921B64A0}" name="new GSM coeffs" dataDxfId="184" dataCellStyle="Percent">
      <calculatedColumnFormula array="1">_xlfn.TEXTJOIN(" + ",TRUE,_xlfn._xlws.FILTER((-mets9[normalized coeffs]*biomassComponents5[[#This Row],[normalized coeffs]]/biomassComponents5[[#This Row],[original coeffs from input]])&amp;" BIO-"&amp;mets9[name],mets9[category]=_xlfn.TEXTAFTER(P6,"BIOSYN-"),""))</calculatedColumnFormula>
    </tableColumn>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79334DE-7DAA-874C-BEAF-F75783DA6087}" name="mets9" displayName="mets9" ref="A5:M98" totalsRowShown="0" headerRowDxfId="183">
  <autoFilter ref="A5:M98" xr:uid="{A59107F0-EED3-5F4B-9DA5-382606291CC5}"/>
  <sortState xmlns:xlrd2="http://schemas.microsoft.com/office/spreadsheetml/2017/richdata2" ref="A6:M98">
    <sortCondition ref="D5:D98"/>
  </sortState>
  <tableColumns count="13">
    <tableColumn id="1" xr3:uid="{4599B5DA-8ADC-0A47-950D-DDC59084C68C}" name="pasted JSON metabolite keys and values from GSM biomass rxn"/>
    <tableColumn id="2" xr3:uid="{00680286-81C2-4F43-B659-236ED5F10A4E}" name="name" dataDxfId="182">
      <calculatedColumnFormula>SUBSTITUTE(_xlfn.TEXTBEFORE(mets9[[#This Row],[pasted JSON metabolite keys and values from GSM biomass rxn]],":"),CHAR(34),"")</calculatedColumnFormula>
    </tableColumn>
    <tableColumn id="3" xr3:uid="{7DD9663F-50DE-0B48-86CF-AA6FE6F6BD4C}" name="name w/o location" dataDxfId="181">
      <calculatedColumnFormula>_xlfn.TEXTBEFORE(mets9[[#This Row],[name]],"_",-1)</calculatedColumnFormula>
    </tableColumn>
    <tableColumn id="4" xr3:uid="{1160B372-48EF-0543-846E-3DAAEE13174D}" name="category" dataDxfId="180">
      <calculatedColumnFormula>_xlfn.XLOOKUP(mets9[[#This Row],[name w/o location]],metaboliteInfo[name w/o location],metaboliteInfo[suggested category],"")</calculatedColumnFormula>
    </tableColumn>
    <tableColumn id="5" xr3:uid="{63AED15F-8648-B648-A6A3-C2E7D3692872}" name="MW for biomass normalization (g/mol)" dataDxfId="179">
      <calculatedColumnFormula>_xlfn.XLOOKUP(mets9[[#This Row],[name w/o location]],metaboliteInfo[name w/o location],metaboliteInfo[MW for biomass normalization (g/mol)],0)</calculatedColumnFormula>
    </tableColumn>
    <tableColumn id="6" xr3:uid="{9F4046F4-D3A0-1545-B7A9-43266B2CD972}" name="raw (GSM) coefficient" dataDxfId="178">
      <calculatedColumnFormula>_xlfn.NUMBERVALUE(SUBSTITUTE(_xlfn.TEXTAFTER(mets9[[#This Row],[pasted JSON metabolite keys and values from GSM biomass rxn]],":"),",",""))</calculatedColumnFormula>
    </tableColumn>
    <tableColumn id="7" xr3:uid="{52DDB4F9-0DBC-5F44-9A2D-4A393D29FB53}" name="coeff. w/o GAM" dataDxfId="177">
      <calculatedColumnFormula array="1">_xlfn.LET(_xlpm.id,mets9[[#This Row],[name w/o location]],IF(IsElementOfSet_DIY(_xlpm.id,{"atp","adp","h","pi","h2o"}),SIGN(mets9[[#This Row],[raw (GSM) coefficient]])*(ABS(mets9[[#This Row],[raw (GSM) coefficient]])-$J$2),mets9[[#This Row],[raw (GSM) coefficient]]))</calculatedColumnFormula>
    </tableColumn>
    <tableColumn id="8" xr3:uid="{DCB0A67D-B68E-0149-89BF-8DA75CDCFDA4}" name="coeffs after extra operations" dataDxfId="176">
      <calculatedColumnFormula>mets9[[#This Row],[coeff. w/o GAM]]</calculatedColumnFormula>
    </tableColumn>
    <tableColumn id="9" xr3:uid="{CE1E6CCF-AF16-094C-A941-9F495A7B06D0}" name="normalized coeffs" dataDxfId="175">
      <calculatedColumnFormula>H6/($H$3)</calculatedColumnFormula>
    </tableColumn>
    <tableColumn id="10" xr3:uid="{0D7FC4DE-D3D0-EE46-A5E1-6D88D263E796}" name="normalized coeff. w/ updated GAM" dataDxfId="174">
      <calculatedColumnFormula array="1">_xlfn.LET(_xlpm.id,mets9[[#This Row],[name w/o location]],_xlpm.oldcoeff,mets9[[#This Row],[normalized coeffs]],_xlpm.gam,$J$2-$G$2,_xlfn.IFS(IFERROR(MATCH(_xlpm.id,{"atp","h2o"},0),0)&gt;0,_xlpm.oldcoeff-_xlpm.gam,IFERROR(MATCH(_xlpm.id,{"adp","h","pi"},0),0)&gt;0,_xlpm.oldcoeff+_xlpm.gam,TRUE,_xlpm.oldcoeff))</calculatedColumnFormula>
    </tableColumn>
    <tableColumn id="11" xr3:uid="{A34A0255-35A1-3540-8BDB-6C29A2A0F7A2}" name="biomass equation name">
      <calculatedColumnFormula array="1">"BIOSYN-"&amp;_xlfn.IFS(IFERROR(MATCH(mets9[[#This Row],[category]],{0,"0",""},0),0)&gt;0,mets9[[#This Row],[name]],TRUE,mets9[[#This Row],[category]]&amp;"-"&amp;mets9[[#This Row],[name]])</calculatedColumnFormula>
    </tableColumn>
    <tableColumn id="12" xr3:uid="{183EF541-5CBF-E242-8054-2F3F2FAC866B}" name="biomass equation" dataDxfId="173">
      <calculatedColumnFormula array="1">IF(IsElementOfSet_DIY(mets9[[#This Row],[category]],{"ignore","PROT"}),"",_xlfn.LET(_xlpm.mw,mets9[[#This Row],[MW for biomass normalization (g/mol)]],"MET-"&amp;mets9[[#This Row],[name]]&amp;" --&gt; "&amp;IF((mets9[[#This Row],[category]]="DNA")+(mets9[[#This Row],[category]]="RNA"),"MET-ppi_c + ","")&amp;ROUND(ABS(_xlpm.mw/1000),6)&amp;" BIO-"&amp;mets9[[#This Row],[name]]))</calculatedColumnFormula>
    </tableColumn>
    <tableColumn id="13" xr3:uid="{E3CDAF4A-B7E7-D142-9AE2-98E8605D5596}" name="new GSM coeffs" dataDxfId="172">
      <calculatedColumnFormula array="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calculatedColumnFormula>
    </tableColumn>
  </tableColumns>
  <tableStyleInfo name="TableStyleLight1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7B857A-6163-784B-9297-DC54E624BDF2}" name="ExtraRxns" displayName="ExtraRxns" ref="X5:Z17" totalsRowShown="0" headerRowDxfId="171" dataDxfId="170">
  <autoFilter ref="X5:Z17" xr:uid="{FE7B857A-6163-784B-9297-DC54E624BDF2}"/>
  <tableColumns count="3">
    <tableColumn id="1" xr3:uid="{54AA13E1-4BE2-CF49-B8CF-49289CC32442}" name="rxn description or data (optional)" dataDxfId="169" dataCellStyle="Normal 2"/>
    <tableColumn id="2" xr3:uid="{A1ECBA5D-BB9A-DE47-9A59-15983D9BB680}" name="name" dataDxfId="168" dataCellStyle="Normal 2"/>
    <tableColumn id="3" xr3:uid="{82CA1EE8-BEA2-4C4B-9B81-50E8E90559EB}" name="stoichiometry" dataDxfId="167" dataCellStyle="Normal 2"/>
  </tableColumns>
  <tableStyleInfo name="TableStyleLight1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498876-BCFA-DE44-AB80-834F76DB6419}" name="biomassComponents" displayName="biomassComponents" ref="P5:V14" totalsRowShown="0" headerRowDxfId="166" dataDxfId="165" dataCellStyle="Percent">
  <autoFilter ref="P5:V14" xr:uid="{FF498876-BCFA-DE44-AB80-834F76DB6419}"/>
  <tableColumns count="7">
    <tableColumn id="4" xr3:uid="{6E364B10-C01E-3341-953A-6602756A6046}" name="rxn name" dataDxfId="164" dataCellStyle="Percent">
      <calculatedColumnFormula>O6</calculatedColumnFormula>
    </tableColumn>
    <tableColumn id="2" xr3:uid="{F1680AAC-9BAD-DF4F-8BD9-566B61D97A66}" name="product name" dataDxfId="163" dataCellStyle="Percent">
      <calculatedColumnFormula>SUBSTITUTE(LOWER(biomassComponents[[#This Row],[rxn name]]),"biosyn-","BIO-")</calculatedColumnFormula>
    </tableColumn>
    <tableColumn id="6" xr3:uid="{33050831-4F5C-C949-9E77-6966302C8773}" name="original coeffs from input" dataDxfId="162" dataCellStyle="Percent">
      <calculatedColumnFormula array="1">SUM(_xlfn._xlws.FILTER(-mets[MW for biomass normalization (g/mol)]*mets[normalized coeffs]/1000,mets[category]=_xlfn.TEXTAFTER(O6,"BIOSYN-"),""))</calculatedColumnFormula>
    </tableColumn>
    <tableColumn id="5" xr3:uid="{B073979F-6544-E440-AF01-F6B88F4D7BF9}" name="pre-determined coeffs" dataDxfId="161" dataCellStyle="Percent"/>
    <tableColumn id="1" xr3:uid="{9A934489-A57E-AE4C-B9BA-7309852D2E22}" name="normalized coeffs" dataDxfId="160" dataCellStyle="Percent">
      <calculatedColumnFormula array="1">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calculatedColumnFormula>
    </tableColumn>
    <tableColumn id="3" xr3:uid="{4A40B17C-5A49-9649-8BEC-E864DE381821}" name="stoichiometry (if needed)" dataDxfId="159" dataCellStyle="Percent">
      <calculatedColumnFormula array="1">_xlfn.TEXTJOIN(" + ",TRUE,_xlfn._xlws.FILTER(ROUND(-mets[MW for biomass normalization (g/mol)]*mets[normalized coeffs]*(biomassComponents[[#This Row],[normalized coeffs]]/biomassComponents[[#This Row],[original coeffs from input]])/(1000*biomassComponents[[#This Row],[normalized coeffs]]),6)&amp;" BIO-"&amp;mets[name],mets[category]=_xlfn.TEXTAFTER(O6,"BIOSYN-"),""))&amp;" --&gt; "&amp;biomassComponents[[#This Row],[product name]]</calculatedColumnFormula>
    </tableColumn>
    <tableColumn id="7" xr3:uid="{7F965408-B8AA-104D-89A5-4E62C16C54B0}" name="new GSM coeffs" dataDxfId="158" dataCellStyle="Percent">
      <calculatedColumnFormula array="1">_xlfn.TEXTJOIN(" + ",TRUE,_xlfn._xlws.FILTER((-mets[normalized coeffs]*biomassComponents[[#This Row],[normalized coeffs]]/biomassComponents[[#This Row],[original coeffs from input]])&amp;" BIO-"&amp;mets[name],mets[category]=_xlfn.TEXTAFTER(P6,"BIOSYN-"),""))</calculatedColumnFormula>
    </tableColumn>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9107F0-EED3-5F4B-9DA5-382606291CC5}" name="mets" displayName="mets" ref="A5:M98" totalsRowShown="0" headerRowDxfId="157">
  <autoFilter ref="A5:M98" xr:uid="{A59107F0-EED3-5F4B-9DA5-382606291CC5}"/>
  <sortState xmlns:xlrd2="http://schemas.microsoft.com/office/spreadsheetml/2017/richdata2" ref="A6:L98">
    <sortCondition ref="D5:D98"/>
  </sortState>
  <tableColumns count="13">
    <tableColumn id="1" xr3:uid="{408BE37F-39E9-F249-BA6E-0184CCF44EB5}" name="pasted JSON metabolite keys and values from GSM biomass rxn"/>
    <tableColumn id="2" xr3:uid="{4BC7F60A-B2F6-E042-AC77-F1FB5180E351}" name="name" dataDxfId="156">
      <calculatedColumnFormula>SUBSTITUTE(_xlfn.TEXTBEFORE(mets[[#This Row],[pasted JSON metabolite keys and values from GSM biomass rxn]],":"),CHAR(34),"")</calculatedColumnFormula>
    </tableColumn>
    <tableColumn id="3" xr3:uid="{12A6A77D-7428-0F4A-A111-8A62DDCCA4C6}" name="name w/o location" dataDxfId="155">
      <calculatedColumnFormula>_xlfn.TEXTBEFORE(mets[[#This Row],[name]],"_",-1)</calculatedColumnFormula>
    </tableColumn>
    <tableColumn id="4" xr3:uid="{A981ACF2-67D3-A643-9F2D-D81CEA76EC37}" name="category" dataDxfId="154">
      <calculatedColumnFormula>_xlfn.XLOOKUP(mets[[#This Row],[name w/o location]],metaboliteInfo[name w/o location],metaboliteInfo[suggested category],"")</calculatedColumnFormula>
    </tableColumn>
    <tableColumn id="5" xr3:uid="{F4064144-7C6D-C845-A51C-BE7F9AAF0CDC}" name="MW for biomass normalization (g/mol)" dataDxfId="153">
      <calculatedColumnFormula>_xlfn.XLOOKUP(mets[[#This Row],[name w/o location]],metaboliteInfo[name w/o location],metaboliteInfo[MW for biomass normalization (g/mol)],0)</calculatedColumnFormula>
    </tableColumn>
    <tableColumn id="6" xr3:uid="{41FF9721-2972-7D46-889C-F65F6A7B134F}" name="raw (GSM) coefficient" dataDxfId="152">
      <calculatedColumnFormula>_xlfn.NUMBERVALUE(SUBSTITUTE(_xlfn.TEXTAFTER(mets[[#This Row],[pasted JSON metabolite keys and values from GSM biomass rxn]],":"),",",""))</calculatedColumnFormula>
    </tableColumn>
    <tableColumn id="7" xr3:uid="{82A49CA1-C237-2340-BEB3-0CC2377877F5}" name="coeff. w/o GAM" dataDxfId="151">
      <calculatedColumnFormula array="1">_xlfn.LET(_xlpm.id,mets[[#This Row],[name w/o location]],IF(IsElementOfSet_DIY(_xlpm.id,{"atp","adp","h","pi","h2o"}),SIGN(mets[[#This Row],[raw (GSM) coefficient]])*(ABS(mets[[#This Row],[raw (GSM) coefficient]])-$J$2),mets[[#This Row],[raw (GSM) coefficient]]))</calculatedColumnFormula>
    </tableColumn>
    <tableColumn id="8" xr3:uid="{AFE128FE-8282-4042-8174-2B1511BEA846}" name="coeffs after extra operations" dataDxfId="150">
      <calculatedColumnFormula>mets[[#This Row],[coeff. w/o GAM]]</calculatedColumnFormula>
    </tableColumn>
    <tableColumn id="9" xr3:uid="{F769B0CA-59AD-AF41-8622-F4256972ACF1}" name="normalized coeffs" dataDxfId="149">
      <calculatedColumnFormula>H6/($H$3)</calculatedColumnFormula>
    </tableColumn>
    <tableColumn id="10" xr3:uid="{55D8A75D-9FDE-6249-BAD1-2021063CBB6D}" name="normalized coeff. w/ updated GAM" dataDxfId="148">
      <calculatedColumnFormula array="1">_xlfn.LET(_xlpm.id,mets[[#This Row],[name w/o location]],_xlpm.oldcoeff,mets[[#This Row],[normalized coeffs]],_xlpm.gam,$J$2-$G$2,_xlfn.IFS(IFERROR(MATCH(_xlpm.id,{"atp","h2o"},0),0)&gt;0,_xlpm.oldcoeff-_xlpm.gam,IFERROR(MATCH(_xlpm.id,{"adp","h","pi"},0),0)&gt;0,_xlpm.oldcoeff+_xlpm.gam,TRUE,_xlpm.oldcoeff))</calculatedColumnFormula>
    </tableColumn>
    <tableColumn id="11" xr3:uid="{1D78B4C7-20A8-2140-930B-DBB402BBE16E}" name="biomass equation name">
      <calculatedColumnFormula array="1">"BIOSYN-"&amp;_xlfn.IFS(IFERROR(MATCH(mets[[#This Row],[category]],{0,"0",""},0),0)&gt;0,mets[[#This Row],[name]],TRUE,mets[[#This Row],[category]]&amp;"-"&amp;mets[[#This Row],[name]])</calculatedColumnFormula>
    </tableColumn>
    <tableColumn id="12" xr3:uid="{67C481AE-249C-4347-8A19-01EDA3F1A199}" name="biomass equation" dataDxfId="147">
      <calculatedColumnFormula array="1">IF(IsElementOfSet_DIY(mets[[#This Row],[category]],{"ignore","PROT"}),"",_xlfn.LET(_xlpm.mw,mets[[#This Row],[MW for biomass normalization (g/mol)]],"MET-"&amp;mets[[#This Row],[name]]&amp;" --&gt; "&amp;IF((mets[[#This Row],[category]]="DNA")+(mets[[#This Row],[category]]="RNA"),"MET-ppi_c + ","")&amp;ROUND(ABS(_xlpm.mw/1000),6)&amp;" BIO-"&amp;mets[[#This Row],[name]]))</calculatedColumnFormula>
    </tableColumn>
    <tableColumn id="13" xr3:uid="{DB92F3F0-36AD-ED42-9FEE-2A16746D04EA}" name="new GSM coeffs" dataDxfId="146">
      <calculatedColumnFormula array="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calculatedColumnFormula>
    </tableColumn>
  </tableColumns>
  <tableStyleInfo name="TableStyleLight1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8E2E0F8-AA50-0743-8BB1-FCCE4D84199E}" name="ExtraRxns22" displayName="ExtraRxns22" ref="X5:Z17" totalsRowShown="0" headerRowDxfId="145" dataDxfId="144">
  <autoFilter ref="X5:Z17" xr:uid="{FE7B857A-6163-784B-9297-DC54E624BDF2}"/>
  <tableColumns count="3">
    <tableColumn id="1" xr3:uid="{9C853DC0-F2B0-4449-A942-E1492DC82BCB}" name="rxn description or data (optional)" dataDxfId="143" dataCellStyle="Normal 2"/>
    <tableColumn id="2" xr3:uid="{F2FE8038-0882-3F40-80C3-4386D1B2DC21}" name="name" dataDxfId="142" dataCellStyle="Normal 2"/>
    <tableColumn id="3" xr3:uid="{F093F879-2EDC-0A44-8346-3FD9ECA429CC}" name="stoichiometry" dataDxfId="141" dataCellStyle="Normal 2"/>
  </tableColumns>
  <tableStyleInfo name="TableStyleLight1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8CD10D3-35AF-A847-930F-0A414432F57B}" name="biomassComponents23" displayName="biomassComponents23" ref="P5:V14" totalsRowShown="0" headerRowDxfId="140" dataDxfId="139" dataCellStyle="Percent">
  <autoFilter ref="P5:V14" xr:uid="{FF498876-BCFA-DE44-AB80-834F76DB6419}"/>
  <tableColumns count="7">
    <tableColumn id="4" xr3:uid="{4459C4B8-9CCA-1343-A21E-1E9C576DB323}" name="rxn name" dataDxfId="138" dataCellStyle="Percent">
      <calculatedColumnFormula>O6</calculatedColumnFormula>
    </tableColumn>
    <tableColumn id="2" xr3:uid="{C6AADD19-F815-7A4D-82BD-B7D369C988AC}" name="product name" dataDxfId="137" dataCellStyle="Percent">
      <calculatedColumnFormula>SUBSTITUTE(LOWER(biomassComponents23[[#This Row],[rxn name]]),"biosyn-","BIO-")</calculatedColumnFormula>
    </tableColumn>
    <tableColumn id="6" xr3:uid="{C44BE04B-9FD6-9843-A9A8-CAFE1B446BD1}" name="original coeffs from input" dataDxfId="136" dataCellStyle="Percent">
      <calculatedColumnFormula array="1">SUM(_xlfn._xlws.FILTER(-mets24[MW for biomass normalization (g/mol)]*mets24[normalized coeffs]/1000,mets24[category]=_xlfn.TEXTAFTER(O6,"BIOSYN-"),""))</calculatedColumnFormula>
    </tableColumn>
    <tableColumn id="5" xr3:uid="{8E7773B1-1513-1D40-A5B6-74E038F6B741}" name="pre-determined coeffs" dataDxfId="135" dataCellStyle="Percent"/>
    <tableColumn id="1" xr3:uid="{BD64C23C-0FA8-3D47-B3F9-03A0BAAA7504}" name="normalized coeffs" dataDxfId="134" dataCellStyle="Percent">
      <calculatedColumnFormula array="1">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calculatedColumnFormula>
    </tableColumn>
    <tableColumn id="3" xr3:uid="{E3C1D635-F1BD-1F42-8101-051ABE760BFC}" name="stoichiometry (if needed)" dataDxfId="133" dataCellStyle="Percent">
      <calculatedColumnFormula array="1">_xlfn.TEXTJOIN(" + ",TRUE,_xlfn._xlws.FILTER(ROUND(-mets[MW for biomass normalization (g/mol)]*mets[normalized coeffs]*(biomassComponents23[[#This Row],[normalized coeffs]]/biomassComponents23[[#This Row],[original coeffs from input]])/(1000*biomassComponents23[[#This Row],[normalized coeffs]]),6)&amp;" BIO-"&amp;mets[name],mets[category]=_xlfn.TEXTAFTER(O6,"BIOSYN-"),""))&amp;" --&gt; "&amp;biomassComponents23[[#This Row],[product name]]</calculatedColumnFormula>
    </tableColumn>
    <tableColumn id="7" xr3:uid="{12808F9F-C834-DB47-9B53-40C2DE6CCF3E}" name="new GSM coeffs" dataDxfId="132" dataCellStyle="Percent">
      <calculatedColumnFormula array="1">_xlfn.TEXTJOIN(" + ",TRUE,_xlfn._xlws.FILTER((-mets24[normalized coeffs]*biomassComponents23[[#This Row],[normalized coeffs]]/biomassComponents23[[#This Row],[original coeffs from input]])&amp;" BIO-"&amp;mets24[name],mets24[category]=_xlfn.TEXTAFTER(P6,"BIOSYN-"),""))</calculatedColumnFormula>
    </tableColumn>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B5DFE01-2BA4-B649-A3F8-9284F84832DD}" name="mets24" displayName="mets24" ref="A5:M97" totalsRowShown="0" headerRowDxfId="131">
  <autoFilter ref="A5:M97" xr:uid="{A59107F0-EED3-5F4B-9DA5-382606291CC5}"/>
  <sortState xmlns:xlrd2="http://schemas.microsoft.com/office/spreadsheetml/2017/richdata2" ref="A6:L97">
    <sortCondition ref="D5:D97"/>
  </sortState>
  <tableColumns count="13">
    <tableColumn id="1" xr3:uid="{C508661E-9249-D141-96A1-77BEAE9C24CF}" name="pasted JSON metabolite keys and values from GSM biomass rxn"/>
    <tableColumn id="2" xr3:uid="{0B9FCE47-BCA8-4747-B31A-881C8F11B2C1}" name="name" dataDxfId="130">
      <calculatedColumnFormula>SUBSTITUTE(_xlfn.TEXTBEFORE(mets24[[#This Row],[pasted JSON metabolite keys and values from GSM biomass rxn]],":"),CHAR(34),"")</calculatedColumnFormula>
    </tableColumn>
    <tableColumn id="3" xr3:uid="{2F6D68B8-EB56-1646-948E-77BDF49C92A4}" name="name w/o location" dataDxfId="129">
      <calculatedColumnFormula>_xlfn.TEXTBEFORE(mets24[[#This Row],[name]],"_",-1)</calculatedColumnFormula>
    </tableColumn>
    <tableColumn id="4" xr3:uid="{0A0CD0AB-677C-1F41-8C2F-FE49560C8FA1}" name="category" dataDxfId="128">
      <calculatedColumnFormula>_xlfn.XLOOKUP(mets24[[#This Row],[name w/o location]],metaboliteInfo[name w/o location],metaboliteInfo[suggested category],"")</calculatedColumnFormula>
    </tableColumn>
    <tableColumn id="5" xr3:uid="{9D9C6CCB-C967-D944-9323-5F95C217E666}" name="MW for biomass normalization (g/mol)" dataDxfId="127">
      <calculatedColumnFormula>_xlfn.XLOOKUP(mets24[[#This Row],[name w/o location]],metaboliteInfo[name w/o location],metaboliteInfo[MW for biomass normalization (g/mol)],0)</calculatedColumnFormula>
    </tableColumn>
    <tableColumn id="6" xr3:uid="{1568249E-132D-534A-9CBD-26E83E118D58}" name="raw (GSM) coefficient" dataDxfId="126">
      <calculatedColumnFormula>_xlfn.NUMBERVALUE(SUBSTITUTE(_xlfn.TEXTAFTER(mets24[[#This Row],[pasted JSON metabolite keys and values from GSM biomass rxn]],":"),",",""))</calculatedColumnFormula>
    </tableColumn>
    <tableColumn id="7" xr3:uid="{B563CF09-DDB2-6A43-8BA6-DF0BAD172F91}" name="coeff. w/o GAM" dataDxfId="125">
      <calculatedColumnFormula array="1">_xlfn.LET(_xlpm.id,mets24[[#This Row],[name w/o location]],IF(IsElementOfSet_DIY(_xlpm.id,{"atp","adp","h","pi","h2o"}),SIGN(mets24[[#This Row],[raw (GSM) coefficient]])*(ABS(mets24[[#This Row],[raw (GSM) coefficient]])-$J$2),mets24[[#This Row],[raw (GSM) coefficient]]))</calculatedColumnFormula>
    </tableColumn>
    <tableColumn id="8" xr3:uid="{0942D085-128B-D940-85DA-1459346C5D28}" name="coeffs after extra operations" dataDxfId="124">
      <calculatedColumnFormula>mets24[[#This Row],[coeff. w/o GAM]]</calculatedColumnFormula>
    </tableColumn>
    <tableColumn id="9" xr3:uid="{249332F0-DC52-9F40-A1AF-845F2B8F8E52}" name="normalized coeffs" dataDxfId="123">
      <calculatedColumnFormula>H6/($H$3)</calculatedColumnFormula>
    </tableColumn>
    <tableColumn id="10" xr3:uid="{D5842AAB-3D73-8D4B-9F70-BAF6311A419B}" name="normalized coeff. w/ updated GAM" dataDxfId="122">
      <calculatedColumnFormula array="1">_xlfn.LET(_xlpm.id,mets24[[#This Row],[name w/o location]],_xlpm.oldcoeff,mets24[[#This Row],[normalized coeffs]],_xlpm.gam,$J$2-$G$2,_xlfn.IFS(IFERROR(MATCH(_xlpm.id,{"atp","h2o"},0),0)&gt;0,_xlpm.oldcoeff-_xlpm.gam,IFERROR(MATCH(_xlpm.id,{"adp","h","pi"},0),0)&gt;0,_xlpm.oldcoeff+_xlpm.gam,TRUE,_xlpm.oldcoeff))</calculatedColumnFormula>
    </tableColumn>
    <tableColumn id="11" xr3:uid="{89259F55-3869-D142-BF9B-F6BE1FE8C4DE}" name="biomass equation name">
      <calculatedColumnFormula array="1">"BIOSYN-"&amp;_xlfn.IFS(IFERROR(MATCH(mets24[[#This Row],[category]],{0,"0",""},0),0)&gt;0,mets24[[#This Row],[name]],TRUE,mets24[[#This Row],[category]]&amp;"-"&amp;mets24[[#This Row],[name]])</calculatedColumnFormula>
    </tableColumn>
    <tableColumn id="12" xr3:uid="{D4036F91-C65B-2341-8486-3D393845623E}" name="biomass equation" dataDxfId="121">
      <calculatedColumnFormula array="1">IF(IsElementOfSet_DIY(mets24[[#This Row],[category]],{"ignore","PROT"}),"",_xlfn.LET(_xlpm.mw,mets24[[#This Row],[MW for biomass normalization (g/mol)]],"MET-"&amp;mets24[[#This Row],[name]]&amp;" --&gt; "&amp;IF((mets24[[#This Row],[category]]="DNA")+(mets24[[#This Row],[category]]="RNA"),"MET-ppi_c + ","")&amp;ROUND(ABS(_xlpm.mw/1000),6)&amp;" BIO-"&amp;mets24[[#This Row],[name]]))</calculatedColumnFormula>
    </tableColumn>
    <tableColumn id="13" xr3:uid="{F98CA8F5-82B3-5B47-A9F8-A94A7F20E0C0}" name="new GSM coeffs" dataDxfId="120">
      <calculatedColumnFormula array="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calculatedColumnFormula>
    </tableColumn>
  </tableColumns>
  <tableStyleInfo name="TableStyleLight1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312516-5015-324D-90CE-31F5E37D6278}" name="ExtraRxns2210" displayName="ExtraRxns2210" ref="X5:Z17" totalsRowShown="0" headerRowDxfId="119" dataDxfId="118">
  <autoFilter ref="X5:Z17" xr:uid="{FE7B857A-6163-784B-9297-DC54E624BDF2}"/>
  <tableColumns count="3">
    <tableColumn id="1" xr3:uid="{B233F7F6-36BE-4C4D-A6EB-2E36ED5B40BE}" name="rxn description or data (optional)" dataDxfId="117" dataCellStyle="Normal 2"/>
    <tableColumn id="2" xr3:uid="{E4EB716D-6E5C-E14B-883D-EF424BA3EA71}" name="name" dataDxfId="116" dataCellStyle="Normal 2"/>
    <tableColumn id="3" xr3:uid="{C41EF372-0A52-E844-91D9-8CE177EAC805}" name="stoichiometry" dataDxfId="115" dataCellStyle="Normal 2"/>
  </tableColumns>
  <tableStyleInfo name="TableStyleLight1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45A3C61-9BB3-204C-A328-2F221C13A045}" name="biomassComponents2314" displayName="biomassComponents2314" ref="P5:V14" totalsRowShown="0" headerRowDxfId="114" dataDxfId="113" dataCellStyle="Percent">
  <autoFilter ref="P5:V14" xr:uid="{FF498876-BCFA-DE44-AB80-834F76DB6419}"/>
  <tableColumns count="7">
    <tableColumn id="4" xr3:uid="{E2E0126A-9BA1-6544-99B9-B170EA7B1269}" name="rxn name" dataDxfId="112" dataCellStyle="Percent">
      <calculatedColumnFormula>O6</calculatedColumnFormula>
    </tableColumn>
    <tableColumn id="2" xr3:uid="{8149291B-99B9-DD40-9F31-C6C0CF4508C3}" name="product name" dataDxfId="111" dataCellStyle="Percent">
      <calculatedColumnFormula>SUBSTITUTE(LOWER(biomassComponents2314[[#This Row],[rxn name]]),"biosyn-","BIO-")</calculatedColumnFormula>
    </tableColumn>
    <tableColumn id="6" xr3:uid="{F4D05C5F-6A21-2748-93EC-CA490B6B2CDB}" name="original coeffs from input" dataDxfId="110" dataCellStyle="Percent">
      <calculatedColumnFormula array="1">SUM(_xlfn._xlws.FILTER(-mets2415[MW for biomass normalization (g/mol)]*mets2415[normalized coeffs]/1000,mets2415[category]=_xlfn.TEXTAFTER(O6,"BIOSYN-"),""))</calculatedColumnFormula>
    </tableColumn>
    <tableColumn id="5" xr3:uid="{EC192232-8865-9D46-8AAC-76C70B6BAAC8}" name="pre-determined coeffs" dataDxfId="109" dataCellStyle="Percent"/>
    <tableColumn id="1" xr3:uid="{84A0A426-7564-1145-9F92-1973B35592E7}" name="normalized coeffs" dataDxfId="108" dataCellStyle="Percent">
      <calculatedColumnFormula array="1">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calculatedColumnFormula>
    </tableColumn>
    <tableColumn id="3" xr3:uid="{0DE19FCB-F105-BC46-BE06-D7D8D94DBB05}" name="stoichiometry (if needed)" dataDxfId="107" dataCellStyle="Percent">
      <calculatedColumnFormula array="1">_xlfn.TEXTJOIN(" + ",TRUE,_xlfn._xlws.FILTER(ROUND(-mets[MW for biomass normalization (g/mol)]*mets[normalized coeffs]*(biomassComponents2314[[#This Row],[normalized coeffs]]/biomassComponents2314[[#This Row],[original coeffs from input]])/(1000*biomassComponents2314[[#This Row],[normalized coeffs]]),6)&amp;" BIO-"&amp;mets[name],mets[category]=_xlfn.TEXTAFTER(O6,"BIOSYN-"),""))&amp;" --&gt; "&amp;biomassComponents2314[[#This Row],[product name]]</calculatedColumnFormula>
    </tableColumn>
    <tableColumn id="7" xr3:uid="{D8B6A3A1-64DE-244B-AECB-ACCF729E1497}" name="new GSM coeffs" dataDxfId="106" dataCellStyle="Percent">
      <calculatedColumnFormula array="1">_xlfn.TEXTJOIN(" + ",TRUE,_xlfn._xlws.FILTER((-mets2415[normalized coeffs]*biomassComponents2314[[#This Row],[normalized coeffs]]/biomassComponents2314[[#This Row],[original coeffs from input]])&amp;" BIO-"&amp;mets2415[name],mets2415[category]=_xlfn.TEXTAFTER(P6,"BIOSYN-"),""))</calculatedColumnFormula>
    </tableColumn>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E95D1F5-FF16-9844-9830-DC8F5E362FC1}" name="mets2415" displayName="mets2415" ref="A5:M97" totalsRowShown="0" headerRowDxfId="105">
  <autoFilter ref="A5:M97" xr:uid="{A59107F0-EED3-5F4B-9DA5-382606291CC5}"/>
  <sortState xmlns:xlrd2="http://schemas.microsoft.com/office/spreadsheetml/2017/richdata2" ref="A6:L97">
    <sortCondition ref="D5:D97"/>
  </sortState>
  <tableColumns count="13">
    <tableColumn id="1" xr3:uid="{368EF8FA-B38C-4D46-9AA8-66AC8A06D09F}" name="pasted JSON metabolite keys and values from GSM biomass rxn"/>
    <tableColumn id="2" xr3:uid="{1C3C2D79-9A0F-3B4F-9452-15D5D4C75AE4}" name="name" dataDxfId="104">
      <calculatedColumnFormula>SUBSTITUTE(_xlfn.TEXTBEFORE(mets2415[[#This Row],[pasted JSON metabolite keys and values from GSM biomass rxn]],":"),CHAR(34),"")</calculatedColumnFormula>
    </tableColumn>
    <tableColumn id="3" xr3:uid="{0E4C836B-B9EB-8740-856C-6643A6C95F89}" name="name w/o location" dataDxfId="103">
      <calculatedColumnFormula>_xlfn.TEXTBEFORE(mets2415[[#This Row],[name]],"_",-1)</calculatedColumnFormula>
    </tableColumn>
    <tableColumn id="4" xr3:uid="{548819E6-A5A9-A34A-8CF5-F23C53230704}" name="category" dataDxfId="102">
      <calculatedColumnFormula>_xlfn.XLOOKUP(mets2415[[#This Row],[name w/o location]],metaboliteInfo[name w/o location],metaboliteInfo[suggested category],"")</calculatedColumnFormula>
    </tableColumn>
    <tableColumn id="5" xr3:uid="{DB2FC0B8-5CC3-AF4C-8D02-3EE3B41BDD39}" name="MW for biomass normalization (g/mol)" dataDxfId="101">
      <calculatedColumnFormula>_xlfn.XLOOKUP(mets2415[[#This Row],[name w/o location]],metaboliteInfo[name w/o location],metaboliteInfo[MW for biomass normalization (g/mol)],0)</calculatedColumnFormula>
    </tableColumn>
    <tableColumn id="6" xr3:uid="{DB306D53-8900-6943-8452-A689F4B44EF1}" name="raw (GSM) coefficient" dataDxfId="100">
      <calculatedColumnFormula>_xlfn.NUMBERVALUE(SUBSTITUTE(_xlfn.TEXTAFTER(mets2415[[#This Row],[pasted JSON metabolite keys and values from GSM biomass rxn]],":"),",",""))</calculatedColumnFormula>
    </tableColumn>
    <tableColumn id="7" xr3:uid="{1F4E528B-48C7-B045-AFFC-C6FBAFEBDA4C}" name="coeff. w/o GAM" dataDxfId="99">
      <calculatedColumnFormula array="1">_xlfn.LET(_xlpm.id,mets2415[[#This Row],[name w/o location]],IF(IsElementOfSet_DIY(_xlpm.id,{"atp","adp","h","pi","h2o"}),SIGN(mets2415[[#This Row],[raw (GSM) coefficient]])*(ABS(mets2415[[#This Row],[raw (GSM) coefficient]])-$J$2),mets2415[[#This Row],[raw (GSM) coefficient]]))</calculatedColumnFormula>
    </tableColumn>
    <tableColumn id="8" xr3:uid="{013AE028-2E23-6641-8A66-D4C1A4E3076F}" name="coeffs after extra operations" dataDxfId="98">
      <calculatedColumnFormula>mets2415[[#This Row],[coeff. w/o GAM]]</calculatedColumnFormula>
    </tableColumn>
    <tableColumn id="9" xr3:uid="{F3048819-1DF2-4F4A-813A-44B77A62CA49}" name="normalized coeffs" dataDxfId="97">
      <calculatedColumnFormula>H6/($H$3)</calculatedColumnFormula>
    </tableColumn>
    <tableColumn id="10" xr3:uid="{70D8F4B1-E952-654C-B527-B82817DF4B04}" name="normalized coeff. w/ updated GAM" dataDxfId="96">
      <calculatedColumnFormula array="1">_xlfn.LET(_xlpm.id,mets2415[[#This Row],[name w/o location]],_xlpm.oldcoeff,mets2415[[#This Row],[normalized coeffs]],_xlpm.gam,$J$2-$G$2,_xlfn.IFS(IFERROR(MATCH(_xlpm.id,{"atp","h2o"},0),0)&gt;0,_xlpm.oldcoeff-_xlpm.gam,IFERROR(MATCH(_xlpm.id,{"adp","h","pi"},0),0)&gt;0,_xlpm.oldcoeff+_xlpm.gam,TRUE,_xlpm.oldcoeff))</calculatedColumnFormula>
    </tableColumn>
    <tableColumn id="11" xr3:uid="{806CF56C-5085-A240-8D84-085AC0679A2D}" name="biomass equation name">
      <calculatedColumnFormula array="1">"BIOSYN-"&amp;_xlfn.IFS(IFERROR(MATCH(mets2415[[#This Row],[category]],{0,"0",""},0),0)&gt;0,mets2415[[#This Row],[name]],TRUE,mets2415[[#This Row],[category]]&amp;"-"&amp;mets2415[[#This Row],[name]])</calculatedColumnFormula>
    </tableColumn>
    <tableColumn id="12" xr3:uid="{CBE3D12E-3609-DB45-AB77-6D060284E06A}" name="biomass equation" dataDxfId="95">
      <calculatedColumnFormula array="1">IF(IsElementOfSet_DIY(mets2415[[#This Row],[category]],{"ignore","PROT"}),"",_xlfn.LET(_xlpm.mw,mets2415[[#This Row],[MW for biomass normalization (g/mol)]],"MET-"&amp;mets2415[[#This Row],[name]]&amp;" --&gt; "&amp;IF((mets2415[[#This Row],[category]]="DNA")+(mets2415[[#This Row],[category]]="RNA"),"MET-ppi_c + ","")&amp;ROUND(ABS(_xlpm.mw/1000),6)&amp;" BIO-"&amp;mets2415[[#This Row],[name]]))</calculatedColumnFormula>
    </tableColumn>
    <tableColumn id="13" xr3:uid="{F88FB15D-654A-734D-9507-152C62154996}" name="new GSM coeffs" dataDxfId="94">
      <calculatedColumnFormula array="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calculatedColumnFormula>
    </tableColumn>
  </tableColumns>
  <tableStyleInfo name="TableStyleLight1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B912D69-2BC7-3B4B-9927-5CE91397A3A9}" name="ExtraRxns2216" displayName="ExtraRxns2216" ref="X5:Z17" totalsRowShown="0" headerRowDxfId="93" dataDxfId="92">
  <autoFilter ref="X5:Z17" xr:uid="{FE7B857A-6163-784B-9297-DC54E624BDF2}"/>
  <tableColumns count="3">
    <tableColumn id="1" xr3:uid="{153742FE-AB43-834A-87ED-7003D139968E}" name="rxn description or data (optional)" dataDxfId="91" dataCellStyle="Normal 2"/>
    <tableColumn id="2" xr3:uid="{ED36DD4B-FD26-584D-AADC-8DD19BC7EFCC}" name="name" dataDxfId="90" dataCellStyle="Normal 2"/>
    <tableColumn id="3" xr3:uid="{C1CCECEA-BBA6-7B40-9E18-49E71AC51984}" name="stoichiometry" dataDxfId="89" dataCellStyle="Normal 2"/>
  </tableColumns>
  <tableStyleInfo name="TableStyleLight1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967F828-2509-7345-82BF-1E612A38A5E0}" name="biomassComponents2317" displayName="biomassComponents2317" ref="P5:V14" totalsRowShown="0" headerRowDxfId="88" dataDxfId="87" dataCellStyle="Percent">
  <autoFilter ref="P5:V14" xr:uid="{FF498876-BCFA-DE44-AB80-834F76DB6419}"/>
  <tableColumns count="7">
    <tableColumn id="4" xr3:uid="{65D359AE-C9E9-4B48-9882-DB959E46F309}" name="rxn name" dataDxfId="86" dataCellStyle="Percent">
      <calculatedColumnFormula>O6</calculatedColumnFormula>
    </tableColumn>
    <tableColumn id="2" xr3:uid="{82EF575F-B053-4443-8ED4-32486D62A665}" name="product name" dataDxfId="85" dataCellStyle="Percent">
      <calculatedColumnFormula>SUBSTITUTE(LOWER(biomassComponents2317[[#This Row],[rxn name]]),"biosyn-","BIO-")</calculatedColumnFormula>
    </tableColumn>
    <tableColumn id="6" xr3:uid="{98FE9BD4-FE4A-B440-BF2A-6FBDCB6C0D9F}" name="original coeffs from input" dataDxfId="84" dataCellStyle="Percent">
      <calculatedColumnFormula array="1">SUM(_xlfn._xlws.FILTER(-mets2418[MW for biomass normalization (g/mol)]*mets2418[normalized coeffs]/1000,mets2418[category]=_xlfn.TEXTAFTER(O6,"BIOSYN-"),""))</calculatedColumnFormula>
    </tableColumn>
    <tableColumn id="5" xr3:uid="{A95C5FBE-6F87-6F45-BDAF-E1989E2990BC}" name="pre-determined coeffs" dataDxfId="83" dataCellStyle="Percent"/>
    <tableColumn id="1" xr3:uid="{352474DA-C453-7640-A9FC-3EDD9B23C33C}" name="normalized coeffs" dataDxfId="82" dataCellStyle="Percent">
      <calculatedColumnFormula array="1">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calculatedColumnFormula>
    </tableColumn>
    <tableColumn id="3" xr3:uid="{8BF8E915-0265-C346-B2CC-E6D40465AD5E}" name="stoichiometry (if needed)" dataDxfId="81" dataCellStyle="Percent">
      <calculatedColumnFormula array="1">_xlfn.TEXTJOIN(" + ",TRUE,_xlfn._xlws.FILTER(ROUND(-mets[MW for biomass normalization (g/mol)]*mets[normalized coeffs]*(biomassComponents2317[[#This Row],[normalized coeffs]]/biomassComponents2317[[#This Row],[original coeffs from input]])/(1000*biomassComponents2317[[#This Row],[normalized coeffs]]),6)&amp;" BIO-"&amp;mets[name],mets[category]=_xlfn.TEXTAFTER(O6,"BIOSYN-"),""))&amp;" --&gt; "&amp;biomassComponents2317[[#This Row],[product name]]</calculatedColumnFormula>
    </tableColumn>
    <tableColumn id="7" xr3:uid="{50779AD6-139F-224C-B84F-7C18C62EFBF7}" name="new GSM coeffs" dataDxfId="80" dataCellStyle="Percent">
      <calculatedColumnFormula array="1">_xlfn.TEXTJOIN(" + ",TRUE,_xlfn._xlws.FILTER((-mets2418[normalized coeffs]*biomassComponents2317[[#This Row],[normalized coeffs]]/biomassComponents2317[[#This Row],[original coeffs from input]])&amp;" BIO-"&amp;mets2418[name],mets2418[category]=_xlfn.TEXTAFTER(P6,"BIOSYN-"),""))</calculatedColumnFormula>
    </tableColumn>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3414763-97B0-924E-801A-632C27DA54A5}" name="mets2418" displayName="mets2418" ref="A5:M82" totalsRowShown="0" headerRowDxfId="79">
  <autoFilter ref="A5:M82" xr:uid="{A59107F0-EED3-5F4B-9DA5-382606291CC5}"/>
  <sortState xmlns:xlrd2="http://schemas.microsoft.com/office/spreadsheetml/2017/richdata2" ref="A6:L82">
    <sortCondition ref="D5:D82"/>
  </sortState>
  <tableColumns count="13">
    <tableColumn id="1" xr3:uid="{01400279-97B3-634B-9FE6-3B219306E99D}" name="pasted JSON metabolite keys and values from GSM biomass rxn" dataDxfId="78"/>
    <tableColumn id="2" xr3:uid="{1CEB76CE-AFDF-A541-B7DA-CF94D47FC3C9}" name="name" dataDxfId="77">
      <calculatedColumnFormula>SUBSTITUTE(_xlfn.TEXTBEFORE(mets2418[[#This Row],[pasted JSON metabolite keys and values from GSM biomass rxn]],":"),CHAR(34),"")</calculatedColumnFormula>
    </tableColumn>
    <tableColumn id="3" xr3:uid="{1A5551BF-EB4B-5241-B8CC-9B27E695447F}" name="name w/o location" dataDxfId="76">
      <calculatedColumnFormula>_xlfn.TEXTBEFORE(mets2418[[#This Row],[name]],"_",-1)</calculatedColumnFormula>
    </tableColumn>
    <tableColumn id="4" xr3:uid="{98F8AEDD-216C-5043-BBFB-4682C342715F}" name="category" dataDxfId="75">
      <calculatedColumnFormula>_xlfn.XLOOKUP(mets2418[[#This Row],[name w/o location]],metaboliteInfo[name w/o location],metaboliteInfo[suggested category],"")</calculatedColumnFormula>
    </tableColumn>
    <tableColumn id="5" xr3:uid="{6BDEBBDC-C3C7-7C42-91B7-947F202F35B2}" name="MW for biomass normalization (g/mol)" dataDxfId="74">
      <calculatedColumnFormula>_xlfn.XLOOKUP(mets2418[[#This Row],[name w/o location]],metaboliteInfo[name w/o location],metaboliteInfo[MW for biomass normalization (g/mol)],0)</calculatedColumnFormula>
    </tableColumn>
    <tableColumn id="6" xr3:uid="{37A10E07-D371-C94B-80CB-014AF8612712}" name="raw (GSM) coefficient" dataDxfId="73">
      <calculatedColumnFormula>_xlfn.NUMBERVALUE(SUBSTITUTE(_xlfn.TEXTAFTER(mets2418[[#This Row],[pasted JSON metabolite keys and values from GSM biomass rxn]],":"),",",""))</calculatedColumnFormula>
    </tableColumn>
    <tableColumn id="7" xr3:uid="{F66FC4E1-C3F1-FB47-BAFB-F693541BC258}" name="coeff. w/o GAM" dataDxfId="72">
      <calculatedColumnFormula array="1">_xlfn.LET(_xlpm.id,mets2418[[#This Row],[name w/o location]],IF(IsElementOfSet_DIY(_xlpm.id,{"atp","adp","h","pi","h2o"}),SIGN(mets2418[[#This Row],[raw (GSM) coefficient]])*(ABS(mets2418[[#This Row],[raw (GSM) coefficient]])-$J$2),mets2418[[#This Row],[raw (GSM) coefficient]]))</calculatedColumnFormula>
    </tableColumn>
    <tableColumn id="8" xr3:uid="{D0D4A2D5-952A-5948-9B1B-111D7A5BA67E}" name="coeffs after extra operations" dataDxfId="71">
      <calculatedColumnFormula>mets2418[[#This Row],[coeff. w/o GAM]]</calculatedColumnFormula>
    </tableColumn>
    <tableColumn id="9" xr3:uid="{E9F80AC8-9158-1D4C-8AAC-10CC00FE3AA4}" name="normalized coeffs" dataDxfId="70">
      <calculatedColumnFormula>H6/($H$3)</calculatedColumnFormula>
    </tableColumn>
    <tableColumn id="10" xr3:uid="{853EF251-C683-A245-AAB2-4DA67B9701AD}" name="normalized coeff. w/ updated GAM" dataDxfId="69">
      <calculatedColumnFormula array="1">_xlfn.LET(_xlpm.id,mets2418[[#This Row],[name w/o location]],_xlpm.oldcoeff,mets2418[[#This Row],[normalized coeffs]],_xlpm.gam,$J$2-$G$2,_xlfn.IFS(IFERROR(MATCH(_xlpm.id,{"atp","h2o"},0),0)&gt;0,_xlpm.oldcoeff-_xlpm.gam,IFERROR(MATCH(_xlpm.id,{"adp","h","pi"},0),0)&gt;0,_xlpm.oldcoeff+_xlpm.gam,TRUE,_xlpm.oldcoeff))</calculatedColumnFormula>
    </tableColumn>
    <tableColumn id="11" xr3:uid="{6CF3D26F-20AB-FF49-BFE2-E93205775142}" name="biomass equation name">
      <calculatedColumnFormula array="1">"BIOSYN-"&amp;_xlfn.IFS(IFERROR(MATCH(mets2418[[#This Row],[category]],{0,"0",""},0),0)&gt;0,mets2418[[#This Row],[name]],TRUE,mets2418[[#This Row],[category]]&amp;"-"&amp;mets2418[[#This Row],[name]])</calculatedColumnFormula>
    </tableColumn>
    <tableColumn id="12" xr3:uid="{49F5D1AB-43AA-FE41-BE3D-C8424B06A26A}" name="biomass equation" dataDxfId="68">
      <calculatedColumnFormula array="1">IF(IsElementOfSet_DIY(mets2418[[#This Row],[category]],{"ignore","PROT"}),"",_xlfn.LET(_xlpm.mw,mets2418[[#This Row],[MW for biomass normalization (g/mol)]],"MET-"&amp;mets2418[[#This Row],[name]]&amp;" --&gt; "&amp;IF((mets2418[[#This Row],[category]]="DNA")+(mets2418[[#This Row],[category]]="RNA"),"MET-ppi_c + ","")&amp;ROUND(ABS(_xlpm.mw/1000),6)&amp;" BIO-"&amp;mets2418[[#This Row],[name]]))</calculatedColumnFormula>
    </tableColumn>
    <tableColumn id="13" xr3:uid="{8B3F03C2-D54B-C842-912F-039482DEB69F}" name="new GSM coeffs" dataDxfId="67">
      <calculatedColumnFormula array="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calculatedColumnFormula>
    </tableColumn>
  </tableColumns>
  <tableStyleInfo name="TableStyleLight1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444A5A-3163-F74C-AC5B-9F53C2DE9605}" name="Table1" displayName="Table1" ref="A2:Q95" totalsRowShown="0">
  <autoFilter ref="A2:Q95" xr:uid="{C2444A5A-3163-F74C-AC5B-9F53C2DE9605}"/>
  <tableColumns count="17">
    <tableColumn id="7" xr3:uid="{AA2E96CD-9584-0E4D-9469-0E122DF90455}" name="Kim (raw)"/>
    <tableColumn id="1" xr3:uid="{5BB46B3A-39D0-1C41-889F-960B18711F7A}" name="Kim"/>
    <tableColumn id="8" xr3:uid="{95A96A94-EDC1-FB49-BA7C-F859C388E10C}" name="coeff" dataDxfId="66"/>
    <tableColumn id="14" xr3:uid="{4B29E125-8457-9943-A704-090171799C13}" name="coeff w/o ATPM" dataDxfId="65"/>
    <tableColumn id="13" xr3:uid="{9049BDC3-E92D-6949-8C19-067E5C52B02E}" name="MW w/o pyrophosphate (g/mol)" dataDxfId="64"/>
    <tableColumn id="2" xr3:uid="{69821D69-F3B7-B948-9315-154EF360991A}" name="rtRBA-C" dataDxfId="63"/>
    <tableColumn id="3" xr3:uid="{2D29769F-BBAD-3143-85CD-9556AE321658}" name="Kim in rtRBA-C?" dataDxfId="62"/>
    <tableColumn id="4" xr3:uid="{5EE8DDE8-DA39-F342-8848-0D9435022924}" name="kim name" dataDxfId="61"/>
    <tableColumn id="5" xr3:uid="{4C9C3452-4582-FB4A-958D-F4A24FEC7836}" name="rtRBA name" dataDxfId="60"/>
    <tableColumn id="6" xr3:uid="{30FBFA3B-BB21-4A4A-A0E5-845C7F4332FA}" name="auto or manually found?" dataDxfId="59"/>
    <tableColumn id="15" xr3:uid="{58D9ACF0-B0B1-3F49-BC36-E4C81B5C2DD1}" name="comments"/>
    <tableColumn id="10" xr3:uid="{CFAB5332-6F77-EA4C-9A69-9C4300F2900D}" name="normalized coeffs" dataDxfId="58"/>
    <tableColumn id="11" xr3:uid="{D2DDFBF6-7542-264A-AFB5-B2520F348A06}" name="n coeffs * MW" dataDxfId="57"/>
    <tableColumn id="9" xr3:uid="{14E68E93-E9DD-BC4C-8C3D-8D7129EFCD39}" name="rtRBA version of JSON" dataDxfId="56"/>
    <tableColumn id="12" xr3:uid="{DCD81BAE-973A-9A44-BC33-F84F894E871B}" name="Kim MW" dataDxfId="55"/>
    <tableColumn id="16" xr3:uid="{594477B2-EFFF-BE4A-9704-36F955B7524A}" name="Column1" dataDxfId="54">
      <calculatedColumnFormula>IFERROR(_xlfn.NUMBERVALUE(Table1[[#This Row],[Kim MW]]),0)-Table1[[#This Row],[MW w/o pyrophosphate (g/mol)]]</calculatedColumnFormula>
    </tableColumn>
    <tableColumn id="17" xr3:uid="{981334FA-AB95-6841-BE1E-9278DD0729B8}" name="in batch biom?" dataDxfId="53">
      <calculatedColumnFormula>IF(_xlfn.XLOOKUP(Table1[[#This Row],[auto or manually found?]],mets9[name],mets9[name],"")="",Table1[[#This Row],[auto or manually found?]],"")</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067577-3D81-D244-B73F-3CC89BC642F7}" name="metaboliteInfo" displayName="metaboliteInfo" ref="A2:E130" totalsRowShown="0">
  <autoFilter ref="A2:E130" xr:uid="{EB067577-3D81-D244-B73F-3CC89BC642F7}"/>
  <sortState xmlns:xlrd2="http://schemas.microsoft.com/office/spreadsheetml/2017/richdata2" ref="A3:E126">
    <sortCondition ref="B2:B126"/>
  </sortState>
  <tableColumns count="5">
    <tableColumn id="1" xr3:uid="{EADB5C17-1C45-9A4F-86EC-70505ADF38E5}" name="name w/o location"/>
    <tableColumn id="2" xr3:uid="{A82B8F21-B8B4-2340-A999-289EBC5D43D2}" name="suggested category"/>
    <tableColumn id="3" xr3:uid="{53AE3CC5-E3BC-B240-B8D0-AC526F34C808}" name="MW (g/mol)"/>
    <tableColumn id="4" xr3:uid="{7A6FBF56-E4B6-3742-B4A0-C954C0216176}" name="MW for biomass normalization (g/mol)">
      <calculatedColumnFormula>IF(IFERROR(MATCH(metaboliteInfo[[#This Row],[name w/o location]],{"atp","ctp","gtp","utp","datp","dctp","dgtp","dttp"},0),0)&gt;0,metaboliteInfo[[#This Row],[MW (g/mol)]]-174.951262,metaboliteInfo[[#This Row],[MW (g/mol)]])</calculatedColumnFormula>
    </tableColumn>
    <tableColumn id="5" xr3:uid="{FFA33068-BEF2-5E4E-BBCD-27B72E597F93}" name="comments"/>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7" dT="2023-08-18T18:12:57.10" personId="{3BB1E4B7-8A84-1743-AB99-6952E2C74C20}" id="{83AF65BA-0329-A740-9A21-DB773FBCEB39}">
    <text>ATP maintenance parts only</text>
  </threadedComment>
  <threadedComment ref="I18" dT="2023-10-31T17:52:36.86" personId="{3BB1E4B7-8A84-1743-AB99-6952E2C74C20}" id="{B75AAA8E-D6BD-EB4A-B3F7-0458980F25BB}">
    <text>adp_c coeff in biomass rxn</text>
  </threadedComment>
  <threadedComment ref="D38" dT="2023-06-07T20:05:45.31" personId="{3BB1E4B7-8A84-1743-AB99-6952E2C74C20}" id="{5FEC585E-804B-E743-8B00-6526D31100FB}">
    <text>The coefficient is in mmol / gDW, which is used in the genome-scale metabolic model.</text>
  </threadedComment>
  <threadedComment ref="G38" dT="2023-06-07T20:05:57.40" personId="{3BB1E4B7-8A84-1743-AB99-6952E2C74C20}" id="{EFCFE04D-3101-6F4B-B9E0-D492203CFC19}">
    <text>%wt. in macro means the mass fraction of that metabolite in the macromolecule group. It could be calculated from all coefficients of all metabolites in a group, with inputs of MW too.</text>
  </threadedComment>
</ThreadedComments>
</file>

<file path=xl/threadedComments/threadedComment2.xml><?xml version="1.0" encoding="utf-8"?>
<ThreadedComments xmlns="http://schemas.microsoft.com/office/spreadsheetml/2018/threadedcomments" xmlns:x="http://schemas.openxmlformats.org/spreadsheetml/2006/main">
  <threadedComment ref="B17" dT="2023-08-18T18:12:57.10" personId="{3BB1E4B7-8A84-1743-AB99-6952E2C74C20}" id="{588E26EE-2783-0C4D-AB15-53230D2D9F7B}">
    <text>ATP maintenance parts only</text>
  </threadedComment>
  <threadedComment ref="D38" dT="2023-06-07T20:05:45.31" personId="{3BB1E4B7-8A84-1743-AB99-6952E2C74C20}" id="{2064E868-9671-F94B-9AE7-8597BB9D5473}">
    <text>The coefficient is in mmol / gDW, which is used in the genome-scale metabolic model.</text>
  </threadedComment>
  <threadedComment ref="G38" dT="2023-06-07T20:05:57.40" personId="{3BB1E4B7-8A84-1743-AB99-6952E2C74C20}" id="{5C11CA82-5194-7B40-B644-8D1E2B97793B}">
    <text>%wt. in macro means the mass fraction of that metabolite in the macromolecule group. It could be calculated from all coefficients of all metabolites in a group, with inputs of MW too.</text>
  </threadedComment>
</ThreadedComments>
</file>

<file path=xl/threadedComments/threadedComment3.xml><?xml version="1.0" encoding="utf-8"?>
<ThreadedComments xmlns="http://schemas.microsoft.com/office/spreadsheetml/2018/threadedcomments" xmlns:x="http://schemas.openxmlformats.org/spreadsheetml/2006/main">
  <threadedComment ref="L5" dT="2024-07-01T19:12:55.25" personId="{3BB1E4B7-8A84-1743-AB99-6952E2C74C20}" id="{BED0DDA7-5EAB-944A-BFB2-D069D2613689}">
    <text>Currently rounds all coefficients to 6 decimals; in the future, could consider scientific notation (e.g., 1E-6) if I get extra time, since GAMS does support it.</text>
  </threadedComment>
</ThreadedComments>
</file>

<file path=xl/threadedComments/threadedComment4.xml><?xml version="1.0" encoding="utf-8"?>
<ThreadedComments xmlns="http://schemas.microsoft.com/office/spreadsheetml/2018/threadedcomments" xmlns:x="http://schemas.openxmlformats.org/spreadsheetml/2006/main">
  <threadedComment ref="L5" dT="2024-07-01T19:12:55.25" personId="{3BB1E4B7-8A84-1743-AB99-6952E2C74C20}" id="{88232FAF-A497-1D45-8E1A-FD7F11E99DA3}">
    <text>Currently rounds all coefficients to 6 decimals; in the future, could consider scientific notation (e.g., 1E-6) if I get extra time, since GAMS does support it.</text>
  </threadedComment>
  <threadedComment ref="S5" dT="2024-07-03T21:40:35.33" personId="{3BB1E4B7-8A84-1743-AB99-6952E2C74C20}" id="{BE4BCEFB-C21C-3346-8A41-7178BAAC9AD4}">
    <text>Assume same as C-lim since no data provided</text>
  </threadedComment>
</ThreadedComments>
</file>

<file path=xl/threadedComments/threadedComment5.xml><?xml version="1.0" encoding="utf-8"?>
<ThreadedComments xmlns="http://schemas.microsoft.com/office/spreadsheetml/2018/threadedcomments" xmlns:x="http://schemas.openxmlformats.org/spreadsheetml/2006/main">
  <threadedComment ref="L5" dT="2024-07-01T19:12:55.25" personId="{3BB1E4B7-8A84-1743-AB99-6952E2C74C20}" id="{1E1ABFE0-B41F-7B44-B976-0FA69C8AF4A3}">
    <text>Currently rounds all coefficients to 6 decimals; in the future, could consider scientific notation (e.g., 1E-6) if I get extra time, since GAMS does support it.</text>
  </threadedComment>
  <threadedComment ref="S5" dT="2024-07-03T21:40:35.33" personId="{3BB1E4B7-8A84-1743-AB99-6952E2C74C20}" id="{8873CB51-46BE-A140-B01C-415554D867F9}">
    <text>Assume same as C-lim since no data provided</text>
  </threadedComment>
</ThreadedComments>
</file>

<file path=xl/threadedComments/threadedComment6.xml><?xml version="1.0" encoding="utf-8"?>
<ThreadedComments xmlns="http://schemas.microsoft.com/office/spreadsheetml/2018/threadedcomments" xmlns:x="http://schemas.openxmlformats.org/spreadsheetml/2006/main">
  <threadedComment ref="L5" dT="2024-07-01T19:12:55.25" personId="{3BB1E4B7-8A84-1743-AB99-6952E2C74C20}" id="{2BE2D0D0-FEAB-9848-BDD0-4B6074FF5C80}">
    <text>Currently rounds all coefficients to 6 decimals; in the future, could consider scientific notation (e.g., 1E-6) if I get extra time, since GAMS does support it.</text>
  </threadedComment>
  <threadedComment ref="S5" dT="2024-07-03T21:40:35.33" personId="{3BB1E4B7-8A84-1743-AB99-6952E2C74C20}" id="{00F33E93-90F7-2343-9D01-5E03D7C6E3E4}">
    <text>Assume same as C-lim since no data provided</text>
  </threadedComment>
</ThreadedComments>
</file>

<file path=xl/threadedComments/threadedComment7.xml><?xml version="1.0" encoding="utf-8"?>
<ThreadedComments xmlns="http://schemas.microsoft.com/office/spreadsheetml/2018/threadedcomments" xmlns:x="http://schemas.openxmlformats.org/spreadsheetml/2006/main">
  <threadedComment ref="L5" dT="2024-07-01T19:12:55.25" personId="{3BB1E4B7-8A84-1743-AB99-6952E2C74C20}" id="{09592385-E8CD-E74E-A0A1-45A26AAE9FA0}">
    <text>Currently rounds all coefficients to 6 decimals; in the future, could consider scientific notation (e.g., 1E-6) if I get extra time, since GAMS does support it.</text>
  </threadedComment>
  <threadedComment ref="S5" dT="2024-07-03T21:40:35.33" personId="{3BB1E4B7-8A84-1743-AB99-6952E2C74C20}" id="{9D72716E-09CD-314C-BB06-EC46B246D419}">
    <text>Assume same as C-lim since no data provided</text>
  </threadedComment>
</ThreadedComments>
</file>

<file path=xl/threadedComments/threadedComment8.xml><?xml version="1.0" encoding="utf-8"?>
<ThreadedComments xmlns="http://schemas.microsoft.com/office/spreadsheetml/2018/threadedcomments" xmlns:x="http://schemas.openxmlformats.org/spreadsheetml/2006/main">
  <threadedComment ref="L5" dT="2024-07-01T19:12:55.25" personId="{3BB1E4B7-8A84-1743-AB99-6952E2C74C20}" id="{9B3379A3-2198-7844-A33A-0C4AF7BC4E0A}">
    <text>Currently rounds all coefficients to 6 decimals; in the future, could consider scientific notation (e.g., 1E-6) if I get extra time, since GAMS does support it.</text>
  </threadedComment>
</ThreadedComments>
</file>

<file path=xl/threadedComments/threadedComment9.xml><?xml version="1.0" encoding="utf-8"?>
<ThreadedComments xmlns="http://schemas.microsoft.com/office/spreadsheetml/2018/threadedcomments" xmlns:x="http://schemas.openxmlformats.org/spreadsheetml/2006/main">
  <threadedComment ref="L5" dT="2024-07-01T19:12:55.25" personId="{3BB1E4B7-8A84-1743-AB99-6952E2C74C20}" id="{513F4EDE-85E5-6C4C-8008-768DE5C82000}">
    <text>Currently rounds all coefficients to 6 decimals; in the future, could consider scientific notation (e.g., 1E-6) if I get extra time, since GAMS does support it.</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4-07-01T19:12:55.25" personId="{3BB1E4B7-8A84-1743-AB99-6952E2C74C20}" id="{81A9A942-1CA0-5647-A884-A45A85CD4B1B}">
    <text>Currently rounds all coefficients to 6 decimals; in the future, could consider scientific notation (e.g., 1E-6) if I get extra time, since GAMS does support it.</text>
  </threadedComment>
</ThreadedComments>
</file>

<file path=xl/threadedComments/threadedComment11.xml><?xml version="1.0" encoding="utf-8"?>
<ThreadedComments xmlns="http://schemas.microsoft.com/office/spreadsheetml/2018/threadedcomments" xmlns:x="http://schemas.openxmlformats.org/spreadsheetml/2006/main">
  <threadedComment ref="L5" dT="2024-07-01T19:12:55.25" personId="{3BB1E4B7-8A84-1743-AB99-6952E2C74C20}" id="{BF075CAA-AF75-B34F-98F6-534DF04F3D7B}">
    <text>Currently rounds all coefficients to 6 decimals; in the future, could consider scientific notation (e.g., 1E-6) if I get extra time, since GAMS does support it.</text>
  </threadedComment>
</ThreadedComments>
</file>

<file path=xl/threadedComments/threadedComment12.xml><?xml version="1.0" encoding="utf-8"?>
<ThreadedComments xmlns="http://schemas.microsoft.com/office/spreadsheetml/2018/threadedcomments" xmlns:x="http://schemas.openxmlformats.org/spreadsheetml/2006/main">
  <threadedComment ref="L5" dT="2024-07-01T19:12:55.25" personId="{3BB1E4B7-8A84-1743-AB99-6952E2C74C20}" id="{A831B267-E64B-EC41-B266-6FAA8ACB1D42}">
    <text>Currently rounds all coefficients to 6 decimals; in the future, could consider scientific notation (e.g., 1E-6) if I get extra time, since GAMS does support it.</text>
  </threadedComment>
</ThreadedComments>
</file>

<file path=xl/threadedComments/threadedComment13.xml><?xml version="1.0" encoding="utf-8"?>
<ThreadedComments xmlns="http://schemas.microsoft.com/office/spreadsheetml/2018/threadedcomments" xmlns:x="http://schemas.openxmlformats.org/spreadsheetml/2006/main">
  <threadedComment ref="A3" dT="2024-03-18T21:25:50.00" personId="{F9DA0C21-F771-4789-8D47-44E5E3ADA0F2}" id="{D434AE95-52A3-BD44-AA7B-698B1BBB8E4A}">
    <text>Calculated from sheet below</text>
  </threadedComment>
  <threadedComment ref="B18" dT="2023-08-18T18:12:57.10" personId="{3BB1E4B7-8A84-1743-AB99-6952E2C74C20}" id="{5DA37DFF-6DAA-254D-AAE7-EC948B8011AE}">
    <text>ATP maintenance parts only</text>
  </threadedComment>
  <threadedComment ref="I19" dT="2023-10-31T17:52:36.86" personId="{3BB1E4B7-8A84-1743-AB99-6952E2C74C20}" id="{92D48551-15D6-3F4C-90A9-36643CCF3316}">
    <text>adp_c coeff in biomass rxn</text>
  </threadedComment>
  <threadedComment ref="D38" dT="2023-06-07T20:05:45.31" personId="{3BB1E4B7-8A84-1743-AB99-6952E2C74C20}" id="{240C8D44-5D16-1D40-A0E7-92DB42E51A66}">
    <text>The coefficient is in mmol / gDW, which is used in the genome-scale metabolic model.</text>
  </threadedComment>
  <threadedComment ref="G38" dT="2023-06-07T20:05:57.40" personId="{3BB1E4B7-8A84-1743-AB99-6952E2C74C20}" id="{0EB19BD5-0CEF-F542-BB62-B44EE77CA4C8}">
    <text>%wt. in macro means the mass fraction of that metabolite in the macromolecule group. It could be calculated from all coefficients of all metabolites in a group, with inputs of MW too.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3.vm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4.vml"/><Relationship Id="rId6" Type="http://schemas.microsoft.com/office/2017/10/relationships/threadedComment" Target="../threadedComments/threadedComment4.xml"/><Relationship Id="rId5" Type="http://schemas.openxmlformats.org/officeDocument/2006/relationships/comments" Target="../comments4.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5.vml"/><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vmlDrawing" Target="../drawings/vmlDrawing6.vm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vmlDrawing" Target="../drawings/vmlDrawing7.vml"/><Relationship Id="rId6" Type="http://schemas.microsoft.com/office/2017/10/relationships/threadedComment" Target="../threadedComments/threadedComment7.xml"/><Relationship Id="rId5" Type="http://schemas.openxmlformats.org/officeDocument/2006/relationships/comments" Target="../comments7.xml"/><Relationship Id="rId4" Type="http://schemas.openxmlformats.org/officeDocument/2006/relationships/table" Target="../tables/table1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vmlDrawing" Target="../drawings/vmlDrawing8.vml"/><Relationship Id="rId6" Type="http://schemas.microsoft.com/office/2017/10/relationships/threadedComment" Target="../threadedComments/threadedComment8.xml"/><Relationship Id="rId5" Type="http://schemas.openxmlformats.org/officeDocument/2006/relationships/comments" Target="../comments8.xml"/><Relationship Id="rId4" Type="http://schemas.openxmlformats.org/officeDocument/2006/relationships/table" Target="../tables/table1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vmlDrawing" Target="../drawings/vmlDrawing9.vml"/><Relationship Id="rId6" Type="http://schemas.microsoft.com/office/2017/10/relationships/threadedComment" Target="../threadedComments/threadedComment9.xml"/><Relationship Id="rId5" Type="http://schemas.openxmlformats.org/officeDocument/2006/relationships/comments" Target="../comments9.xml"/><Relationship Id="rId4"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vmlDrawing" Target="../drawings/vmlDrawing10.vml"/><Relationship Id="rId6" Type="http://schemas.microsoft.com/office/2017/10/relationships/threadedComment" Target="../threadedComments/threadedComment10.xml"/><Relationship Id="rId5" Type="http://schemas.openxmlformats.org/officeDocument/2006/relationships/comments" Target="../comments10.xml"/><Relationship Id="rId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vmlDrawing" Target="../drawings/vmlDrawing11.vml"/><Relationship Id="rId6" Type="http://schemas.microsoft.com/office/2017/10/relationships/threadedComment" Target="../threadedComments/threadedComment11.xml"/><Relationship Id="rId5" Type="http://schemas.openxmlformats.org/officeDocument/2006/relationships/comments" Target="../comments11.xml"/><Relationship Id="rId4" Type="http://schemas.openxmlformats.org/officeDocument/2006/relationships/table" Target="../tables/table27.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vmlDrawing" Target="../drawings/vmlDrawing12.vml"/><Relationship Id="rId6" Type="http://schemas.microsoft.com/office/2017/10/relationships/threadedComment" Target="../threadedComments/threadedComment12.xml"/><Relationship Id="rId5" Type="http://schemas.openxmlformats.org/officeDocument/2006/relationships/comments" Target="../comments12.xml"/><Relationship Id="rId4" Type="http://schemas.openxmlformats.org/officeDocument/2006/relationships/table" Target="../tables/table3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2.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D66A3-DD94-4444-8C84-B0E430375999}">
  <sheetPr codeName="Sheet8"/>
  <dimension ref="A1:AD140"/>
  <sheetViews>
    <sheetView zoomScale="110" zoomScaleNormal="110" workbookViewId="0">
      <selection activeCell="D39" sqref="D39"/>
    </sheetView>
  </sheetViews>
  <sheetFormatPr baseColWidth="10" defaultColWidth="8.6640625" defaultRowHeight="13" x14ac:dyDescent="0.15"/>
  <cols>
    <col min="1" max="1" width="27" customWidth="1"/>
    <col min="2" max="2" width="42.5" customWidth="1"/>
    <col min="3" max="3" width="16.1640625" customWidth="1"/>
    <col min="4" max="4" width="11.33203125" customWidth="1"/>
    <col min="5" max="5" width="13.83203125" customWidth="1"/>
    <col min="6" max="6" width="9.1640625" customWidth="1"/>
    <col min="7" max="7" width="15.83203125" customWidth="1"/>
    <col min="8" max="8" width="31.83203125" customWidth="1"/>
    <col min="1015" max="1024" width="11.5" customWidth="1"/>
  </cols>
  <sheetData>
    <row r="1" spans="1:30" x14ac:dyDescent="0.15">
      <c r="A1" s="1" t="s">
        <v>14</v>
      </c>
      <c r="G1" s="111" t="s">
        <v>300</v>
      </c>
      <c r="H1" cm="1">
        <f t="array" ref="H1">SUMPRODUCT(_xlfn._xlws.FILTER(D:D,ISNUMBER(F:F)),_xlfn._xlws.FILTER(F:F+IF(ISNUMBER(I:I),I:I-F:F,0),ISNUMBER(F:F)))</f>
        <v>-1000.0000000000002</v>
      </c>
      <c r="AD1" t="str">
        <f>IF(AND(U1=Z1,W1=AB1),"",1)</f>
        <v/>
      </c>
    </row>
    <row r="2" spans="1:30" x14ac:dyDescent="0.15">
      <c r="A2" t="s">
        <v>195</v>
      </c>
      <c r="E2" s="1"/>
      <c r="F2" s="2"/>
      <c r="G2" s="111" t="s">
        <v>301</v>
      </c>
      <c r="H2" cm="1">
        <f t="array" ref="H2">SUMPRODUCT(_xlfn._xlws.FILTER(D:D,ISNUMBER(F:F)),_xlfn._xlws.FILTER(F:F,ISNUMBER(F:F)))</f>
        <v>-1042.9666599003303</v>
      </c>
      <c r="K2" s="3"/>
      <c r="AD2" t="str">
        <f t="shared" ref="AD2:AD67" si="0">IF(AND(U2=Z2,W2=AB2),"",1)</f>
        <v/>
      </c>
    </row>
    <row r="3" spans="1:30" x14ac:dyDescent="0.15">
      <c r="A3" s="139" t="s">
        <v>305</v>
      </c>
      <c r="B3" t="str" cm="1">
        <f t="array" ref="B3">_xlfn.LET(_xlpm.r,C39:D140,_xlpm.mets,_xlfn._xlws.FILTER(_xlpm.r,(_xlfn.CHOOSECOLS(_xlpm.r,1)&lt;&gt;"")*(_xlfn.CHOOSECOLS(_xlpm.r,1)&lt;&gt;"Metabolite")),_xlfn.TEXTJOIN(","&amp;CHAR(10),TRUE,CHAR(34)&amp;_xlfn.CHOOSECOLS(_xlpm.mets,1)&amp;CHAR(34)&amp;":"&amp;_xlfn.CHOOSECOLS(_xlpm.mets,2)))</f>
        <v>"gpianchorSC_r":-0.0169573628381942,
"G00006_c":-0.0154741300889119,
"oglycanSC_g":-0.0476990084944155,
"13BDglucan_c":-0.999258694252839,
"16BDglucan_en":-0.262963392146307,
"chtn_c":-0.0236249232454658,
"atp_c":-0.0403320025013045,
"ctp_c":-0.0704006313977131,
"gtp_c":-0.061686105462024,
"utp_c":-0.0369030987685274,
"epist_c":-0.102379990798541,
"tag_c":-0.0126224504356821,
"hdca_c":-0.000477109861478417,
"ocdca_c":-0.000317407815795265,
"ocdcea_c":-0.000582912466743505,
"linoea_c":-0.00121672996054852,
"linolen_c":-0.000326391055864942,
"docosa_c":-4.09236492063077E-05,
"ttcosa_c":-0.000251530721950965,
"pail_c":-0.0218951504631602,
"pc_c":-0.041089340078704,
"pe_c":-0.00992448400142238,
"ps_c":-0.00532207067239104,
"ipc_g":-0.0080659514447847,
"datp_c":-0.00708178758826228,
"dctp_c":-0.0110533778368452,
"dgtp_c":-0.0110533778368452,
"dttp_c":-0.00708178758826228,
"ca2_c":-0.00128360519217834,
"cu2_c":-0.000113787707549246,
"fe2_c":-0.000662763489585081,
"k_c":-0.602525874228967,
"mg2_c":-0.0634885501235516,
"mn2_c":-9.38249518388519E-05,
"zn2_c":-0.00157306514997905,
"thmpp_c":-9.98137785519701E-05,
"ribflv_c":-9.98137785519701E-05,
"fad_c":-9.98137785519701E-05,
"nad_c":-9.98137785519701E-05,
"nadp_c":-9.98137785519701E-05,
"coa_c":-9.98137785519701E-05,
"thf_c":-9.98137785519701E-05,
"amet_c":-9.98137785519701E-05,
"hemeA_c":-9.98137785519701E-05,
"btn_c":-9.98137785519701E-05,
"pydx5p_c":-9.98137785519701E-05,
"spmd_c":-9.98137785519701E-05,
"so4_c":-0.0311648560772816,
"pi_c":-0.105458155089804,
"alatrna_c":-0.385534712208126,
"argtrna_c":-0.152319818621448,
"asntrna_c":-0.183099393513519,
"asptrna_c":-0.183099393513519,
"cystrna_c":-0.00552469264285154,
"glntrna_c":-0.305429164231243,
"glutrna_c":-0.305429164231243,
"glytrna_c":-0.350809498649896,
"histrna_c":-0.0761599093107242,
"iletrna_c":-0.232426364736118,
"leutrna_c":-0.31608328695388,
"lystrna_c":-0.259259302824244,
"mettrna_c":-0.0449860699933729,
"phetrna_c":-0.148374179955289,
"protrna_c":-0.16652631372275,
"sertrna_c":-0.210327594164711,
"thrtrna_c":-0.219798923611508,
"trptrna_c":-0.0256501448122853,
"tyrtrna_c":-0.0773437007243506,
"valtrna_c":-0.289250348865754</v>
      </c>
      <c r="E3" s="1"/>
      <c r="F3" s="2"/>
      <c r="G3" s="3"/>
      <c r="AD3" t="str">
        <f t="shared" si="0"/>
        <v/>
      </c>
    </row>
    <row r="4" spans="1:30" x14ac:dyDescent="0.15">
      <c r="A4" s="1" t="s">
        <v>15</v>
      </c>
      <c r="B4" s="4"/>
      <c r="G4" s="3"/>
      <c r="AD4" t="str">
        <f t="shared" si="0"/>
        <v/>
      </c>
    </row>
    <row r="5" spans="1:30" x14ac:dyDescent="0.15">
      <c r="A5" s="1" t="s">
        <v>16</v>
      </c>
      <c r="AD5" t="str">
        <f t="shared" si="0"/>
        <v/>
      </c>
    </row>
    <row r="6" spans="1:30" x14ac:dyDescent="0.15">
      <c r="A6" t="s">
        <v>17</v>
      </c>
      <c r="B6" t="str">
        <f>_xlfn.CONCAT(E8:E16) &amp; _xlfn.CONCAT(E18:E22)</f>
        <v>0.432295738131812 BIO-varbiom + 0.327326243454854 BIO-carb + 0.0671443502849176 BIO-rna + 0.123036013066912 BIO-lipid + 0.0111710091751137 BIO-dna + 0.0253045152675893 BIO-metal + 0.000606553505123146 BIO-cofactor + 0.00299377710340947 BIO-so4 + 0.010121800010269 BIO-pi + 158.908348 MET-atp_c + 158.908348 MET-h2o_c --&gt; 158.908348 MET-adp_c + 158.908348 MET-pi_c + 158.908348 MET-h_c</v>
      </c>
      <c r="AD6" t="str">
        <f t="shared" si="0"/>
        <v/>
      </c>
    </row>
    <row r="7" spans="1:30" ht="14" thickBot="1" x14ac:dyDescent="0.2">
      <c r="B7" s="1" t="s">
        <v>18</v>
      </c>
      <c r="C7" s="1" t="s">
        <v>19</v>
      </c>
      <c r="D7" s="1" t="s">
        <v>20</v>
      </c>
      <c r="AD7" t="str">
        <f t="shared" si="0"/>
        <v/>
      </c>
    </row>
    <row r="8" spans="1:30" x14ac:dyDescent="0.15">
      <c r="B8" s="112" t="s">
        <v>21</v>
      </c>
      <c r="C8" s="135">
        <f>SUMPRODUCT(D121:D140,F121:F140)/1000</f>
        <v>-0.43229573813181205</v>
      </c>
      <c r="D8" s="114" t="s">
        <v>276</v>
      </c>
      <c r="E8" t="str">
        <f t="shared" ref="E8:E16" si="1">-C8 &amp; " " &amp; B8 &amp; " +" &amp; " "</f>
        <v xml:space="preserve">0.432295738131812 BIO-varbiom + </v>
      </c>
      <c r="AD8" t="str">
        <f>IF(AND(U8=Z8,W8=AB8),"",1)</f>
        <v/>
      </c>
    </row>
    <row r="9" spans="1:30" x14ac:dyDescent="0.15">
      <c r="B9" s="42" t="s">
        <v>274</v>
      </c>
      <c r="C9" s="136">
        <f>SUMPRODUCT(D39:D44,F39:F44)/1000</f>
        <v>-0.3273262434548535</v>
      </c>
      <c r="D9" s="115" t="s">
        <v>277</v>
      </c>
      <c r="E9" t="str">
        <f t="shared" si="1"/>
        <v xml:space="preserve">0.327326243454854 BIO-carb + </v>
      </c>
      <c r="AD9" t="str">
        <f t="shared" si="0"/>
        <v/>
      </c>
    </row>
    <row r="10" spans="1:30" x14ac:dyDescent="0.15">
      <c r="B10" s="104" t="s">
        <v>273</v>
      </c>
      <c r="C10" s="128">
        <f>SUMPRODUCT(D49:D52,I49:I52)/1000</f>
        <v>-6.7144350284917637E-2</v>
      </c>
      <c r="D10" s="113" t="s">
        <v>275</v>
      </c>
      <c r="E10" t="str">
        <f t="shared" si="1"/>
        <v xml:space="preserve">0.0671443502849176 BIO-rna + </v>
      </c>
      <c r="AD10" t="str">
        <f>IF(AND(U10=Z10,W10=AB10),"",1)</f>
        <v/>
      </c>
    </row>
    <row r="11" spans="1:30" x14ac:dyDescent="0.15">
      <c r="B11" s="5" t="s">
        <v>22</v>
      </c>
      <c r="C11" s="116">
        <f>SUMPRODUCT(D60:D73,F60:F73)/1000</f>
        <v>-0.1230360130669121</v>
      </c>
      <c r="D11" s="6" t="s">
        <v>23</v>
      </c>
      <c r="E11" t="str">
        <f t="shared" si="1"/>
        <v xml:space="preserve">0.123036013066912 BIO-lipid + </v>
      </c>
      <c r="AD11" t="str">
        <f t="shared" si="0"/>
        <v/>
      </c>
    </row>
    <row r="12" spans="1:30" x14ac:dyDescent="0.15">
      <c r="B12" s="7" t="s">
        <v>24</v>
      </c>
      <c r="C12" s="117">
        <f>SUMPRODUCT(D78:D81,I78:I81)/1000</f>
        <v>-1.1171009175113654E-2</v>
      </c>
      <c r="D12" s="8" t="s">
        <v>25</v>
      </c>
      <c r="E12" t="str">
        <f t="shared" si="1"/>
        <v xml:space="preserve">0.0111710091751137 BIO-dna + </v>
      </c>
      <c r="AD12" t="str">
        <f t="shared" si="0"/>
        <v/>
      </c>
    </row>
    <row r="13" spans="1:30" x14ac:dyDescent="0.15">
      <c r="B13" s="9" t="s">
        <v>26</v>
      </c>
      <c r="C13" s="30">
        <f>SUMPRODUCT(D86:D92,F86:F92)/1000</f>
        <v>-2.5304515267589336E-2</v>
      </c>
      <c r="D13" s="10" t="s">
        <v>27</v>
      </c>
      <c r="E13" t="str">
        <f t="shared" si="1"/>
        <v xml:space="preserve">0.0253045152675893 BIO-metal + </v>
      </c>
      <c r="AD13" t="str">
        <f t="shared" si="0"/>
        <v/>
      </c>
    </row>
    <row r="14" spans="1:30" x14ac:dyDescent="0.15">
      <c r="B14" s="11" t="s">
        <v>28</v>
      </c>
      <c r="C14" s="31">
        <f>SUMPRODUCT(D97:D108,F97:F108)/1000</f>
        <v>-6.065535051231458E-4</v>
      </c>
      <c r="D14" s="12" t="s">
        <v>29</v>
      </c>
      <c r="E14" t="str">
        <f t="shared" si="1"/>
        <v xml:space="preserve">0.000606553505123146 BIO-cofactor + </v>
      </c>
      <c r="AD14" t="str">
        <f t="shared" si="0"/>
        <v/>
      </c>
    </row>
    <row r="15" spans="1:30" ht="14" thickBot="1" x14ac:dyDescent="0.2">
      <c r="B15" s="13" t="s">
        <v>30</v>
      </c>
      <c r="C15" s="32">
        <f>SUMPRODUCT(D112,F112)/1000</f>
        <v>-2.9937771034094728E-3</v>
      </c>
      <c r="D15" s="14" t="s">
        <v>31</v>
      </c>
      <c r="E15" t="str">
        <f t="shared" si="1"/>
        <v xml:space="preserve">0.00299377710340947 BIO-so4 + </v>
      </c>
      <c r="AD15" t="str">
        <f t="shared" si="0"/>
        <v/>
      </c>
    </row>
    <row r="16" spans="1:30" ht="14" thickBot="1" x14ac:dyDescent="0.2">
      <c r="B16" s="15" t="s">
        <v>32</v>
      </c>
      <c r="C16" s="33">
        <f>SUMPRODUCT(D116,F116)/1000</f>
        <v>-1.0121800010268986E-2</v>
      </c>
      <c r="D16" s="16" t="s">
        <v>33</v>
      </c>
      <c r="E16" t="str">
        <f t="shared" si="1"/>
        <v xml:space="preserve">0.010121800010269 BIO-pi + </v>
      </c>
      <c r="H16" t="s">
        <v>34</v>
      </c>
      <c r="I16" s="37">
        <v>8.5</v>
      </c>
      <c r="AD16" t="str">
        <f t="shared" si="0"/>
        <v/>
      </c>
    </row>
    <row r="17" spans="1:30" ht="14" thickBot="1" x14ac:dyDescent="0.2">
      <c r="B17" s="1" t="s">
        <v>18</v>
      </c>
      <c r="C17" s="1" t="s">
        <v>35</v>
      </c>
      <c r="D17" s="1" t="s">
        <v>20</v>
      </c>
      <c r="I17" t="s">
        <v>36</v>
      </c>
      <c r="J17" t="s">
        <v>37</v>
      </c>
      <c r="AD17" t="str">
        <f t="shared" si="0"/>
        <v/>
      </c>
    </row>
    <row r="18" spans="1:30" x14ac:dyDescent="0.15">
      <c r="B18" s="17" t="s">
        <v>38</v>
      </c>
      <c r="C18" s="18">
        <f>-J18</f>
        <v>-158.90834799999999</v>
      </c>
      <c r="D18" s="19" t="s">
        <v>39</v>
      </c>
      <c r="E18" t="str">
        <f>-C18 &amp; " " &amp; B18 &amp; " +" &amp; " "</f>
        <v xml:space="preserve">158.908348 MET-atp_c + </v>
      </c>
      <c r="F18" s="1"/>
      <c r="G18" s="1"/>
      <c r="H18" t="s">
        <v>40</v>
      </c>
      <c r="I18" s="96">
        <v>167.40834799999999</v>
      </c>
      <c r="J18" s="95">
        <f>I18-$I$16</f>
        <v>158.90834799999999</v>
      </c>
      <c r="AD18" t="str">
        <f t="shared" si="0"/>
        <v/>
      </c>
    </row>
    <row r="19" spans="1:30" x14ac:dyDescent="0.15">
      <c r="B19" s="17" t="s">
        <v>41</v>
      </c>
      <c r="C19" s="18">
        <f>C18</f>
        <v>-158.90834799999999</v>
      </c>
      <c r="D19" s="17"/>
      <c r="E19" t="str">
        <f>-C19 &amp; " " &amp; B19 &amp; " --&gt; "</f>
        <v xml:space="preserve">158.908348 MET-h2o_c --&gt; </v>
      </c>
      <c r="H19" t="s">
        <v>42</v>
      </c>
      <c r="I19" s="97"/>
      <c r="J19" s="95">
        <f>I19-$I$16</f>
        <v>-8.5</v>
      </c>
      <c r="AD19" t="str">
        <f t="shared" si="0"/>
        <v/>
      </c>
    </row>
    <row r="20" spans="1:30" x14ac:dyDescent="0.15">
      <c r="B20" s="17" t="s">
        <v>43</v>
      </c>
      <c r="C20" s="18">
        <f>-C18</f>
        <v>158.90834799999999</v>
      </c>
      <c r="D20" s="17"/>
      <c r="E20" t="str">
        <f>C20 &amp; " " &amp; B20 &amp; " +" &amp; " "</f>
        <v xml:space="preserve">158.908348 MET-adp_c + </v>
      </c>
      <c r="H20" t="s">
        <v>44</v>
      </c>
      <c r="I20" s="97"/>
      <c r="J20" s="95">
        <f>I20-$I$16</f>
        <v>-8.5</v>
      </c>
      <c r="AD20" t="str">
        <f t="shared" si="0"/>
        <v/>
      </c>
    </row>
    <row r="21" spans="1:30" ht="14" thickBot="1" x14ac:dyDescent="0.2">
      <c r="B21" s="17" t="s">
        <v>45</v>
      </c>
      <c r="C21" s="18">
        <f>-C18</f>
        <v>158.90834799999999</v>
      </c>
      <c r="D21" s="17"/>
      <c r="E21" t="str">
        <f>C21 &amp; " " &amp; B21 &amp; " +" &amp; " "</f>
        <v xml:space="preserve">158.908348 MET-pi_c + </v>
      </c>
      <c r="H21" t="s">
        <v>46</v>
      </c>
      <c r="I21" s="98">
        <v>189.454734</v>
      </c>
      <c r="J21" s="95">
        <f>I21-$I$16</f>
        <v>180.954734</v>
      </c>
      <c r="AD21" t="str">
        <f t="shared" si="0"/>
        <v/>
      </c>
    </row>
    <row r="22" spans="1:30" x14ac:dyDescent="0.15">
      <c r="B22" s="17" t="s">
        <v>47</v>
      </c>
      <c r="C22" s="18">
        <f>-C18</f>
        <v>158.90834799999999</v>
      </c>
      <c r="D22" s="17"/>
      <c r="E22" t="str">
        <f>C22 &amp; " " &amp; B22</f>
        <v>158.908348 MET-h_c</v>
      </c>
      <c r="AD22" t="str">
        <f t="shared" si="0"/>
        <v/>
      </c>
    </row>
    <row r="23" spans="1:30" x14ac:dyDescent="0.15">
      <c r="C23" s="4"/>
      <c r="AD23" t="str">
        <f t="shared" si="0"/>
        <v/>
      </c>
    </row>
    <row r="24" spans="1:30" ht="14" thickBot="1" x14ac:dyDescent="0.2">
      <c r="A24" s="1" t="s">
        <v>48</v>
      </c>
      <c r="AD24" t="str">
        <f t="shared" si="0"/>
        <v/>
      </c>
    </row>
    <row r="25" spans="1:30" x14ac:dyDescent="0.15">
      <c r="A25" s="34" t="s">
        <v>49</v>
      </c>
      <c r="B25" s="34" t="str">
        <f>"BIO-prot --&gt; " &amp; $B$8</f>
        <v>BIO-prot --&gt; BIO-varbiom</v>
      </c>
      <c r="AD25" t="str">
        <f t="shared" si="0"/>
        <v/>
      </c>
    </row>
    <row r="26" spans="1:30" x14ac:dyDescent="0.15">
      <c r="A26" s="35" t="str">
        <f>IFERROR(IF(FIND("BIO-varbiom",B26),"BIOSYN-RNATOBIO",""),"Used only if BIO-varbiom included")</f>
        <v>Used only if BIO-varbiom included</v>
      </c>
      <c r="B26" s="35" t="str">
        <f>"BIO-rna --&gt; " &amp; $B$9</f>
        <v>BIO-rna --&gt; BIO-carb</v>
      </c>
      <c r="AD26" t="str">
        <f t="shared" si="0"/>
        <v/>
      </c>
    </row>
    <row r="27" spans="1:30" ht="14" thickBot="1" x14ac:dyDescent="0.2">
      <c r="A27" s="36" t="str">
        <f>IFERROR(IF(FIND("BIO-varbiom",B27),"BIOSYN-CARBTOBIO",""),"Used only if BIO-varbiom included")</f>
        <v>Used only if BIO-varbiom included</v>
      </c>
      <c r="B27" s="36" t="str">
        <f>"BIO-carb --&gt; " &amp; $B$9</f>
        <v>BIO-carb --&gt; BIO-carb</v>
      </c>
      <c r="AD27" t="str">
        <f t="shared" si="0"/>
        <v/>
      </c>
    </row>
    <row r="28" spans="1:30" x14ac:dyDescent="0.15">
      <c r="AD28" t="str">
        <f t="shared" si="0"/>
        <v/>
      </c>
    </row>
    <row r="29" spans="1:30" x14ac:dyDescent="0.15">
      <c r="A29" s="1" t="s">
        <v>52</v>
      </c>
      <c r="AD29" t="str">
        <f t="shared" si="0"/>
        <v/>
      </c>
    </row>
    <row r="30" spans="1:30" x14ac:dyDescent="0.15">
      <c r="A30" t="s">
        <v>53</v>
      </c>
      <c r="B30" t="s">
        <v>54</v>
      </c>
      <c r="AD30" t="str">
        <f t="shared" si="0"/>
        <v/>
      </c>
    </row>
    <row r="31" spans="1:30" x14ac:dyDescent="0.15">
      <c r="A31" t="s">
        <v>55</v>
      </c>
      <c r="B31" t="s">
        <v>56</v>
      </c>
      <c r="AD31" t="str">
        <f t="shared" si="0"/>
        <v/>
      </c>
    </row>
    <row r="32" spans="1:30" x14ac:dyDescent="0.15">
      <c r="A32" t="s">
        <v>57</v>
      </c>
      <c r="B32" t="s">
        <v>58</v>
      </c>
      <c r="AD32" t="str">
        <f t="shared" si="0"/>
        <v/>
      </c>
    </row>
    <row r="33" spans="1:30" x14ac:dyDescent="0.15">
      <c r="A33" t="s">
        <v>59</v>
      </c>
      <c r="B33" t="s">
        <v>60</v>
      </c>
      <c r="AD33" t="str">
        <f t="shared" si="0"/>
        <v/>
      </c>
    </row>
    <row r="34" spans="1:30" x14ac:dyDescent="0.15">
      <c r="A34" t="s">
        <v>61</v>
      </c>
      <c r="B34" t="s">
        <v>62</v>
      </c>
      <c r="AD34" t="str">
        <f t="shared" si="0"/>
        <v/>
      </c>
    </row>
    <row r="35" spans="1:30" x14ac:dyDescent="0.15">
      <c r="AD35" t="str">
        <f t="shared" si="0"/>
        <v/>
      </c>
    </row>
    <row r="36" spans="1:30" x14ac:dyDescent="0.15">
      <c r="A36" s="1" t="s">
        <v>63</v>
      </c>
      <c r="AD36" t="str">
        <f t="shared" si="0"/>
        <v/>
      </c>
    </row>
    <row r="37" spans="1:30" x14ac:dyDescent="0.15">
      <c r="A37" t="s">
        <v>64</v>
      </c>
      <c r="B37" t="str">
        <f>_xlfn.CONCAT(H39:H44) &amp; " --&gt; BIO-carb"</f>
        <v>0.118138 BIO-gpianchorSC_r + 0.123818 BIO-G00006_c + 0.118138 BIO-oglycanSC_g + 0.494981 BIO-13BDglucan_c + 0.130259 BIO-16BDglucan_en + 0.014666 BIO-chtn_c --&gt; BIO-carb</v>
      </c>
      <c r="AD37" t="str">
        <f t="shared" si="0"/>
        <v/>
      </c>
    </row>
    <row r="38" spans="1:30" ht="14" thickBot="1" x14ac:dyDescent="0.2">
      <c r="C38" s="1" t="s">
        <v>18</v>
      </c>
      <c r="D38" s="1" t="s">
        <v>65</v>
      </c>
      <c r="E38" s="1" t="s">
        <v>66</v>
      </c>
      <c r="F38" s="1" t="s">
        <v>67</v>
      </c>
      <c r="G38" s="1" t="s">
        <v>68</v>
      </c>
      <c r="AD38" t="str">
        <f t="shared" si="0"/>
        <v/>
      </c>
    </row>
    <row r="39" spans="1:30" x14ac:dyDescent="0.15">
      <c r="A39" s="34" t="s">
        <v>69</v>
      </c>
      <c r="B39" t="str">
        <f t="shared" ref="B39:B44" si="2">"MET-" &amp; C39 &amp; " --&gt; " &amp; ROUND(F39/1000,6) &amp; " BIO-" &amp;C39</f>
        <v>MET-gpianchorSC_r --&gt; 2.280413 BIO-gpianchorSC_r</v>
      </c>
      <c r="C39" s="38" t="s">
        <v>196</v>
      </c>
      <c r="D39" s="39">
        <v>-1.6957362838194195E-2</v>
      </c>
      <c r="E39" s="40" t="s">
        <v>200</v>
      </c>
      <c r="F39" s="48">
        <v>2280.41334042176</v>
      </c>
      <c r="G39" s="47">
        <f t="shared" ref="G39:G44" si="3">F39*D39/SUMPRODUCT($D$39:$D$44,$F$39:$F$44)</f>
        <v>0.11813839314085971</v>
      </c>
      <c r="H39" t="str">
        <f>ROUND(G39,6) &amp; " BIO-" &amp; C39 &amp; " + "</f>
        <v xml:space="preserve">0.118138 BIO-gpianchorSC_r + </v>
      </c>
      <c r="AD39" t="str">
        <f t="shared" si="0"/>
        <v/>
      </c>
    </row>
    <row r="40" spans="1:30" x14ac:dyDescent="0.15">
      <c r="A40" s="35" t="s">
        <v>70</v>
      </c>
      <c r="B40" t="str">
        <f t="shared" si="2"/>
        <v>MET-G00006_c --&gt; 2.619137 BIO-G00006_c</v>
      </c>
      <c r="C40" s="41" t="s">
        <v>197</v>
      </c>
      <c r="D40" s="42">
        <v>-1.547413008891192E-2</v>
      </c>
      <c r="E40" s="43" t="s">
        <v>201</v>
      </c>
      <c r="F40" s="49">
        <v>2619.1368040000002</v>
      </c>
      <c r="G40" s="47">
        <f t="shared" si="3"/>
        <v>0.12381794749476893</v>
      </c>
      <c r="H40" t="str">
        <f>ROUND(G40,6) &amp; " BIO-" &amp; C40 &amp; " + "</f>
        <v xml:space="preserve">0.123818 BIO-G00006_c + </v>
      </c>
      <c r="AD40" t="str">
        <f t="shared" si="0"/>
        <v/>
      </c>
    </row>
    <row r="41" spans="1:30" x14ac:dyDescent="0.15">
      <c r="A41" s="35" t="s">
        <v>72</v>
      </c>
      <c r="B41" t="str">
        <f t="shared" si="2"/>
        <v>MET-oglycanSC_g --&gt; 0.810703 BIO-oglycanSC_g</v>
      </c>
      <c r="C41" s="41" t="s">
        <v>198</v>
      </c>
      <c r="D41" s="42">
        <v>-4.7699008494415454E-2</v>
      </c>
      <c r="E41" s="43" t="s">
        <v>202</v>
      </c>
      <c r="F41" s="49">
        <v>810.70299999999997</v>
      </c>
      <c r="G41" s="47">
        <f t="shared" si="3"/>
        <v>0.1181381879903608</v>
      </c>
      <c r="H41" t="str">
        <f>ROUND(G41,6) &amp; " BIO-" &amp; C41 &amp; " + "</f>
        <v xml:space="preserve">0.118138 BIO-oglycanSC_g + </v>
      </c>
      <c r="AD41" t="str">
        <f t="shared" si="0"/>
        <v/>
      </c>
    </row>
    <row r="42" spans="1:30" x14ac:dyDescent="0.15">
      <c r="A42" s="35" t="s">
        <v>74</v>
      </c>
      <c r="B42" t="str">
        <f t="shared" si="2"/>
        <v>MET-13BDglucan_c --&gt; 0.162141 BIO-13BDglucan_c</v>
      </c>
      <c r="C42" s="41" t="s">
        <v>199</v>
      </c>
      <c r="D42" s="42">
        <v>-0.9992586942528392</v>
      </c>
      <c r="E42" s="43" t="s">
        <v>71</v>
      </c>
      <c r="F42" s="49">
        <v>162.14060000000001</v>
      </c>
      <c r="G42" s="47">
        <f t="shared" si="3"/>
        <v>0.49498140610811908</v>
      </c>
      <c r="H42" t="str">
        <f>ROUND(G42,6) &amp; " BIO-" &amp; C42 &amp; " + "</f>
        <v xml:space="preserve">0.494981 BIO-13BDglucan_c + </v>
      </c>
      <c r="AD42" t="str">
        <f t="shared" si="0"/>
        <v/>
      </c>
    </row>
    <row r="43" spans="1:30" x14ac:dyDescent="0.15">
      <c r="A43" s="35" t="s">
        <v>77</v>
      </c>
      <c r="B43" t="str">
        <f t="shared" si="2"/>
        <v>MET-16BDglucan_en --&gt; 0.162141 BIO-16BDglucan_en</v>
      </c>
      <c r="C43" s="41" t="s">
        <v>73</v>
      </c>
      <c r="D43" s="42">
        <v>-0.26296339214630721</v>
      </c>
      <c r="E43" s="43" t="s">
        <v>71</v>
      </c>
      <c r="F43" s="49">
        <v>162.14060000000001</v>
      </c>
      <c r="G43" s="47">
        <f t="shared" si="3"/>
        <v>0.13025855101202191</v>
      </c>
      <c r="H43" t="str">
        <f>ROUND(G43,6) &amp; " BIO-" &amp; C43 &amp; " + "</f>
        <v xml:space="preserve">0.130259 BIO-16BDglucan_en + </v>
      </c>
      <c r="AD43" t="str">
        <f t="shared" si="0"/>
        <v/>
      </c>
    </row>
    <row r="44" spans="1:30" ht="14" thickBot="1" x14ac:dyDescent="0.2">
      <c r="A44" s="36" t="s">
        <v>78</v>
      </c>
      <c r="B44" t="str">
        <f t="shared" si="2"/>
        <v>MET-chtn_c --&gt; 0.203193 BIO-chtn_c</v>
      </c>
      <c r="C44" s="44" t="s">
        <v>75</v>
      </c>
      <c r="D44" s="45">
        <v>-2.3624923245465796E-2</v>
      </c>
      <c r="E44" s="46" t="s">
        <v>76</v>
      </c>
      <c r="F44" s="50">
        <v>203.19252</v>
      </c>
      <c r="G44" s="47">
        <f t="shared" si="3"/>
        <v>1.4665514253869688E-2</v>
      </c>
      <c r="H44" t="str">
        <f>ROUND(G44,6) &amp; " BIO-" &amp; C44</f>
        <v>0.014666 BIO-chtn_c</v>
      </c>
      <c r="AD44" t="str">
        <f t="shared" si="0"/>
        <v/>
      </c>
    </row>
    <row r="45" spans="1:30" x14ac:dyDescent="0.15">
      <c r="D45" t="s">
        <v>302</v>
      </c>
      <c r="AD45" t="str">
        <f t="shared" si="0"/>
        <v/>
      </c>
    </row>
    <row r="46" spans="1:30" ht="14" thickBot="1" x14ac:dyDescent="0.2">
      <c r="A46" s="1" t="s">
        <v>79</v>
      </c>
      <c r="D46" t="s">
        <v>302</v>
      </c>
      <c r="AD46" t="str">
        <f t="shared" si="0"/>
        <v/>
      </c>
    </row>
    <row r="47" spans="1:30" ht="14" thickBot="1" x14ac:dyDescent="0.2">
      <c r="A47" t="s">
        <v>80</v>
      </c>
      <c r="B47" s="37" t="s">
        <v>81</v>
      </c>
      <c r="D47" t="s">
        <v>302</v>
      </c>
      <c r="AD47" t="str">
        <f t="shared" si="0"/>
        <v/>
      </c>
    </row>
    <row r="48" spans="1:30" ht="14" thickBot="1" x14ac:dyDescent="0.2">
      <c r="C48" s="1" t="s">
        <v>18</v>
      </c>
      <c r="D48" s="1" t="s">
        <v>65</v>
      </c>
      <c r="E48" s="1" t="s">
        <v>66</v>
      </c>
      <c r="F48" s="1" t="s">
        <v>67</v>
      </c>
      <c r="G48" s="1" t="s">
        <v>68</v>
      </c>
      <c r="I48" s="1" t="s">
        <v>82</v>
      </c>
      <c r="AD48" t="str">
        <f t="shared" si="0"/>
        <v/>
      </c>
    </row>
    <row r="49" spans="1:30" x14ac:dyDescent="0.15">
      <c r="A49" s="34" t="s">
        <v>83</v>
      </c>
      <c r="B49" t="str">
        <f>"MET-" &amp; C49 &amp; " --&gt; " &amp; ROUND(I49/1000,6) &amp; " BIO-" &amp; C49 &amp; " + MET-ppi_c"</f>
        <v>MET-atp_c --&gt; 0.328198 BIO-atp_c + MET-ppi_c</v>
      </c>
      <c r="C49" s="99" t="s">
        <v>84</v>
      </c>
      <c r="D49" s="100">
        <v>-4.0332002501304462E-2</v>
      </c>
      <c r="E49" s="101" t="s">
        <v>85</v>
      </c>
      <c r="F49" s="102">
        <v>503.14926300000002</v>
      </c>
      <c r="G49" s="20">
        <f>D49 * I49 / SUMPRODUCT($D$49:$D$52, $I$49:$I$52)</f>
        <v>0.19714067588838477</v>
      </c>
      <c r="H49" t="str">
        <f>ROUND(G49,6) &amp; " BIO-" &amp; C49 &amp; " + "</f>
        <v xml:space="preserve">0.197141 BIO-atp_c + </v>
      </c>
      <c r="I49" s="21">
        <f>F49 - 174.951262</f>
        <v>328.19800099999998</v>
      </c>
      <c r="AD49" t="str">
        <f t="shared" si="0"/>
        <v/>
      </c>
    </row>
    <row r="50" spans="1:30" x14ac:dyDescent="0.15">
      <c r="A50" s="35" t="s">
        <v>86</v>
      </c>
      <c r="B50" t="str">
        <f>"MET-" &amp; C50 &amp; " --&gt; " &amp; ROUND(I50/1000,6) &amp; " BIO-" &amp; C50 &amp; " + MET-ppi_c"</f>
        <v>MET-ctp_c --&gt; 0.304173 BIO-ctp_c + MET-ppi_c</v>
      </c>
      <c r="C50" s="103" t="s">
        <v>87</v>
      </c>
      <c r="D50" s="104">
        <v>-7.040063139771309E-2</v>
      </c>
      <c r="E50" s="105" t="s">
        <v>88</v>
      </c>
      <c r="F50" s="106">
        <v>479.12456300000002</v>
      </c>
      <c r="G50" s="20">
        <f>D50 * I50 / SUMPRODUCT($D$49:$D$52, $I$49:$I$52)</f>
        <v>0.31892471002935263</v>
      </c>
      <c r="H50" t="str">
        <f>ROUND(G50,6) &amp; " BIO-" &amp; C50 &amp; " + "</f>
        <v xml:space="preserve">0.318925 BIO-ctp_c + </v>
      </c>
      <c r="I50" s="21">
        <f>F50 - 174.951262</f>
        <v>304.17330100000004</v>
      </c>
      <c r="AD50" t="str">
        <f t="shared" si="0"/>
        <v/>
      </c>
    </row>
    <row r="51" spans="1:30" x14ac:dyDescent="0.15">
      <c r="A51" s="35" t="s">
        <v>89</v>
      </c>
      <c r="B51" t="str">
        <f>"MET-" &amp; C51 &amp; " --&gt; " &amp; ROUND(I51/1000,6) &amp; " BIO-" &amp; C51 &amp; " + MET-ppi_c"</f>
        <v>MET-gtp_c --&gt; 0.344197 BIO-gtp_c + MET-ppi_c</v>
      </c>
      <c r="C51" s="103" t="s">
        <v>90</v>
      </c>
      <c r="D51" s="104">
        <v>-6.1686105462023993E-2</v>
      </c>
      <c r="E51" s="105" t="s">
        <v>91</v>
      </c>
      <c r="F51" s="106">
        <v>519.14866300000006</v>
      </c>
      <c r="G51" s="20">
        <f>D51 * I51 / SUMPRODUCT($D$49:$D$52, $I$49:$I$52)</f>
        <v>0.3162171811588721</v>
      </c>
      <c r="H51" t="str">
        <f>ROUND(G51,6) &amp; " BIO-" &amp; C51 &amp; " + "</f>
        <v xml:space="preserve">0.316217 BIO-gtp_c + </v>
      </c>
      <c r="I51" s="21">
        <f>F51 - 174.951262</f>
        <v>344.19740100000001</v>
      </c>
      <c r="AD51" t="str">
        <f t="shared" si="0"/>
        <v/>
      </c>
    </row>
    <row r="52" spans="1:30" ht="14" thickBot="1" x14ac:dyDescent="0.2">
      <c r="A52" s="35" t="s">
        <v>92</v>
      </c>
      <c r="B52" t="str">
        <f>"MET-" &amp; C52 &amp; " --&gt; " &amp; ROUND(I52/1000,6) &amp; " BIO-" &amp; C52 &amp; " + MET-ppi_c"</f>
        <v>MET-utp_c --&gt; 0.305158 BIO-utp_c + MET-ppi_c</v>
      </c>
      <c r="C52" s="107" t="s">
        <v>93</v>
      </c>
      <c r="D52" s="108">
        <v>-3.6903098768527431E-2</v>
      </c>
      <c r="E52" s="109" t="s">
        <v>94</v>
      </c>
      <c r="F52" s="110">
        <v>480.10932300000002</v>
      </c>
      <c r="G52" s="20">
        <f>D52 * I52 / SUMPRODUCT($D$49:$D$52, $I$49:$I$52)</f>
        <v>0.16771743292339064</v>
      </c>
      <c r="H52" t="str">
        <f>ROUND(G52,6) &amp; " BIO-" &amp; C52</f>
        <v>0.167717 BIO-utp_c</v>
      </c>
      <c r="I52" s="21">
        <f>F52 - 174.951262</f>
        <v>305.15806099999998</v>
      </c>
      <c r="AD52" t="str">
        <f t="shared" si="0"/>
        <v/>
      </c>
    </row>
    <row r="53" spans="1:30" x14ac:dyDescent="0.15">
      <c r="A53" s="35" t="s">
        <v>95</v>
      </c>
      <c r="B53" t="str">
        <f>_xlfn.CONCAT(H49:H52) &amp; " --&gt; BIO-trna"</f>
        <v>0.197141 BIO-atp_c + 0.318925 BIO-ctp_c + 0.316217 BIO-gtp_c + 0.167717 BIO-utp_c --&gt; BIO-trna</v>
      </c>
      <c r="D53" t="s">
        <v>302</v>
      </c>
      <c r="G53" s="22"/>
      <c r="AD53" t="str">
        <f t="shared" si="0"/>
        <v/>
      </c>
    </row>
    <row r="54" spans="1:30" x14ac:dyDescent="0.15">
      <c r="A54" s="35" t="s">
        <v>96</v>
      </c>
      <c r="B54" t="str">
        <f>_xlfn.CONCAT(H49:H52) &amp; " --&gt; BIO-mrna"</f>
        <v>0.197141 BIO-atp_c + 0.318925 BIO-ctp_c + 0.316217 BIO-gtp_c + 0.167717 BIO-utp_c --&gt; BIO-mrna</v>
      </c>
      <c r="D54" t="s">
        <v>302</v>
      </c>
      <c r="AD54" t="str">
        <f t="shared" si="0"/>
        <v/>
      </c>
    </row>
    <row r="55" spans="1:30" ht="14" thickBot="1" x14ac:dyDescent="0.2">
      <c r="A55" s="36" t="s">
        <v>97</v>
      </c>
      <c r="B55" t="str">
        <f>_xlfn.CONCAT(H49:H52) &amp; " --&gt; BIO-rrna"</f>
        <v>0.197141 BIO-atp_c + 0.318925 BIO-ctp_c + 0.316217 BIO-gtp_c + 0.167717 BIO-utp_c --&gt; BIO-rrna</v>
      </c>
      <c r="D55" t="s">
        <v>302</v>
      </c>
      <c r="AD55" t="str">
        <f t="shared" si="0"/>
        <v/>
      </c>
    </row>
    <row r="56" spans="1:30" x14ac:dyDescent="0.15">
      <c r="D56" t="s">
        <v>302</v>
      </c>
      <c r="AD56" t="str">
        <f t="shared" si="0"/>
        <v/>
      </c>
    </row>
    <row r="57" spans="1:30" x14ac:dyDescent="0.15">
      <c r="A57" s="1" t="s">
        <v>98</v>
      </c>
      <c r="D57" t="s">
        <v>302</v>
      </c>
      <c r="AD57" t="str">
        <f t="shared" si="0"/>
        <v/>
      </c>
    </row>
    <row r="58" spans="1:30" x14ac:dyDescent="0.15">
      <c r="A58" t="s">
        <v>99</v>
      </c>
      <c r="B58" t="str">
        <f>_xlfn.CONCAT(H60:H73) &amp; " --&gt; BIO-lipid"</f>
        <v>0.331734 BIO-epist_c + 0.090846 BIO-tag_c + 0.00099 BIO-hdca_c + 0.000731 BIO-ocdca_c + 0.001333 BIO-ocdcea_c + 0.002763 BIO-linoea_c + 0.000736 BIO-linolen_c + 0.000113 BIO-docosa_c + 0.000752 BIO-ttcosa_c + 0.153426 BIO-pail_c + 0.262549 BIO-pc_c + 0.06002 BIO-pe_c + 0.034003 BIO-ps_c + 0.060003 BIO-ipc_g --&gt; BIO-lipid</v>
      </c>
      <c r="D58" t="s">
        <v>302</v>
      </c>
      <c r="AD58" t="str">
        <f t="shared" si="0"/>
        <v/>
      </c>
    </row>
    <row r="59" spans="1:30" ht="14" thickBot="1" x14ac:dyDescent="0.2">
      <c r="C59" s="1" t="s">
        <v>18</v>
      </c>
      <c r="D59" s="1" t="s">
        <v>65</v>
      </c>
      <c r="E59" s="1" t="s">
        <v>66</v>
      </c>
      <c r="F59" s="1" t="s">
        <v>67</v>
      </c>
      <c r="G59" s="1" t="s">
        <v>68</v>
      </c>
      <c r="AD59" t="str">
        <f t="shared" si="0"/>
        <v/>
      </c>
    </row>
    <row r="60" spans="1:30" x14ac:dyDescent="0.15">
      <c r="A60" s="34" t="s">
        <v>100</v>
      </c>
      <c r="B60" t="str">
        <f t="shared" ref="B60:B73" si="4">"MET-" &amp; C60 &amp; " --&gt; " &amp; ROUND(F60/1000,6) &amp; " BIO-" &amp;C60</f>
        <v>MET-epist_c --&gt; 0.398664 BIO-epist_c</v>
      </c>
      <c r="C60" s="51" t="s">
        <v>203</v>
      </c>
      <c r="D60" s="52">
        <v>-0.10237999079854122</v>
      </c>
      <c r="E60" s="53" t="s">
        <v>208</v>
      </c>
      <c r="F60" s="54">
        <v>398.66424000000001</v>
      </c>
      <c r="G60" s="23">
        <f>F60*D60/SUMPRODUCT($D$60:$D$73,$F$60:$F$73)</f>
        <v>0.3317341013050415</v>
      </c>
      <c r="H60" t="str">
        <f t="shared" ref="H60:H72" si="5">ROUND(G60,6) &amp; " BIO-" &amp; C60 &amp; " + "</f>
        <v xml:space="preserve">0.331734 BIO-epist_c + </v>
      </c>
      <c r="AD60" t="str">
        <f t="shared" si="0"/>
        <v/>
      </c>
    </row>
    <row r="61" spans="1:30" x14ac:dyDescent="0.15">
      <c r="A61" s="35" t="s">
        <v>101</v>
      </c>
      <c r="B61" t="str">
        <f t="shared" si="4"/>
        <v>MET-tag_c --&gt; 0.885513 BIO-tag_c</v>
      </c>
      <c r="C61" s="55" t="s">
        <v>122</v>
      </c>
      <c r="D61" s="56">
        <v>-1.2622450435682135E-2</v>
      </c>
      <c r="E61" s="5" t="s">
        <v>123</v>
      </c>
      <c r="F61" s="57">
        <v>885.51292863263996</v>
      </c>
      <c r="G61" s="23">
        <f t="shared" ref="G61:G73" si="6">F61*D61/SUMPRODUCT($D$60:$D$73,$F$60:$F$73)</f>
        <v>9.0846108982274354E-2</v>
      </c>
      <c r="H61" t="str">
        <f t="shared" si="5"/>
        <v xml:space="preserve">0.090846 BIO-tag_c + </v>
      </c>
      <c r="AD61" t="str">
        <f t="shared" si="0"/>
        <v/>
      </c>
    </row>
    <row r="62" spans="1:30" x14ac:dyDescent="0.15">
      <c r="A62" s="35" t="s">
        <v>102</v>
      </c>
      <c r="B62" t="str">
        <f t="shared" si="4"/>
        <v>MET-hdca_c --&gt; 0.255415 BIO-hdca_c</v>
      </c>
      <c r="C62" s="55" t="s">
        <v>104</v>
      </c>
      <c r="D62" s="56">
        <v>-4.7710986147841695E-4</v>
      </c>
      <c r="E62" s="5" t="s">
        <v>105</v>
      </c>
      <c r="F62" s="57">
        <v>255.41533999999999</v>
      </c>
      <c r="G62" s="23">
        <f t="shared" si="6"/>
        <v>9.9045128697879364E-4</v>
      </c>
      <c r="H62" t="str">
        <f t="shared" si="5"/>
        <v xml:space="preserve">0.00099 BIO-hdca_c + </v>
      </c>
      <c r="AD62" t="str">
        <f t="shared" si="0"/>
        <v/>
      </c>
    </row>
    <row r="63" spans="1:30" x14ac:dyDescent="0.15">
      <c r="A63" s="35" t="s">
        <v>103</v>
      </c>
      <c r="B63" t="str">
        <f t="shared" si="4"/>
        <v>MET-ocdca_c --&gt; 0.283469 BIO-ocdca_c</v>
      </c>
      <c r="C63" s="55" t="s">
        <v>108</v>
      </c>
      <c r="D63" s="56">
        <v>-3.174078157952648E-4</v>
      </c>
      <c r="E63" s="5" t="s">
        <v>109</v>
      </c>
      <c r="F63" s="57">
        <v>283.46850000000001</v>
      </c>
      <c r="G63" s="23">
        <f t="shared" si="6"/>
        <v>7.312909057190256E-4</v>
      </c>
      <c r="H63" t="str">
        <f t="shared" si="5"/>
        <v xml:space="preserve">0.000731 BIO-ocdca_c + </v>
      </c>
      <c r="AD63" t="str">
        <f t="shared" si="0"/>
        <v/>
      </c>
    </row>
    <row r="64" spans="1:30" x14ac:dyDescent="0.15">
      <c r="A64" s="35" t="s">
        <v>106</v>
      </c>
      <c r="B64" t="str">
        <f t="shared" si="4"/>
        <v>MET-ocdcea_c --&gt; 0.281453 BIO-ocdcea_c</v>
      </c>
      <c r="C64" s="55" t="s">
        <v>111</v>
      </c>
      <c r="D64" s="56">
        <v>-5.8291246674350517E-4</v>
      </c>
      <c r="E64" s="5" t="s">
        <v>112</v>
      </c>
      <c r="F64" s="57">
        <v>281.45262000000002</v>
      </c>
      <c r="G64" s="23">
        <f t="shared" si="6"/>
        <v>1.3334489382909257E-3</v>
      </c>
      <c r="H64" t="str">
        <f t="shared" si="5"/>
        <v xml:space="preserve">0.001333 BIO-ocdcea_c + </v>
      </c>
      <c r="AD64" t="str">
        <f t="shared" si="0"/>
        <v/>
      </c>
    </row>
    <row r="65" spans="1:30" x14ac:dyDescent="0.15">
      <c r="A65" s="35" t="s">
        <v>107</v>
      </c>
      <c r="B65" t="str">
        <f t="shared" si="4"/>
        <v>MET-linoea_c --&gt; 0.279437 BIO-linoea_c</v>
      </c>
      <c r="C65" s="55" t="s">
        <v>204</v>
      </c>
      <c r="D65" s="56">
        <v>-1.2167299605485152E-3</v>
      </c>
      <c r="E65" s="5" t="s">
        <v>209</v>
      </c>
      <c r="F65" s="57">
        <v>279.43673999999999</v>
      </c>
      <c r="G65" s="23">
        <f t="shared" si="6"/>
        <v>2.763410851513045E-3</v>
      </c>
      <c r="H65" t="str">
        <f t="shared" si="5"/>
        <v xml:space="preserve">0.002763 BIO-linoea_c + </v>
      </c>
      <c r="AD65" t="str">
        <f t="shared" si="0"/>
        <v/>
      </c>
    </row>
    <row r="66" spans="1:30" x14ac:dyDescent="0.15">
      <c r="A66" s="35" t="s">
        <v>110</v>
      </c>
      <c r="B66" t="str">
        <f t="shared" si="4"/>
        <v>MET-linolen_c --&gt; 0.277421 BIO-linolen_c</v>
      </c>
      <c r="C66" s="55" t="s">
        <v>205</v>
      </c>
      <c r="D66" s="56">
        <v>-3.2639105586494211E-4</v>
      </c>
      <c r="E66" s="5" t="s">
        <v>210</v>
      </c>
      <c r="F66" s="57">
        <v>277.42086</v>
      </c>
      <c r="G66" s="23">
        <f t="shared" si="6"/>
        <v>7.3594458368150047E-4</v>
      </c>
      <c r="H66" t="str">
        <f t="shared" si="5"/>
        <v xml:space="preserve">0.000736 BIO-linolen_c + </v>
      </c>
      <c r="AD66" t="str">
        <f t="shared" si="0"/>
        <v/>
      </c>
    </row>
    <row r="67" spans="1:30" x14ac:dyDescent="0.15">
      <c r="A67" s="35" t="s">
        <v>113</v>
      </c>
      <c r="B67" t="str">
        <f t="shared" si="4"/>
        <v>MET-docosa_c --&gt; 0.339575 BIO-docosa_c</v>
      </c>
      <c r="C67" s="55" t="s">
        <v>206</v>
      </c>
      <c r="D67" s="56">
        <v>-4.0923649206307732E-5</v>
      </c>
      <c r="E67" s="5" t="s">
        <v>211</v>
      </c>
      <c r="F67" s="57">
        <v>339.57481999999999</v>
      </c>
      <c r="G67" s="23">
        <f t="shared" si="6"/>
        <v>1.1294774974070005E-4</v>
      </c>
      <c r="H67" t="str">
        <f t="shared" si="5"/>
        <v xml:space="preserve">0.000113 BIO-docosa_c + </v>
      </c>
      <c r="AD67" t="str">
        <f t="shared" si="0"/>
        <v/>
      </c>
    </row>
    <row r="68" spans="1:30" x14ac:dyDescent="0.15">
      <c r="A68" s="35" t="s">
        <v>115</v>
      </c>
      <c r="B68" t="str">
        <f t="shared" si="4"/>
        <v>MET-ttcosa_c --&gt; 0.367628 BIO-ttcosa_c</v>
      </c>
      <c r="C68" s="55" t="s">
        <v>207</v>
      </c>
      <c r="D68" s="56">
        <v>-2.5153072195096459E-4</v>
      </c>
      <c r="E68" s="5" t="s">
        <v>212</v>
      </c>
      <c r="F68" s="57">
        <v>367.62797999999998</v>
      </c>
      <c r="G68" s="23">
        <f t="shared" si="6"/>
        <v>7.5156638218182401E-4</v>
      </c>
      <c r="H68" t="str">
        <f t="shared" si="5"/>
        <v xml:space="preserve">0.000752 BIO-ttcosa_c + </v>
      </c>
      <c r="AD68" t="str">
        <f>IF(AND(U68=Z68,W68=AB68),"",1)</f>
        <v/>
      </c>
    </row>
    <row r="69" spans="1:30" x14ac:dyDescent="0.15">
      <c r="A69" s="35" t="s">
        <v>117</v>
      </c>
      <c r="B69" t="str">
        <f t="shared" si="4"/>
        <v>MET-pail_c --&gt; 0.862149 BIO-pail_c</v>
      </c>
      <c r="C69" s="55" t="s">
        <v>114</v>
      </c>
      <c r="D69" s="56">
        <v>-2.1895150463160155E-2</v>
      </c>
      <c r="E69" s="5" t="s">
        <v>213</v>
      </c>
      <c r="F69" s="57">
        <v>862.14885442176001</v>
      </c>
      <c r="G69" s="23">
        <f t="shared" si="6"/>
        <v>0.15342563871067216</v>
      </c>
      <c r="H69" t="str">
        <f t="shared" si="5"/>
        <v xml:space="preserve">0.153426 BIO-pail_c + </v>
      </c>
      <c r="AD69" t="str">
        <f>IF(AND(U69=Z69,W69=AB69),"",1)</f>
        <v/>
      </c>
    </row>
    <row r="70" spans="1:30" x14ac:dyDescent="0.15">
      <c r="A70" s="35" t="s">
        <v>119</v>
      </c>
      <c r="B70" t="str">
        <f t="shared" si="4"/>
        <v>MET-pc_c --&gt; 0.786166 BIO-pc_c</v>
      </c>
      <c r="C70" s="55" t="s">
        <v>116</v>
      </c>
      <c r="D70" s="56">
        <v>-4.1089340078704004E-2</v>
      </c>
      <c r="E70" s="5" t="s">
        <v>214</v>
      </c>
      <c r="F70" s="57">
        <v>786.16573442176002</v>
      </c>
      <c r="G70" s="23">
        <f t="shared" si="6"/>
        <v>0.26254939846199388</v>
      </c>
      <c r="H70" t="str">
        <f t="shared" si="5"/>
        <v xml:space="preserve">0.262549 BIO-pc_c + </v>
      </c>
      <c r="Q70" s="21"/>
      <c r="AD70" t="str">
        <f>IF(AND(U70=Z70,W70=AB70),"",1)</f>
        <v/>
      </c>
    </row>
    <row r="71" spans="1:30" x14ac:dyDescent="0.15">
      <c r="A71" s="35" t="s">
        <v>121</v>
      </c>
      <c r="B71" t="str">
        <f t="shared" si="4"/>
        <v>MET-pe_c --&gt; 0.744086 BIO-pe_c</v>
      </c>
      <c r="C71" s="55" t="s">
        <v>118</v>
      </c>
      <c r="D71" s="56">
        <v>-9.9244840014223838E-3</v>
      </c>
      <c r="E71" s="5" t="s">
        <v>215</v>
      </c>
      <c r="F71" s="57">
        <v>744.08599442176001</v>
      </c>
      <c r="G71" s="23">
        <f t="shared" si="6"/>
        <v>6.0020390479534898E-2</v>
      </c>
      <c r="H71" t="str">
        <f t="shared" si="5"/>
        <v xml:space="preserve">0.06002 BIO-pe_c + </v>
      </c>
      <c r="AD71" t="str">
        <f>IF(AND(U71=Z71,W71=AB71),"",1)</f>
        <v/>
      </c>
    </row>
    <row r="72" spans="1:30" x14ac:dyDescent="0.15">
      <c r="A72" s="35" t="s">
        <v>124</v>
      </c>
      <c r="B72" t="str">
        <f t="shared" si="4"/>
        <v>MET-ps_c --&gt; 0.786079 BIO-ps_c</v>
      </c>
      <c r="C72" s="55" t="s">
        <v>120</v>
      </c>
      <c r="D72" s="56">
        <v>-5.3220706723910438E-3</v>
      </c>
      <c r="E72" s="5" t="s">
        <v>216</v>
      </c>
      <c r="F72" s="57">
        <v>786.07881442175994</v>
      </c>
      <c r="G72" s="23">
        <f t="shared" si="6"/>
        <v>3.4002784226653808E-2</v>
      </c>
      <c r="H72" t="str">
        <f t="shared" si="5"/>
        <v xml:space="preserve">0.034003 BIO-ps_c + </v>
      </c>
    </row>
    <row r="73" spans="1:30" ht="14" thickBot="1" x14ac:dyDescent="0.2">
      <c r="A73" s="36" t="s">
        <v>217</v>
      </c>
      <c r="B73" t="str">
        <f t="shared" si="4"/>
        <v>MET-ipc_g --&gt; 0.915263 BIO-ipc_g</v>
      </c>
      <c r="C73" s="58" t="s">
        <v>125</v>
      </c>
      <c r="D73" s="59">
        <v>-8.0659514447847004E-3</v>
      </c>
      <c r="E73" s="60" t="s">
        <v>126</v>
      </c>
      <c r="F73" s="61">
        <v>915.26344200000005</v>
      </c>
      <c r="G73" s="23">
        <f t="shared" si="6"/>
        <v>6.0002517135723694E-2</v>
      </c>
      <c r="H73" t="str">
        <f>ROUND(G73,6) &amp; " BIO-" &amp; C73</f>
        <v>0.060003 BIO-ipc_g</v>
      </c>
    </row>
    <row r="74" spans="1:30" x14ac:dyDescent="0.15">
      <c r="D74" t="s">
        <v>302</v>
      </c>
    </row>
    <row r="75" spans="1:30" x14ac:dyDescent="0.15">
      <c r="A75" s="1" t="s">
        <v>127</v>
      </c>
      <c r="D75" t="s">
        <v>302</v>
      </c>
    </row>
    <row r="76" spans="1:30" x14ac:dyDescent="0.15">
      <c r="A76" t="s">
        <v>128</v>
      </c>
      <c r="B76" t="str">
        <f>_xlfn.CONCAT(H78:H81) &amp; " --&gt; BIO-dna"</f>
        <v>0.197916 BIO-datp_c + 0.285139 BIO-dctp_c + 0.324742 BIO-dgtp_c + 0.192202 BIO-dttp_c --&gt; BIO-dna</v>
      </c>
      <c r="D76" t="s">
        <v>302</v>
      </c>
    </row>
    <row r="77" spans="1:30" ht="14" thickBot="1" x14ac:dyDescent="0.2">
      <c r="C77" s="1" t="s">
        <v>18</v>
      </c>
      <c r="D77" s="1" t="s">
        <v>65</v>
      </c>
      <c r="E77" s="1" t="s">
        <v>66</v>
      </c>
      <c r="F77" s="1" t="s">
        <v>67</v>
      </c>
      <c r="G77" s="1" t="s">
        <v>68</v>
      </c>
      <c r="I77" s="1" t="s">
        <v>82</v>
      </c>
    </row>
    <row r="78" spans="1:30" x14ac:dyDescent="0.15">
      <c r="A78" t="s">
        <v>129</v>
      </c>
      <c r="B78" t="str">
        <f>"MET-" &amp; C78 &amp; " --&gt; " &amp; ROUND(I78/1000,6) &amp; " BIO-" &amp; C78 &amp; " + MET-ppi_c"</f>
        <v>MET-datp_c --&gt; 0.312199 BIO-datp_c + MET-ppi_c</v>
      </c>
      <c r="C78" s="7" t="s">
        <v>130</v>
      </c>
      <c r="D78" s="129">
        <v>-7.0817875882622765E-3</v>
      </c>
      <c r="E78" s="130" t="s">
        <v>131</v>
      </c>
      <c r="F78" s="24">
        <v>487.14986299999998</v>
      </c>
      <c r="G78" s="25">
        <f>D78 * I78 / SUMPRODUCT($D$78:$D$81, $I$78:$I$81)</f>
        <v>0.19791624400059207</v>
      </c>
      <c r="H78" t="str">
        <f>ROUND(G78,6) &amp; " BIO-" &amp; C78 &amp; " + "</f>
        <v xml:space="preserve">0.197916 BIO-datp_c + </v>
      </c>
      <c r="I78" s="21">
        <f>F78 - 174.951262</f>
        <v>312.19860099999994</v>
      </c>
    </row>
    <row r="79" spans="1:30" x14ac:dyDescent="0.15">
      <c r="A79" t="s">
        <v>132</v>
      </c>
      <c r="B79" t="str">
        <f>"MET-" &amp; C79 &amp; " --&gt; " &amp; ROUND(I79/1000,6) &amp; " BIO-" &amp; C79 &amp; " + MET-ppi_c"</f>
        <v>MET-dctp_c --&gt; 0.288174 BIO-dctp_c + MET-ppi_c</v>
      </c>
      <c r="C79" s="7" t="s">
        <v>133</v>
      </c>
      <c r="D79" s="131">
        <v>-1.1053377836845166E-2</v>
      </c>
      <c r="E79" s="132" t="s">
        <v>134</v>
      </c>
      <c r="F79" s="24">
        <v>463.12516299999999</v>
      </c>
      <c r="G79" s="25">
        <f>D79 * I79 / SUMPRODUCT($D$78:$D$81, $I$78:$I$81)</f>
        <v>0.28513941404387089</v>
      </c>
      <c r="H79" t="str">
        <f>ROUND(G79,6) &amp; " BIO-" &amp; C79 &amp; " + "</f>
        <v xml:space="preserve">0.285139 BIO-dctp_c + </v>
      </c>
      <c r="I79" s="21">
        <f>F79 - 174.951262</f>
        <v>288.173901</v>
      </c>
    </row>
    <row r="80" spans="1:30" x14ac:dyDescent="0.15">
      <c r="A80" t="s">
        <v>135</v>
      </c>
      <c r="B80" t="str">
        <f>"MET-" &amp; C80 &amp; " --&gt; " &amp; ROUND(I80/1000,6) &amp; " BIO-" &amp; C80 &amp; " + MET-ppi_c"</f>
        <v>MET-dgtp_c --&gt; 0.328198 BIO-dgtp_c + MET-ppi_c</v>
      </c>
      <c r="C80" s="7" t="s">
        <v>136</v>
      </c>
      <c r="D80" s="131">
        <v>-1.1053377836845166E-2</v>
      </c>
      <c r="E80" s="132" t="s">
        <v>85</v>
      </c>
      <c r="F80" s="24">
        <v>503.14926300000002</v>
      </c>
      <c r="G80" s="25">
        <f>D80 * I80 / SUMPRODUCT($D$78:$D$81, $I$78:$I$81)</f>
        <v>0.32474205807940171</v>
      </c>
      <c r="H80" t="str">
        <f>ROUND(G80,6) &amp; " BIO-" &amp; C80 &amp; " + "</f>
        <v xml:space="preserve">0.324742 BIO-dgtp_c + </v>
      </c>
      <c r="I80" s="21">
        <f>F80 - 174.951262</f>
        <v>328.19800099999998</v>
      </c>
    </row>
    <row r="81" spans="1:9" ht="14" thickBot="1" x14ac:dyDescent="0.2">
      <c r="A81" t="s">
        <v>137</v>
      </c>
      <c r="B81" t="str">
        <f>"MET-" &amp; C81 &amp; " --&gt; " &amp; ROUND(I81/1000,6) &amp; " BIO-" &amp; C81 &amp; " + MET-ppi_c"</f>
        <v>MET-dttp_c --&gt; 0.303185 BIO-dttp_c + MET-ppi_c</v>
      </c>
      <c r="C81" s="7" t="s">
        <v>138</v>
      </c>
      <c r="D81" s="133">
        <v>-7.0817875882622765E-3</v>
      </c>
      <c r="E81" s="134" t="s">
        <v>139</v>
      </c>
      <c r="F81" s="24">
        <v>478.136503</v>
      </c>
      <c r="G81" s="25">
        <f>D81 * I81 / SUMPRODUCT($D$78:$D$81, $I$78:$I$81)</f>
        <v>0.19220228387613536</v>
      </c>
      <c r="H81" t="str">
        <f>ROUND(G81,6) &amp; " BIO-" &amp; C81</f>
        <v>0.192202 BIO-dttp_c</v>
      </c>
      <c r="I81" s="21">
        <f>F81 - 174.951262</f>
        <v>303.18524100000002</v>
      </c>
    </row>
    <row r="82" spans="1:9" x14ac:dyDescent="0.15">
      <c r="D82" t="s">
        <v>302</v>
      </c>
      <c r="G82" s="22"/>
    </row>
    <row r="83" spans="1:9" x14ac:dyDescent="0.15">
      <c r="A83" s="1" t="s">
        <v>140</v>
      </c>
      <c r="D83" t="s">
        <v>302</v>
      </c>
    </row>
    <row r="84" spans="1:9" x14ac:dyDescent="0.15">
      <c r="A84" t="s">
        <v>141</v>
      </c>
      <c r="B84" t="str">
        <f>_xlfn.CONCAT(H86:H92) &amp; " --&gt; BIO-metal"</f>
        <v>0.002033 BIO-ca2_c + 0.000286 BIO-cu2_c + 0.001463 BIO-fe2_c + 0.93097 BIO-k_c + 0.060981 BIO-mg2_c + 0.000204 BIO-mn2_c + 0.004064 BIO-zn2_c --&gt; BIO-metal</v>
      </c>
      <c r="D84" t="s">
        <v>302</v>
      </c>
    </row>
    <row r="85" spans="1:9" ht="14" thickBot="1" x14ac:dyDescent="0.2">
      <c r="C85" s="1" t="s">
        <v>18</v>
      </c>
      <c r="D85" s="1" t="s">
        <v>65</v>
      </c>
      <c r="E85" s="1" t="s">
        <v>66</v>
      </c>
      <c r="F85" s="1" t="s">
        <v>67</v>
      </c>
      <c r="G85" s="1" t="s">
        <v>68</v>
      </c>
    </row>
    <row r="86" spans="1:9" x14ac:dyDescent="0.15">
      <c r="A86" t="s">
        <v>142</v>
      </c>
      <c r="B86" t="str">
        <f t="shared" ref="B86:B92" si="7">"MET-" &amp; C86 &amp; " --&gt; " &amp; ROUND(F86/1000,6) &amp; " BIO-" &amp;C86</f>
        <v>MET-ca2_c --&gt; 0.040078 BIO-ca2_c</v>
      </c>
      <c r="C86" s="65" t="s">
        <v>143</v>
      </c>
      <c r="D86" s="66">
        <v>-1.283605192178335E-3</v>
      </c>
      <c r="E86" s="67" t="s">
        <v>144</v>
      </c>
      <c r="F86" s="68">
        <v>40.078000000000003</v>
      </c>
      <c r="G86" s="26">
        <f>F86*D86/SUMPRODUCT($D$86:$D$92,$F$86:$F$92)</f>
        <v>2.033009854095665E-3</v>
      </c>
      <c r="H86" t="str">
        <f t="shared" ref="H86:H91" si="8">ROUND(G86,6) &amp; " BIO-" &amp; C86 &amp; " + "</f>
        <v xml:space="preserve">0.002033 BIO-ca2_c + </v>
      </c>
    </row>
    <row r="87" spans="1:9" x14ac:dyDescent="0.15">
      <c r="A87" t="s">
        <v>145</v>
      </c>
      <c r="B87" t="str">
        <f t="shared" si="7"/>
        <v>MET-cu2_c --&gt; 0.063546 BIO-cu2_c</v>
      </c>
      <c r="C87" s="69" t="s">
        <v>146</v>
      </c>
      <c r="D87" s="70">
        <v>-1.1378770754924588E-4</v>
      </c>
      <c r="E87" s="9" t="s">
        <v>147</v>
      </c>
      <c r="F87" s="71">
        <v>63.545999999999999</v>
      </c>
      <c r="G87" s="26">
        <f t="shared" ref="G87:G92" si="9">F87*D87/SUMPRODUCT($D$86:$D$92,$F$86:$F$92)</f>
        <v>2.8574954261960161E-4</v>
      </c>
      <c r="H87" t="str">
        <f t="shared" si="8"/>
        <v xml:space="preserve">0.000286 BIO-cu2_c + </v>
      </c>
    </row>
    <row r="88" spans="1:9" x14ac:dyDescent="0.15">
      <c r="A88" t="s">
        <v>148</v>
      </c>
      <c r="B88" t="str">
        <f t="shared" si="7"/>
        <v>MET-fe2_c --&gt; 0.055845 BIO-fe2_c</v>
      </c>
      <c r="C88" s="69" t="s">
        <v>149</v>
      </c>
      <c r="D88" s="70">
        <v>-6.6276348958508127E-4</v>
      </c>
      <c r="E88" s="9" t="s">
        <v>150</v>
      </c>
      <c r="F88" s="71">
        <v>55.844999999999999</v>
      </c>
      <c r="G88" s="26">
        <f t="shared" si="9"/>
        <v>1.4626649309218266E-3</v>
      </c>
      <c r="H88" t="str">
        <f t="shared" si="8"/>
        <v xml:space="preserve">0.001463 BIO-fe2_c + </v>
      </c>
    </row>
    <row r="89" spans="1:9" x14ac:dyDescent="0.15">
      <c r="A89" t="s">
        <v>151</v>
      </c>
      <c r="B89" t="str">
        <f t="shared" si="7"/>
        <v>MET-k_c --&gt; 0.039098 BIO-k_c</v>
      </c>
      <c r="C89" s="69" t="s">
        <v>152</v>
      </c>
      <c r="D89" s="70">
        <v>-0.60252587422896731</v>
      </c>
      <c r="E89" s="9" t="s">
        <v>153</v>
      </c>
      <c r="F89" s="71">
        <v>39.098300000000002</v>
      </c>
      <c r="G89" s="26">
        <f t="shared" si="9"/>
        <v>0.93096971584908339</v>
      </c>
      <c r="H89" t="str">
        <f t="shared" si="8"/>
        <v xml:space="preserve">0.93097 BIO-k_c + </v>
      </c>
    </row>
    <row r="90" spans="1:9" x14ac:dyDescent="0.15">
      <c r="A90" t="s">
        <v>154</v>
      </c>
      <c r="B90" t="str">
        <f t="shared" si="7"/>
        <v>MET-mg2_c --&gt; 0.024305 BIO-mg2_c</v>
      </c>
      <c r="C90" s="69" t="s">
        <v>155</v>
      </c>
      <c r="D90" s="70">
        <v>-6.3488550123551604E-2</v>
      </c>
      <c r="E90" s="9" t="s">
        <v>156</v>
      </c>
      <c r="F90" s="71">
        <v>24.305</v>
      </c>
      <c r="G90" s="26">
        <f t="shared" si="9"/>
        <v>6.0980785224894217E-2</v>
      </c>
      <c r="H90" t="str">
        <f t="shared" si="8"/>
        <v xml:space="preserve">0.060981 BIO-mg2_c + </v>
      </c>
    </row>
    <row r="91" spans="1:9" x14ac:dyDescent="0.15">
      <c r="A91" t="s">
        <v>157</v>
      </c>
      <c r="B91" t="str">
        <f t="shared" si="7"/>
        <v>MET-mn2_c --&gt; 0.054938 BIO-mn2_c</v>
      </c>
      <c r="C91" s="69" t="s">
        <v>158</v>
      </c>
      <c r="D91" s="70">
        <v>-9.3824951838851866E-5</v>
      </c>
      <c r="E91" s="9" t="s">
        <v>159</v>
      </c>
      <c r="F91" s="71">
        <v>54.938043999999998</v>
      </c>
      <c r="G91" s="26">
        <f t="shared" si="9"/>
        <v>2.037011686615003E-4</v>
      </c>
      <c r="H91" t="str">
        <f t="shared" si="8"/>
        <v xml:space="preserve">0.000204 BIO-mn2_c + </v>
      </c>
    </row>
    <row r="92" spans="1:9" ht="14" thickBot="1" x14ac:dyDescent="0.2">
      <c r="A92" t="s">
        <v>160</v>
      </c>
      <c r="B92" t="str">
        <f t="shared" si="7"/>
        <v>MET-zn2_c --&gt; 0.06538 BIO-zn2_c</v>
      </c>
      <c r="C92" s="72" t="s">
        <v>161</v>
      </c>
      <c r="D92" s="73">
        <v>-1.5730651499790481E-3</v>
      </c>
      <c r="E92" s="74" t="s">
        <v>162</v>
      </c>
      <c r="F92" s="75">
        <v>65.38</v>
      </c>
      <c r="G92" s="26">
        <f t="shared" si="9"/>
        <v>4.0643734297237935E-3</v>
      </c>
      <c r="H92" t="str">
        <f>ROUND(G92,6) &amp; " BIO-" &amp; C92</f>
        <v>0.004064 BIO-zn2_c</v>
      </c>
    </row>
    <row r="93" spans="1:9" x14ac:dyDescent="0.15">
      <c r="D93" t="s">
        <v>302</v>
      </c>
    </row>
    <row r="94" spans="1:9" x14ac:dyDescent="0.15">
      <c r="A94" s="1" t="s">
        <v>163</v>
      </c>
      <c r="D94" t="s">
        <v>302</v>
      </c>
    </row>
    <row r="95" spans="1:9" x14ac:dyDescent="0.15">
      <c r="A95" t="s">
        <v>164</v>
      </c>
      <c r="B95" t="str">
        <f>_xlfn.CONCAT(H97:H108) &amp; " --&gt; BIO-cofactor"</f>
        <v>0.069492 BIO-thmpp_c + 0.061768 BIO-ribflv_c + 0.128772 BIO-fad_c + 0.109007 BIO-nad_c + 0.121836 BIO-nadp_c + 0.125641 BIO-coa_c + 0.072968 BIO-thf_c + 0.065732 BIO-amet_c + 0.14001 BIO-hemeA_c + 0.040038 BIO-btn_c + 0.040338 BIO-pydx5p_c + 0.024399 BIO-spmd_c --&gt; BIO-cofactor</v>
      </c>
      <c r="D95" t="s">
        <v>302</v>
      </c>
    </row>
    <row r="96" spans="1:9" ht="14" thickBot="1" x14ac:dyDescent="0.2">
      <c r="C96" s="1" t="s">
        <v>18</v>
      </c>
      <c r="D96" s="1" t="s">
        <v>65</v>
      </c>
      <c r="E96" s="1" t="s">
        <v>66</v>
      </c>
      <c r="F96" s="1" t="s">
        <v>67</v>
      </c>
      <c r="G96" s="1" t="s">
        <v>68</v>
      </c>
    </row>
    <row r="97" spans="1:8" x14ac:dyDescent="0.15">
      <c r="A97" t="s">
        <v>165</v>
      </c>
      <c r="B97" t="str">
        <f t="shared" ref="B97:B108" si="10">"MET-" &amp; C97 &amp; " --&gt; " &amp; ROUND(F97/1000,6) &amp; " BIO-" &amp;C97</f>
        <v>MET-thmpp_c --&gt; 0.422291 BIO-thmpp_c</v>
      </c>
      <c r="C97" s="76" t="s">
        <v>186</v>
      </c>
      <c r="D97" s="77">
        <v>-9.9813778551970073E-5</v>
      </c>
      <c r="E97" s="78" t="s">
        <v>222</v>
      </c>
      <c r="F97" s="79">
        <v>422.29056200000002</v>
      </c>
      <c r="G97" s="27">
        <f>F97*D97/SUMPRODUCT($D$97:$D$108,$F$97:$F$108)</f>
        <v>6.9491671029907554E-2</v>
      </c>
      <c r="H97" t="str">
        <f t="shared" ref="H97:H107" si="11">ROUND(G97,6) &amp; " BIO-" &amp; C97 &amp; " + "</f>
        <v xml:space="preserve">0.069492 BIO-thmpp_c + </v>
      </c>
    </row>
    <row r="98" spans="1:8" x14ac:dyDescent="0.15">
      <c r="A98" t="s">
        <v>167</v>
      </c>
      <c r="B98" t="str">
        <f t="shared" si="10"/>
        <v>MET-ribflv_c --&gt; 0.375356 BIO-ribflv_c</v>
      </c>
      <c r="C98" s="80" t="s">
        <v>181</v>
      </c>
      <c r="D98" s="81">
        <v>-9.9813778551970073E-5</v>
      </c>
      <c r="E98" s="11" t="s">
        <v>182</v>
      </c>
      <c r="F98" s="82">
        <v>375.35595999999998</v>
      </c>
      <c r="G98" s="27">
        <f t="shared" ref="G98:G108" si="12">F98*D98/SUMPRODUCT($D$97:$D$108,$F$97:$F$108)</f>
        <v>6.1768164478739021E-2</v>
      </c>
      <c r="H98" t="str">
        <f t="shared" si="11"/>
        <v xml:space="preserve">0.061768 BIO-ribflv_c + </v>
      </c>
    </row>
    <row r="99" spans="1:8" x14ac:dyDescent="0.15">
      <c r="A99" t="s">
        <v>170</v>
      </c>
      <c r="B99" t="str">
        <f t="shared" si="10"/>
        <v>MET-fad_c --&gt; 0.782526 BIO-fad_c</v>
      </c>
      <c r="C99" s="80" t="s">
        <v>168</v>
      </c>
      <c r="D99" s="81">
        <v>-9.9813778551970073E-5</v>
      </c>
      <c r="E99" s="11" t="s">
        <v>169</v>
      </c>
      <c r="F99" s="82">
        <v>782.52592200000004</v>
      </c>
      <c r="G99" s="27">
        <f t="shared" si="12"/>
        <v>0.12877160618143083</v>
      </c>
      <c r="H99" t="str">
        <f t="shared" si="11"/>
        <v xml:space="preserve">0.128772 BIO-fad_c + </v>
      </c>
    </row>
    <row r="100" spans="1:8" x14ac:dyDescent="0.15">
      <c r="A100" t="s">
        <v>172</v>
      </c>
      <c r="B100" t="str">
        <f t="shared" si="10"/>
        <v>MET-nad_c --&gt; 0.662417 BIO-nad_c</v>
      </c>
      <c r="C100" s="80" t="s">
        <v>173</v>
      </c>
      <c r="D100" s="81">
        <v>-9.9813778551970073E-5</v>
      </c>
      <c r="E100" s="11" t="s">
        <v>174</v>
      </c>
      <c r="F100" s="82">
        <v>662.41716199999996</v>
      </c>
      <c r="G100" s="27">
        <f t="shared" si="12"/>
        <v>0.10900664056581254</v>
      </c>
      <c r="H100" t="str">
        <f t="shared" si="11"/>
        <v xml:space="preserve">0.109007 BIO-nad_c + </v>
      </c>
    </row>
    <row r="101" spans="1:8" x14ac:dyDescent="0.15">
      <c r="A101" t="s">
        <v>175</v>
      </c>
      <c r="B101" t="str">
        <f t="shared" si="10"/>
        <v>MET-nadp_c --&gt; 0.740381 BIO-nadp_c</v>
      </c>
      <c r="C101" s="80" t="s">
        <v>177</v>
      </c>
      <c r="D101" s="81">
        <v>-9.9813778551970073E-5</v>
      </c>
      <c r="E101" s="11" t="s">
        <v>178</v>
      </c>
      <c r="F101" s="82">
        <v>740.38118299999996</v>
      </c>
      <c r="G101" s="27">
        <f t="shared" si="12"/>
        <v>0.12183631422425628</v>
      </c>
      <c r="H101" t="str">
        <f t="shared" si="11"/>
        <v xml:space="preserve">0.121836 BIO-nadp_c + </v>
      </c>
    </row>
    <row r="102" spans="1:8" x14ac:dyDescent="0.15">
      <c r="A102" t="s">
        <v>176</v>
      </c>
      <c r="B102" t="str">
        <f t="shared" si="10"/>
        <v>MET-coa_c --&gt; 0.763502 BIO-coa_c</v>
      </c>
      <c r="C102" s="80" t="s">
        <v>166</v>
      </c>
      <c r="D102" s="81">
        <v>-9.9813778551970073E-5</v>
      </c>
      <c r="E102" s="11" t="s">
        <v>223</v>
      </c>
      <c r="F102" s="82">
        <v>763.50236299999995</v>
      </c>
      <c r="G102" s="27">
        <f t="shared" si="12"/>
        <v>0.1256411102082671</v>
      </c>
      <c r="H102" t="str">
        <f t="shared" si="11"/>
        <v xml:space="preserve">0.125641 BIO-coa_c + </v>
      </c>
    </row>
    <row r="103" spans="1:8" x14ac:dyDescent="0.15">
      <c r="A103" t="s">
        <v>179</v>
      </c>
      <c r="B103" t="str">
        <f t="shared" si="10"/>
        <v>MET-thf_c --&gt; 0.443413 BIO-thf_c</v>
      </c>
      <c r="C103" s="80" t="s">
        <v>184</v>
      </c>
      <c r="D103" s="81">
        <v>-9.9813778551970073E-5</v>
      </c>
      <c r="E103" s="11" t="s">
        <v>224</v>
      </c>
      <c r="F103" s="82">
        <v>443.41334000000001</v>
      </c>
      <c r="G103" s="27">
        <f t="shared" si="12"/>
        <v>7.2967612175885072E-2</v>
      </c>
      <c r="H103" t="str">
        <f t="shared" si="11"/>
        <v xml:space="preserve">0.072968 BIO-thf_c + </v>
      </c>
    </row>
    <row r="104" spans="1:8" x14ac:dyDescent="0.15">
      <c r="A104" t="s">
        <v>180</v>
      </c>
      <c r="B104" t="str">
        <f t="shared" si="10"/>
        <v>MET-amet_c --&gt; 0.399445 BIO-amet_c</v>
      </c>
      <c r="C104" s="80" t="s">
        <v>218</v>
      </c>
      <c r="D104" s="81">
        <v>-9.9813778551970073E-5</v>
      </c>
      <c r="E104" s="11" t="s">
        <v>225</v>
      </c>
      <c r="F104" s="82">
        <v>399.44531999999998</v>
      </c>
      <c r="G104" s="27">
        <f t="shared" si="12"/>
        <v>6.5732283100080627E-2</v>
      </c>
      <c r="H104" t="str">
        <f t="shared" si="11"/>
        <v xml:space="preserve">0.065732 BIO-amet_c + </v>
      </c>
    </row>
    <row r="105" spans="1:8" x14ac:dyDescent="0.15">
      <c r="A105" t="s">
        <v>183</v>
      </c>
      <c r="B105" t="str">
        <f t="shared" si="10"/>
        <v>MET-hemeA_c --&gt; 0.850821 BIO-hemeA_c</v>
      </c>
      <c r="C105" s="80" t="s">
        <v>171</v>
      </c>
      <c r="D105" s="81">
        <v>-9.9813778551970073E-5</v>
      </c>
      <c r="E105" s="11" t="s">
        <v>226</v>
      </c>
      <c r="F105" s="82">
        <v>850.82126000000005</v>
      </c>
      <c r="G105" s="27">
        <f t="shared" si="12"/>
        <v>0.14001021198567881</v>
      </c>
      <c r="H105" t="str">
        <f t="shared" si="11"/>
        <v xml:space="preserve">0.14001 BIO-hemeA_c + </v>
      </c>
    </row>
    <row r="106" spans="1:8" x14ac:dyDescent="0.15">
      <c r="A106" t="s">
        <v>185</v>
      </c>
      <c r="B106" t="str">
        <f t="shared" si="10"/>
        <v>MET-btn_c --&gt; 0.243303 BIO-btn_c</v>
      </c>
      <c r="C106" s="80" t="s">
        <v>219</v>
      </c>
      <c r="D106" s="81">
        <v>-9.9813778551970073E-5</v>
      </c>
      <c r="E106" s="11" t="s">
        <v>227</v>
      </c>
      <c r="F106" s="82">
        <v>243.30269999999999</v>
      </c>
      <c r="G106" s="27">
        <f t="shared" si="12"/>
        <v>4.0037625063210118E-2</v>
      </c>
      <c r="H106" t="str">
        <f t="shared" si="11"/>
        <v xml:space="preserve">0.040038 BIO-btn_c + </v>
      </c>
    </row>
    <row r="107" spans="1:8" x14ac:dyDescent="0.15">
      <c r="A107" t="s">
        <v>221</v>
      </c>
      <c r="B107" t="str">
        <f t="shared" si="10"/>
        <v>MET-pydx5p_c --&gt; 0.245126 BIO-pydx5p_c</v>
      </c>
      <c r="C107" s="80" t="s">
        <v>230</v>
      </c>
      <c r="D107" s="81">
        <v>-9.9813778551970073E-5</v>
      </c>
      <c r="E107" s="11" t="s">
        <v>231</v>
      </c>
      <c r="F107" s="82">
        <v>245.126</v>
      </c>
      <c r="G107" s="27">
        <f t="shared" si="12"/>
        <v>4.0337665308459149E-2</v>
      </c>
      <c r="H107" t="str">
        <f t="shared" si="11"/>
        <v xml:space="preserve">0.040338 BIO-pydx5p_c + </v>
      </c>
    </row>
    <row r="108" spans="1:8" ht="14" thickBot="1" x14ac:dyDescent="0.2">
      <c r="A108" t="s">
        <v>229</v>
      </c>
      <c r="B108" t="str">
        <f t="shared" si="10"/>
        <v>MET-spmd_c --&gt; 0.14827 BIO-spmd_c</v>
      </c>
      <c r="C108" s="83" t="s">
        <v>220</v>
      </c>
      <c r="D108" s="84">
        <v>-9.9813778551970073E-5</v>
      </c>
      <c r="E108" s="85" t="s">
        <v>228</v>
      </c>
      <c r="F108" s="86">
        <v>148.26967999999999</v>
      </c>
      <c r="G108" s="27">
        <f t="shared" si="12"/>
        <v>2.4399095678272968E-2</v>
      </c>
      <c r="H108" t="str">
        <f>ROUND(G108,6) &amp; " BIO-" &amp; C108</f>
        <v>0.024399 BIO-spmd_c</v>
      </c>
    </row>
    <row r="109" spans="1:8" x14ac:dyDescent="0.15">
      <c r="D109" t="s">
        <v>302</v>
      </c>
    </row>
    <row r="110" spans="1:8" x14ac:dyDescent="0.15">
      <c r="A110" s="1" t="s">
        <v>187</v>
      </c>
      <c r="D110" t="s">
        <v>302</v>
      </c>
    </row>
    <row r="111" spans="1:8" ht="14" thickBot="1" x14ac:dyDescent="0.2">
      <c r="C111" s="1" t="s">
        <v>18</v>
      </c>
      <c r="D111" s="1" t="s">
        <v>65</v>
      </c>
      <c r="E111" s="1" t="s">
        <v>66</v>
      </c>
      <c r="F111" s="1" t="s">
        <v>67</v>
      </c>
      <c r="G111" s="1" t="s">
        <v>68</v>
      </c>
    </row>
    <row r="112" spans="1:8" ht="14" thickBot="1" x14ac:dyDescent="0.2">
      <c r="A112" t="s">
        <v>188</v>
      </c>
      <c r="B112" t="str">
        <f>"MET-" &amp; C112 &amp; " --&gt; " &amp; ROUND(F112/1000,6) &amp; " BIO-so4"</f>
        <v>MET-so4_c --&gt; 0.096063 BIO-so4</v>
      </c>
      <c r="C112" s="87" t="s">
        <v>189</v>
      </c>
      <c r="D112" s="88">
        <v>-3.1164856077281613E-2</v>
      </c>
      <c r="E112" s="89" t="s">
        <v>190</v>
      </c>
      <c r="F112" s="90">
        <v>96.062600000000003</v>
      </c>
      <c r="G112" s="28">
        <v>1</v>
      </c>
    </row>
    <row r="113" spans="1:8" x14ac:dyDescent="0.15">
      <c r="D113" t="s">
        <v>302</v>
      </c>
    </row>
    <row r="114" spans="1:8" x14ac:dyDescent="0.15">
      <c r="A114" s="1" t="s">
        <v>191</v>
      </c>
      <c r="D114" t="s">
        <v>302</v>
      </c>
    </row>
    <row r="115" spans="1:8" ht="14" thickBot="1" x14ac:dyDescent="0.2">
      <c r="C115" s="1" t="s">
        <v>18</v>
      </c>
      <c r="D115" s="1" t="s">
        <v>65</v>
      </c>
      <c r="E115" s="1" t="s">
        <v>66</v>
      </c>
      <c r="F115" s="1" t="s">
        <v>67</v>
      </c>
      <c r="G115" s="1" t="s">
        <v>68</v>
      </c>
    </row>
    <row r="116" spans="1:8" ht="14" thickBot="1" x14ac:dyDescent="0.2">
      <c r="A116" t="s">
        <v>192</v>
      </c>
      <c r="B116" t="str">
        <f>"MET-" &amp; C116 &amp; " --&gt; " &amp; ROUND(F116/1000,6) &amp; " BIO-pi"</f>
        <v>MET-pi_c --&gt; 0.095979 BIO-pi</v>
      </c>
      <c r="C116" s="91" t="s">
        <v>193</v>
      </c>
      <c r="D116" s="92">
        <v>-0.10545815508980405</v>
      </c>
      <c r="E116" s="93" t="s">
        <v>194</v>
      </c>
      <c r="F116" s="94">
        <v>95.979301000000007</v>
      </c>
      <c r="G116" s="29">
        <v>1</v>
      </c>
    </row>
    <row r="117" spans="1:8" x14ac:dyDescent="0.15">
      <c r="D117" t="s">
        <v>302</v>
      </c>
    </row>
    <row r="118" spans="1:8" x14ac:dyDescent="0.15">
      <c r="A118" s="1" t="s">
        <v>304</v>
      </c>
    </row>
    <row r="119" spans="1:8" x14ac:dyDescent="0.15">
      <c r="B119" t="str">
        <f>_xlfn.CONCAT(H121:H140) &amp; " --&gt; BIO-protmodeled"</f>
        <v>0.064288 BIO-alatrna_c + 0.055742 BIO-argtrna_c + 0.048755 BIO-asntrna_c + 0.048745 BIO-asptrna_c + 0.001331 BIO-cystrna_c + 0.091239 BIO-glntrna_c + 0.091223 BIO-glutrna_c + 0.047115 BIO-glytrna_c + 0.024338 BIO-histrna_c + 0.061382 BIO-iletrna_c + 0.083475 BIO-leutrna_c + 0.078077 BIO-lystrna_c + 0.013758 BIO-mettrna_c + 0.05086 BIO-phetrna_c + 0.03741 BIO-protrna_c + 0.042857 BIO-sertrna_c + 0.051918 BIO-thrtrna_c + 0.011109 BIO-trptrna_c + 0.029374 BIO-tyrtrna_c + 0.067003 BIO-valtrna_c --&gt; BIO-protmodeled</v>
      </c>
    </row>
    <row r="120" spans="1:8" ht="14" thickBot="1" x14ac:dyDescent="0.2">
      <c r="C120" s="1" t="s">
        <v>18</v>
      </c>
      <c r="D120" s="1" t="s">
        <v>65</v>
      </c>
      <c r="E120" s="1" t="s">
        <v>66</v>
      </c>
      <c r="F120" s="1" t="s">
        <v>67</v>
      </c>
      <c r="G120" s="1" t="s">
        <v>68</v>
      </c>
    </row>
    <row r="121" spans="1:8" x14ac:dyDescent="0.15">
      <c r="B121" t="str">
        <f t="shared" ref="B121:B140" si="13">"MET-" &amp; C121 &amp; " --&gt; " &amp; ROUND(F121/1000,6) &amp; " BIO-" &amp;C121</f>
        <v>MET-alatrna_c --&gt; 0.072086 BIO-alatrna_c</v>
      </c>
      <c r="C121" s="118" t="s">
        <v>252</v>
      </c>
      <c r="D121" s="119">
        <v>-0.38553471220812641</v>
      </c>
      <c r="E121" s="119" t="s">
        <v>233</v>
      </c>
      <c r="F121" s="120">
        <v>72.085840000000005</v>
      </c>
      <c r="G121" s="112">
        <f>F121*D121/SUMPRODUCT($D$121:$D$140,$F$121:$F$140)</f>
        <v>6.4288382066369262E-2</v>
      </c>
      <c r="H121" t="str">
        <f t="shared" ref="H121:H139" si="14">ROUND(G121,6) &amp; " BIO-" &amp; C121 &amp; " + "</f>
        <v xml:space="preserve">0.064288 BIO-alatrna_c + </v>
      </c>
    </row>
    <row r="122" spans="1:8" x14ac:dyDescent="0.15">
      <c r="B122" t="str">
        <f t="shared" si="13"/>
        <v>MET-argtrna_c --&gt; 0.158202 BIO-argtrna_c</v>
      </c>
      <c r="C122" s="121" t="s">
        <v>253</v>
      </c>
      <c r="D122" s="112">
        <v>-0.15231981862144839</v>
      </c>
      <c r="E122" s="112" t="s">
        <v>234</v>
      </c>
      <c r="F122" s="122">
        <v>158.20156</v>
      </c>
      <c r="G122" s="112">
        <f t="shared" ref="G122:G140" si="15">F122*D122/SUMPRODUCT($D$121:$D$140,$F$121:$F$140)</f>
        <v>5.5742471644452465E-2</v>
      </c>
      <c r="H122" t="str">
        <f t="shared" si="14"/>
        <v xml:space="preserve">0.055742 BIO-argtrna_c + </v>
      </c>
    </row>
    <row r="123" spans="1:8" x14ac:dyDescent="0.15">
      <c r="B123" t="str">
        <f t="shared" si="13"/>
        <v>MET-asntrna_c --&gt; 0.115111 BIO-asntrna_c</v>
      </c>
      <c r="C123" s="121" t="s">
        <v>254</v>
      </c>
      <c r="D123" s="112">
        <v>-0.18309939351351942</v>
      </c>
      <c r="E123" s="112" t="s">
        <v>235</v>
      </c>
      <c r="F123" s="122">
        <v>115.11058</v>
      </c>
      <c r="G123" s="112">
        <f t="shared" si="15"/>
        <v>4.8755228252014206E-2</v>
      </c>
      <c r="H123" t="str">
        <f t="shared" si="14"/>
        <v xml:space="preserve">0.048755 BIO-asntrna_c + </v>
      </c>
    </row>
    <row r="124" spans="1:8" x14ac:dyDescent="0.15">
      <c r="B124" t="str">
        <f t="shared" si="13"/>
        <v>MET-asptrna_c --&gt; 0.115087 BIO-asptrna_c</v>
      </c>
      <c r="C124" s="121" t="s">
        <v>255</v>
      </c>
      <c r="D124" s="112">
        <v>-0.18309939351351942</v>
      </c>
      <c r="E124" s="112" t="s">
        <v>236</v>
      </c>
      <c r="F124" s="122">
        <v>115.0874</v>
      </c>
      <c r="G124" s="112">
        <f t="shared" si="15"/>
        <v>4.8745410334400711E-2</v>
      </c>
      <c r="H124" t="str">
        <f t="shared" si="14"/>
        <v xml:space="preserve">0.048745 BIO-asptrna_c + </v>
      </c>
    </row>
    <row r="125" spans="1:8" x14ac:dyDescent="0.15">
      <c r="B125" t="str">
        <f t="shared" si="13"/>
        <v>MET-cystrna_c --&gt; 0.104151 BIO-cystrna_c</v>
      </c>
      <c r="C125" s="121" t="s">
        <v>256</v>
      </c>
      <c r="D125" s="112">
        <v>-5.5246926428515431E-3</v>
      </c>
      <c r="E125" s="112" t="s">
        <v>237</v>
      </c>
      <c r="F125" s="122">
        <v>104.15084</v>
      </c>
      <c r="G125" s="112">
        <f t="shared" si="15"/>
        <v>1.3310364381139504E-3</v>
      </c>
      <c r="H125" t="str">
        <f t="shared" si="14"/>
        <v xml:space="preserve">0.001331 BIO-cystrna_c + </v>
      </c>
    </row>
    <row r="126" spans="1:8" x14ac:dyDescent="0.15">
      <c r="B126" t="str">
        <f t="shared" si="13"/>
        <v>MET-glntrna_c --&gt; 0.129137 BIO-glntrna_c</v>
      </c>
      <c r="C126" s="121" t="s">
        <v>257</v>
      </c>
      <c r="D126" s="112">
        <v>-0.30542916423124289</v>
      </c>
      <c r="E126" s="112" t="s">
        <v>238</v>
      </c>
      <c r="F126" s="122">
        <v>129.13715999999999</v>
      </c>
      <c r="G126" s="112">
        <f t="shared" si="15"/>
        <v>9.1239055514282866E-2</v>
      </c>
      <c r="H126" t="str">
        <f t="shared" si="14"/>
        <v xml:space="preserve">0.091239 BIO-glntrna_c + </v>
      </c>
    </row>
    <row r="127" spans="1:8" x14ac:dyDescent="0.15">
      <c r="B127" t="str">
        <f t="shared" si="13"/>
        <v>MET-glutrna_c --&gt; 0.129114 BIO-glutrna_c</v>
      </c>
      <c r="C127" s="121" t="s">
        <v>258</v>
      </c>
      <c r="D127" s="112">
        <v>-0.30542916423124289</v>
      </c>
      <c r="E127" s="112" t="s">
        <v>239</v>
      </c>
      <c r="F127" s="122">
        <v>129.11398</v>
      </c>
      <c r="G127" s="112">
        <f t="shared" si="15"/>
        <v>9.1222678188756887E-2</v>
      </c>
      <c r="H127" t="str">
        <f t="shared" si="14"/>
        <v xml:space="preserve">0.091223 BIO-glutrna_c + </v>
      </c>
    </row>
    <row r="128" spans="1:8" x14ac:dyDescent="0.15">
      <c r="B128" t="str">
        <f t="shared" si="13"/>
        <v>MET-glytrna_c --&gt; 0.058059 BIO-glytrna_c</v>
      </c>
      <c r="C128" s="121" t="s">
        <v>259</v>
      </c>
      <c r="D128" s="112">
        <v>-0.35080949864989608</v>
      </c>
      <c r="E128" s="112" t="s">
        <v>240</v>
      </c>
      <c r="F128" s="122">
        <v>58.059260000000002</v>
      </c>
      <c r="G128" s="112">
        <f t="shared" si="15"/>
        <v>4.7115291907813356E-2</v>
      </c>
      <c r="H128" t="str">
        <f t="shared" si="14"/>
        <v xml:space="preserve">0.047115 BIO-glytrna_c + </v>
      </c>
    </row>
    <row r="129" spans="2:8" x14ac:dyDescent="0.15">
      <c r="B129" t="str">
        <f t="shared" si="13"/>
        <v>MET-histrna_c --&gt; 0.138147 BIO-histrna_c</v>
      </c>
      <c r="C129" s="121" t="s">
        <v>260</v>
      </c>
      <c r="D129" s="112">
        <v>-7.6159909310724194E-2</v>
      </c>
      <c r="E129" s="112" t="s">
        <v>241</v>
      </c>
      <c r="F129" s="122">
        <v>138.14722</v>
      </c>
      <c r="G129" s="112">
        <f t="shared" si="15"/>
        <v>2.4338152839990763E-2</v>
      </c>
      <c r="H129" t="str">
        <f t="shared" si="14"/>
        <v xml:space="preserve">0.024338 BIO-histrna_c + </v>
      </c>
    </row>
    <row r="130" spans="2:8" x14ac:dyDescent="0.15">
      <c r="B130" t="str">
        <f t="shared" si="13"/>
        <v>MET-iletrna_c --&gt; 0.114166 BIO-iletrna_c</v>
      </c>
      <c r="C130" s="121" t="s">
        <v>261</v>
      </c>
      <c r="D130" s="112">
        <v>-0.23242636473611752</v>
      </c>
      <c r="E130" s="112" t="s">
        <v>242</v>
      </c>
      <c r="F130" s="122">
        <v>114.16558000000001</v>
      </c>
      <c r="G130" s="112">
        <f t="shared" si="15"/>
        <v>6.1381800459248438E-2</v>
      </c>
      <c r="H130" t="str">
        <f t="shared" si="14"/>
        <v xml:space="preserve">0.061382 BIO-iletrna_c + </v>
      </c>
    </row>
    <row r="131" spans="2:8" x14ac:dyDescent="0.15">
      <c r="B131" t="str">
        <f t="shared" si="13"/>
        <v>MET-leutrna_c --&gt; 0.114166 BIO-leutrna_c</v>
      </c>
      <c r="C131" s="121" t="s">
        <v>262</v>
      </c>
      <c r="D131" s="112">
        <v>-0.31608328695388016</v>
      </c>
      <c r="E131" s="112" t="s">
        <v>242</v>
      </c>
      <c r="F131" s="122">
        <v>114.16558000000001</v>
      </c>
      <c r="G131" s="112">
        <f t="shared" si="15"/>
        <v>8.3474872871388731E-2</v>
      </c>
      <c r="H131" t="str">
        <f t="shared" si="14"/>
        <v xml:space="preserve">0.083475 BIO-leutrna_c + </v>
      </c>
    </row>
    <row r="132" spans="2:8" x14ac:dyDescent="0.15">
      <c r="B132" t="str">
        <f t="shared" si="13"/>
        <v>MET-lystrna_c --&gt; 0.130188 BIO-lystrna_c</v>
      </c>
      <c r="C132" s="121" t="s">
        <v>263</v>
      </c>
      <c r="D132" s="112">
        <v>-0.25925930282424359</v>
      </c>
      <c r="E132" s="112" t="s">
        <v>243</v>
      </c>
      <c r="F132" s="122">
        <v>130.18816000000001</v>
      </c>
      <c r="G132" s="112">
        <f t="shared" si="15"/>
        <v>7.8077317494348153E-2</v>
      </c>
      <c r="H132" t="str">
        <f t="shared" si="14"/>
        <v xml:space="preserve">0.078077 BIO-lystrna_c + </v>
      </c>
    </row>
    <row r="133" spans="2:8" x14ac:dyDescent="0.15">
      <c r="B133" t="str">
        <f t="shared" si="13"/>
        <v>MET-mettrna_c --&gt; 0.132204 BIO-mettrna_c</v>
      </c>
      <c r="C133" s="121" t="s">
        <v>264</v>
      </c>
      <c r="D133" s="112">
        <v>-4.4986069993372908E-2</v>
      </c>
      <c r="E133" s="112" t="s">
        <v>244</v>
      </c>
      <c r="F133" s="122">
        <v>132.20400000000001</v>
      </c>
      <c r="G133" s="112">
        <f t="shared" si="15"/>
        <v>1.3757568888154199E-2</v>
      </c>
      <c r="H133" t="str">
        <f t="shared" si="14"/>
        <v xml:space="preserve">0.013758 BIO-mettrna_c + </v>
      </c>
    </row>
    <row r="134" spans="2:8" x14ac:dyDescent="0.15">
      <c r="B134" t="str">
        <f t="shared" si="13"/>
        <v>MET-phetrna_c --&gt; 0.148182 BIO-phetrna_c</v>
      </c>
      <c r="C134" s="121" t="s">
        <v>265</v>
      </c>
      <c r="D134" s="112">
        <v>-0.14837417995528904</v>
      </c>
      <c r="E134" s="112" t="s">
        <v>245</v>
      </c>
      <c r="F134" s="122">
        <v>148.18180000000001</v>
      </c>
      <c r="G134" s="112">
        <f t="shared" si="15"/>
        <v>5.0859518426699717E-2</v>
      </c>
      <c r="H134" t="str">
        <f t="shared" si="14"/>
        <v xml:space="preserve">0.05086 BIO-phetrna_c + </v>
      </c>
    </row>
    <row r="135" spans="2:8" x14ac:dyDescent="0.15">
      <c r="B135" t="str">
        <f t="shared" si="13"/>
        <v>MET-protrna_c --&gt; 0.097115 BIO-protrna_c</v>
      </c>
      <c r="C135" s="121" t="s">
        <v>266</v>
      </c>
      <c r="D135" s="112">
        <v>-0.16652631372275031</v>
      </c>
      <c r="E135" s="112" t="s">
        <v>246</v>
      </c>
      <c r="F135" s="122">
        <v>97.115179999999995</v>
      </c>
      <c r="G135" s="112">
        <f t="shared" si="15"/>
        <v>3.741011420054819E-2</v>
      </c>
      <c r="H135" t="str">
        <f t="shared" si="14"/>
        <v xml:space="preserve">0.03741 BIO-protrna_c + </v>
      </c>
    </row>
    <row r="136" spans="2:8" x14ac:dyDescent="0.15">
      <c r="B136" t="str">
        <f t="shared" si="13"/>
        <v>MET-sertrna_c --&gt; 0.088085 BIO-sertrna_c</v>
      </c>
      <c r="C136" s="121" t="s">
        <v>267</v>
      </c>
      <c r="D136" s="112">
        <v>-0.21032759416471133</v>
      </c>
      <c r="E136" s="112" t="s">
        <v>247</v>
      </c>
      <c r="F136" s="122">
        <v>88.085239999999999</v>
      </c>
      <c r="G136" s="112">
        <f t="shared" si="15"/>
        <v>4.285667189476703E-2</v>
      </c>
      <c r="H136" t="str">
        <f t="shared" si="14"/>
        <v xml:space="preserve">0.042857 BIO-sertrna_c + </v>
      </c>
    </row>
    <row r="137" spans="2:8" x14ac:dyDescent="0.15">
      <c r="B137" t="str">
        <f t="shared" si="13"/>
        <v>MET-thrtrna_c --&gt; 0.102112 BIO-thrtrna_c</v>
      </c>
      <c r="C137" s="121" t="s">
        <v>268</v>
      </c>
      <c r="D137" s="112">
        <v>-0.21979892361150774</v>
      </c>
      <c r="E137" s="112" t="s">
        <v>248</v>
      </c>
      <c r="F137" s="122">
        <v>102.11181999999999</v>
      </c>
      <c r="G137" s="112">
        <f t="shared" si="15"/>
        <v>5.1918319206673662E-2</v>
      </c>
      <c r="H137" t="str">
        <f t="shared" si="14"/>
        <v xml:space="preserve">0.051918 BIO-thrtrna_c + </v>
      </c>
    </row>
    <row r="138" spans="2:8" x14ac:dyDescent="0.15">
      <c r="B138" t="str">
        <f t="shared" si="13"/>
        <v>MET-trptrna_c --&gt; 0.187218 BIO-trptrna_c</v>
      </c>
      <c r="C138" s="121" t="s">
        <v>269</v>
      </c>
      <c r="D138" s="112">
        <v>-2.565014481228527E-2</v>
      </c>
      <c r="E138" s="112" t="s">
        <v>249</v>
      </c>
      <c r="F138" s="122">
        <v>187.21784</v>
      </c>
      <c r="G138" s="112">
        <f t="shared" si="15"/>
        <v>1.1108517350173406E-2</v>
      </c>
      <c r="H138" t="str">
        <f t="shared" si="14"/>
        <v xml:space="preserve">0.011109 BIO-trptrna_c + </v>
      </c>
    </row>
    <row r="139" spans="2:8" x14ac:dyDescent="0.15">
      <c r="B139" t="str">
        <f t="shared" si="13"/>
        <v>MET-tyrtrna_c --&gt; 0.164181 BIO-tyrtrna_c</v>
      </c>
      <c r="C139" s="121" t="s">
        <v>270</v>
      </c>
      <c r="D139" s="112">
        <v>-7.7343700724350567E-2</v>
      </c>
      <c r="E139" s="112" t="s">
        <v>250</v>
      </c>
      <c r="F139" s="122">
        <v>164.18119999999999</v>
      </c>
      <c r="G139" s="112">
        <f t="shared" si="15"/>
        <v>2.9374292821487076E-2</v>
      </c>
      <c r="H139" t="str">
        <f t="shared" si="14"/>
        <v xml:space="preserve">0.029374 BIO-tyrtrna_c + </v>
      </c>
    </row>
    <row r="140" spans="2:8" ht="14" thickBot="1" x14ac:dyDescent="0.2">
      <c r="B140" t="str">
        <f t="shared" si="13"/>
        <v>MET-valtrna_c --&gt; 0.100139 BIO-valtrna_c</v>
      </c>
      <c r="C140" s="123" t="s">
        <v>271</v>
      </c>
      <c r="D140" s="124">
        <v>-0.28925034886575401</v>
      </c>
      <c r="E140" s="124" t="s">
        <v>251</v>
      </c>
      <c r="F140" s="125">
        <v>100.139</v>
      </c>
      <c r="G140" s="112">
        <f t="shared" si="15"/>
        <v>6.7003299200317112E-2</v>
      </c>
      <c r="H140" t="str">
        <f>ROUND(G140,6) &amp; " BIO-" &amp; C140</f>
        <v>0.067003 BIO-valtrna_c</v>
      </c>
    </row>
  </sheetData>
  <phoneticPr fontId="6" type="noConversion"/>
  <conditionalFormatting sqref="O1:O1048576">
    <cfRule type="cellIs" dxfId="52" priority="1" operator="equal">
      <formula>TRUE</formula>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C4F9-3CCA-EB42-BFF1-09CBA72A861D}">
  <sheetPr codeName="Sheet9"/>
  <dimension ref="A1:AD140"/>
  <sheetViews>
    <sheetView zoomScale="110" zoomScaleNormal="110" workbookViewId="0">
      <selection activeCell="D39" sqref="D39"/>
    </sheetView>
  </sheetViews>
  <sheetFormatPr baseColWidth="10" defaultColWidth="8.6640625" defaultRowHeight="13" x14ac:dyDescent="0.15"/>
  <cols>
    <col min="1" max="1" width="25.83203125" customWidth="1"/>
    <col min="2" max="2" width="42.5" customWidth="1"/>
    <col min="3" max="3" width="16.1640625" customWidth="1"/>
    <col min="4" max="4" width="11.33203125" customWidth="1"/>
    <col min="5" max="5" width="13.83203125" customWidth="1"/>
    <col min="6" max="6" width="9.1640625" customWidth="1"/>
    <col min="7" max="7" width="15.83203125" customWidth="1"/>
    <col min="8" max="8" width="31.83203125" customWidth="1"/>
    <col min="1015" max="1024" width="11.5" customWidth="1"/>
  </cols>
  <sheetData>
    <row r="1" spans="1:30" x14ac:dyDescent="0.15">
      <c r="A1" s="1" t="s">
        <v>14</v>
      </c>
      <c r="G1" s="111" t="s">
        <v>300</v>
      </c>
      <c r="H1" cm="1">
        <f t="array" ref="H1">SUMPRODUCT(_xlfn._xlws.FILTER(D:D,ISNUMBER(F:F)),_xlfn._xlws.FILTER(F:F+IF(ISNUMBER(I:I),I:I-F:F,0),ISNUMBER(F:F)))</f>
        <v>-1000</v>
      </c>
      <c r="AD1" t="str">
        <f>IF(AND(U1=Z1,W1=AB1),"",1)</f>
        <v/>
      </c>
    </row>
    <row r="2" spans="1:30" x14ac:dyDescent="0.15">
      <c r="A2" t="s">
        <v>195</v>
      </c>
      <c r="E2" s="1"/>
      <c r="F2" s="2"/>
      <c r="G2" s="111" t="s">
        <v>301</v>
      </c>
      <c r="H2" cm="1">
        <f t="array" ref="H2">SUMPRODUCT(_xlfn._xlws.FILTER(D:D,ISNUMBER(F:F)),_xlfn._xlws.FILTER(F:F,ISNUMBER(F:F)))</f>
        <v>-1046.5571488481776</v>
      </c>
      <c r="K2" s="3"/>
      <c r="AD2" t="str">
        <f t="shared" ref="AD2:AD67" si="0">IF(AND(U2=Z2,W2=AB2),"",1)</f>
        <v/>
      </c>
    </row>
    <row r="3" spans="1:30" x14ac:dyDescent="0.15">
      <c r="E3" s="1"/>
      <c r="F3" s="2"/>
      <c r="G3" s="3"/>
      <c r="AD3" t="str">
        <f t="shared" si="0"/>
        <v/>
      </c>
    </row>
    <row r="4" spans="1:30" x14ac:dyDescent="0.15">
      <c r="A4" s="1" t="s">
        <v>15</v>
      </c>
      <c r="B4" s="4"/>
      <c r="G4" s="3"/>
      <c r="AD4" t="str">
        <f t="shared" si="0"/>
        <v/>
      </c>
    </row>
    <row r="5" spans="1:30" x14ac:dyDescent="0.15">
      <c r="A5" s="1" t="s">
        <v>16</v>
      </c>
      <c r="AD5" t="str">
        <f t="shared" si="0"/>
        <v/>
      </c>
    </row>
    <row r="6" spans="1:30" x14ac:dyDescent="0.15">
      <c r="A6" t="s">
        <v>303</v>
      </c>
      <c r="B6" t="str">
        <f>_xlfn.CONCAT(E8:E16) &amp; _xlfn.CONCAT(E18:E22)</f>
        <v>0.124490145987973 BIO-carb + 0.305725513999914 BIO-prot + 0.0506417795324945 BIO-rna + 0.446813806212994 BIO-lipid + 0.0334235683011316 BIO-dna + 0.0252415985560365 BIO-metal + 0.00058061177179479 BIO-cofactor + 0.00298633342750907 BIO-so4 + 0.0100966422101525 BIO-pi + 159.808348 MET-atp_c + 159.808348 MET-h2o_c --&gt; 159.808348 MET-adp_c + 159.808348 MET-pi_c + 159.808348 MET-h_c</v>
      </c>
      <c r="AD6" t="str">
        <f t="shared" si="0"/>
        <v/>
      </c>
    </row>
    <row r="7" spans="1:30" ht="14" thickBot="1" x14ac:dyDescent="0.2">
      <c r="B7" s="1" t="s">
        <v>18</v>
      </c>
      <c r="C7" s="1" t="s">
        <v>19</v>
      </c>
      <c r="D7" s="1" t="s">
        <v>20</v>
      </c>
      <c r="AD7" t="str">
        <f t="shared" si="0"/>
        <v/>
      </c>
    </row>
    <row r="8" spans="1:30" x14ac:dyDescent="0.15">
      <c r="B8" s="42" t="s">
        <v>274</v>
      </c>
      <c r="C8" s="126">
        <f>SUMPRODUCT(D39:D44,F39:F44)/1000</f>
        <v>-0.12449014598797327</v>
      </c>
      <c r="D8" s="115" t="s">
        <v>277</v>
      </c>
      <c r="E8" t="str">
        <f t="shared" ref="E8:E16" si="1">-C8 &amp; " " &amp; B8 &amp; " +" &amp; " "</f>
        <v xml:space="preserve">0.124490145987973 BIO-carb + </v>
      </c>
      <c r="AD8" t="str">
        <f t="shared" si="0"/>
        <v/>
      </c>
    </row>
    <row r="9" spans="1:30" x14ac:dyDescent="0.15">
      <c r="B9" s="112" t="s">
        <v>272</v>
      </c>
      <c r="C9" s="127">
        <f>SUMPRODUCT(D121:D140,F121:F140)/1000</f>
        <v>-0.30572551399991421</v>
      </c>
      <c r="D9" s="114" t="s">
        <v>276</v>
      </c>
      <c r="E9" t="str">
        <f t="shared" si="1"/>
        <v xml:space="preserve">0.305725513999914 BIO-prot + </v>
      </c>
      <c r="AD9" t="str">
        <f t="shared" si="0"/>
        <v/>
      </c>
    </row>
    <row r="10" spans="1:30" x14ac:dyDescent="0.15">
      <c r="B10" s="104" t="s">
        <v>273</v>
      </c>
      <c r="C10" s="128">
        <f>SUMPRODUCT(D49:D52,I49:I52)/1000</f>
        <v>-5.0641779532494505E-2</v>
      </c>
      <c r="D10" s="113" t="s">
        <v>275</v>
      </c>
      <c r="E10" t="str">
        <f t="shared" si="1"/>
        <v xml:space="preserve">0.0506417795324945 BIO-rna + </v>
      </c>
      <c r="AD10" t="str">
        <f t="shared" si="0"/>
        <v/>
      </c>
    </row>
    <row r="11" spans="1:30" x14ac:dyDescent="0.15">
      <c r="B11" s="5" t="s">
        <v>22</v>
      </c>
      <c r="C11" s="116">
        <f>SUMPRODUCT(D60:D73,F60:F73)/1000</f>
        <v>-0.44681380621299394</v>
      </c>
      <c r="D11" s="6" t="s">
        <v>23</v>
      </c>
      <c r="E11" t="str">
        <f t="shared" si="1"/>
        <v xml:space="preserve">0.446813806212994 BIO-lipid + </v>
      </c>
      <c r="AD11" t="str">
        <f t="shared" si="0"/>
        <v/>
      </c>
    </row>
    <row r="12" spans="1:30" x14ac:dyDescent="0.15">
      <c r="B12" s="7" t="s">
        <v>24</v>
      </c>
      <c r="C12" s="117">
        <f>SUMPRODUCT(D78:D81,I78:I81)/1000</f>
        <v>-3.3423568301131634E-2</v>
      </c>
      <c r="D12" s="8" t="s">
        <v>25</v>
      </c>
      <c r="E12" t="str">
        <f t="shared" si="1"/>
        <v xml:space="preserve">0.0334235683011316 BIO-dna + </v>
      </c>
      <c r="AD12" t="str">
        <f t="shared" si="0"/>
        <v/>
      </c>
    </row>
    <row r="13" spans="1:30" x14ac:dyDescent="0.15">
      <c r="B13" s="9" t="s">
        <v>26</v>
      </c>
      <c r="C13" s="30">
        <f>SUMPRODUCT(D86:D92,F86:F92)/1000</f>
        <v>-2.5241598556036478E-2</v>
      </c>
      <c r="D13" s="10" t="s">
        <v>27</v>
      </c>
      <c r="E13" t="str">
        <f t="shared" si="1"/>
        <v xml:space="preserve">0.0252415985560365 BIO-metal + </v>
      </c>
      <c r="AD13" t="str">
        <f t="shared" si="0"/>
        <v/>
      </c>
    </row>
    <row r="14" spans="1:30" x14ac:dyDescent="0.15">
      <c r="B14" s="11" t="s">
        <v>28</v>
      </c>
      <c r="C14" s="31">
        <f>SUMPRODUCT(D97:D108,F97:F108)/1000</f>
        <v>-5.8061177179479049E-4</v>
      </c>
      <c r="D14" s="12" t="s">
        <v>29</v>
      </c>
      <c r="E14" t="str">
        <f t="shared" si="1"/>
        <v xml:space="preserve">0.00058061177179479 BIO-cofactor + </v>
      </c>
      <c r="AD14" t="str">
        <f t="shared" si="0"/>
        <v/>
      </c>
    </row>
    <row r="15" spans="1:30" ht="14" thickBot="1" x14ac:dyDescent="0.2">
      <c r="B15" s="13" t="s">
        <v>30</v>
      </c>
      <c r="C15" s="32">
        <f>SUMPRODUCT(D112,F112)/1000</f>
        <v>-2.9863334275090688E-3</v>
      </c>
      <c r="D15" s="14" t="s">
        <v>31</v>
      </c>
      <c r="E15" t="str">
        <f t="shared" si="1"/>
        <v xml:space="preserve">0.00298633342750907 BIO-so4 + </v>
      </c>
      <c r="AD15" t="str">
        <f t="shared" si="0"/>
        <v/>
      </c>
    </row>
    <row r="16" spans="1:30" ht="14" thickBot="1" x14ac:dyDescent="0.2">
      <c r="B16" s="15" t="s">
        <v>32</v>
      </c>
      <c r="C16" s="33">
        <f>SUMPRODUCT(D116,F116)/1000</f>
        <v>-1.0096642210152515E-2</v>
      </c>
      <c r="D16" s="16" t="s">
        <v>33</v>
      </c>
      <c r="E16" t="str">
        <f t="shared" si="1"/>
        <v xml:space="preserve">0.0100966422101525 BIO-pi + </v>
      </c>
      <c r="H16" t="s">
        <v>34</v>
      </c>
      <c r="I16" s="37">
        <v>7.6</v>
      </c>
      <c r="AD16" t="str">
        <f t="shared" si="0"/>
        <v/>
      </c>
    </row>
    <row r="17" spans="1:30" ht="14" thickBot="1" x14ac:dyDescent="0.2">
      <c r="B17" s="1" t="s">
        <v>18</v>
      </c>
      <c r="C17" s="1" t="s">
        <v>35</v>
      </c>
      <c r="D17" s="1" t="s">
        <v>20</v>
      </c>
      <c r="I17" t="s">
        <v>36</v>
      </c>
      <c r="J17" t="s">
        <v>37</v>
      </c>
      <c r="AD17" t="str">
        <f t="shared" si="0"/>
        <v/>
      </c>
    </row>
    <row r="18" spans="1:30" x14ac:dyDescent="0.15">
      <c r="B18" s="17" t="s">
        <v>38</v>
      </c>
      <c r="C18" s="18">
        <f>-J18</f>
        <v>-159.808348</v>
      </c>
      <c r="D18" s="19" t="s">
        <v>39</v>
      </c>
      <c r="E18" t="str">
        <f>-C18 &amp; " " &amp; B18 &amp; " +" &amp; " "</f>
        <v xml:space="preserve">159.808348 MET-atp_c + </v>
      </c>
      <c r="F18" s="1"/>
      <c r="G18" s="1"/>
      <c r="H18" t="s">
        <v>40</v>
      </c>
      <c r="I18" s="96">
        <v>167.40834799999999</v>
      </c>
      <c r="J18" s="95">
        <f>I18-$I$16</f>
        <v>159.808348</v>
      </c>
      <c r="AD18" t="str">
        <f t="shared" si="0"/>
        <v/>
      </c>
    </row>
    <row r="19" spans="1:30" x14ac:dyDescent="0.15">
      <c r="B19" s="17" t="s">
        <v>41</v>
      </c>
      <c r="C19" s="18">
        <f>C18</f>
        <v>-159.808348</v>
      </c>
      <c r="D19" s="17"/>
      <c r="E19" t="str">
        <f>-C19 &amp; " " &amp; B19 &amp; " --&gt; "</f>
        <v xml:space="preserve">159.808348 MET-h2o_c --&gt; </v>
      </c>
      <c r="H19" t="s">
        <v>42</v>
      </c>
      <c r="I19" s="97"/>
      <c r="J19" s="95">
        <f>I19-$I$16</f>
        <v>-7.6</v>
      </c>
      <c r="AD19" t="str">
        <f t="shared" si="0"/>
        <v/>
      </c>
    </row>
    <row r="20" spans="1:30" x14ac:dyDescent="0.15">
      <c r="B20" s="17" t="s">
        <v>43</v>
      </c>
      <c r="C20" s="18">
        <f>-C18</f>
        <v>159.808348</v>
      </c>
      <c r="D20" s="17"/>
      <c r="E20" t="str">
        <f>C20 &amp; " " &amp; B20 &amp; " +" &amp; " "</f>
        <v xml:space="preserve">159.808348 MET-adp_c + </v>
      </c>
      <c r="H20" t="s">
        <v>44</v>
      </c>
      <c r="I20" s="97"/>
      <c r="J20" s="95">
        <f>I20-$I$16</f>
        <v>-7.6</v>
      </c>
      <c r="AD20" t="str">
        <f t="shared" si="0"/>
        <v/>
      </c>
    </row>
    <row r="21" spans="1:30" ht="14" thickBot="1" x14ac:dyDescent="0.2">
      <c r="B21" s="17" t="s">
        <v>45</v>
      </c>
      <c r="C21" s="18">
        <f>-C18</f>
        <v>159.808348</v>
      </c>
      <c r="D21" s="17"/>
      <c r="E21" t="str">
        <f>C21 &amp; " " &amp; B21 &amp; " +" &amp; " "</f>
        <v xml:space="preserve">159.808348 MET-pi_c + </v>
      </c>
      <c r="H21" t="s">
        <v>46</v>
      </c>
      <c r="I21" s="98">
        <v>189.454734</v>
      </c>
      <c r="J21" s="95">
        <f>I21-$I$16</f>
        <v>181.85473400000001</v>
      </c>
      <c r="AD21" t="str">
        <f t="shared" si="0"/>
        <v/>
      </c>
    </row>
    <row r="22" spans="1:30" x14ac:dyDescent="0.15">
      <c r="B22" s="17" t="s">
        <v>47</v>
      </c>
      <c r="C22" s="18">
        <f>-C18</f>
        <v>159.808348</v>
      </c>
      <c r="D22" s="17"/>
      <c r="E22" t="str">
        <f>C22 &amp; " " &amp; B22</f>
        <v>159.808348 MET-h_c</v>
      </c>
      <c r="AD22" t="str">
        <f t="shared" si="0"/>
        <v/>
      </c>
    </row>
    <row r="23" spans="1:30" x14ac:dyDescent="0.15">
      <c r="C23" s="4"/>
      <c r="AD23" t="str">
        <f t="shared" si="0"/>
        <v/>
      </c>
    </row>
    <row r="24" spans="1:30" ht="14" thickBot="1" x14ac:dyDescent="0.2">
      <c r="A24" s="1" t="s">
        <v>48</v>
      </c>
      <c r="AD24" t="str">
        <f t="shared" si="0"/>
        <v/>
      </c>
    </row>
    <row r="25" spans="1:30" x14ac:dyDescent="0.15">
      <c r="A25" s="34" t="s">
        <v>49</v>
      </c>
      <c r="B25" s="34" t="str">
        <f>"BIO-prot --&gt; " &amp; $B$8</f>
        <v>BIO-prot --&gt; BIO-carb</v>
      </c>
      <c r="AD25" t="str">
        <f t="shared" si="0"/>
        <v/>
      </c>
    </row>
    <row r="26" spans="1:30" x14ac:dyDescent="0.15">
      <c r="A26" s="35" t="s">
        <v>50</v>
      </c>
      <c r="B26" s="35" t="str">
        <f>"BIO-rna --&gt; " &amp; $B$8</f>
        <v>BIO-rna --&gt; BIO-carb</v>
      </c>
      <c r="AD26" t="str">
        <f t="shared" si="0"/>
        <v/>
      </c>
    </row>
    <row r="27" spans="1:30" ht="14" thickBot="1" x14ac:dyDescent="0.2">
      <c r="A27" s="36" t="s">
        <v>51</v>
      </c>
      <c r="B27" s="36" t="str">
        <f>"BIO-carb --&gt; " &amp; $B$8</f>
        <v>BIO-carb --&gt; BIO-carb</v>
      </c>
      <c r="AD27" t="str">
        <f t="shared" si="0"/>
        <v/>
      </c>
    </row>
    <row r="28" spans="1:30" x14ac:dyDescent="0.15">
      <c r="AD28" t="str">
        <f t="shared" si="0"/>
        <v/>
      </c>
    </row>
    <row r="29" spans="1:30" x14ac:dyDescent="0.15">
      <c r="A29" s="1" t="s">
        <v>52</v>
      </c>
      <c r="AD29" t="str">
        <f t="shared" si="0"/>
        <v/>
      </c>
    </row>
    <row r="30" spans="1:30" x14ac:dyDescent="0.15">
      <c r="A30" t="s">
        <v>53</v>
      </c>
      <c r="B30" t="s">
        <v>54</v>
      </c>
      <c r="AD30" t="str">
        <f t="shared" si="0"/>
        <v/>
      </c>
    </row>
    <row r="31" spans="1:30" x14ac:dyDescent="0.15">
      <c r="A31" t="s">
        <v>55</v>
      </c>
      <c r="B31" t="s">
        <v>56</v>
      </c>
      <c r="AD31" t="str">
        <f t="shared" si="0"/>
        <v/>
      </c>
    </row>
    <row r="32" spans="1:30" x14ac:dyDescent="0.15">
      <c r="A32" t="s">
        <v>57</v>
      </c>
      <c r="B32" t="s">
        <v>58</v>
      </c>
      <c r="AD32" t="str">
        <f t="shared" si="0"/>
        <v/>
      </c>
    </row>
    <row r="33" spans="1:30" x14ac:dyDescent="0.15">
      <c r="A33" t="s">
        <v>59</v>
      </c>
      <c r="B33" t="s">
        <v>60</v>
      </c>
      <c r="AD33" t="str">
        <f t="shared" si="0"/>
        <v/>
      </c>
    </row>
    <row r="34" spans="1:30" x14ac:dyDescent="0.15">
      <c r="A34" t="s">
        <v>61</v>
      </c>
      <c r="B34" t="s">
        <v>62</v>
      </c>
      <c r="AD34" t="str">
        <f t="shared" si="0"/>
        <v/>
      </c>
    </row>
    <row r="35" spans="1:30" x14ac:dyDescent="0.15">
      <c r="AD35" t="str">
        <f t="shared" si="0"/>
        <v/>
      </c>
    </row>
    <row r="36" spans="1:30" x14ac:dyDescent="0.15">
      <c r="A36" s="1" t="s">
        <v>63</v>
      </c>
      <c r="AD36" t="str">
        <f t="shared" si="0"/>
        <v/>
      </c>
    </row>
    <row r="37" spans="1:30" x14ac:dyDescent="0.15">
      <c r="A37" t="s">
        <v>64</v>
      </c>
      <c r="B37" t="str">
        <f>_xlfn.CONCAT(H39:H44) &amp; " --&gt; BIO-carb"</f>
        <v>0.118915 BIO-gpianchorSC_r + 0.118793 BIO-G00006_c + 0.118798 BIO-oglycanSC_g + 0.497757 BIO-13BDglucan_c + 0.130989 BIO-16BDglucan_en + 0.014748 BIO-chtn_c --&gt; BIO-carb</v>
      </c>
      <c r="AD37" t="str">
        <f t="shared" si="0"/>
        <v/>
      </c>
    </row>
    <row r="38" spans="1:30" ht="14" thickBot="1" x14ac:dyDescent="0.2">
      <c r="C38" s="1" t="s">
        <v>18</v>
      </c>
      <c r="D38" s="1" t="s">
        <v>65</v>
      </c>
      <c r="E38" s="1" t="s">
        <v>66</v>
      </c>
      <c r="F38" s="1" t="s">
        <v>67</v>
      </c>
      <c r="G38" s="1" t="s">
        <v>68</v>
      </c>
      <c r="AD38" t="str">
        <f t="shared" si="0"/>
        <v/>
      </c>
    </row>
    <row r="39" spans="1:30" x14ac:dyDescent="0.15">
      <c r="A39" s="34" t="s">
        <v>69</v>
      </c>
      <c r="B39" t="str">
        <f t="shared" ref="B39:B44" si="2">"MET-" &amp; C39 &amp; " --&gt; " &amp; ROUND(F39/1000,6) &amp; " BIO-" &amp;C39</f>
        <v>MET-gpianchorSC_r --&gt; 2.280413 BIO-gpianchorSC_r</v>
      </c>
      <c r="C39" s="38" t="s">
        <v>196</v>
      </c>
      <c r="D39" s="39">
        <v>-6.4916773344858526E-3</v>
      </c>
      <c r="E39" s="40" t="s">
        <v>200</v>
      </c>
      <c r="F39" s="48">
        <v>2280.41334042176</v>
      </c>
      <c r="G39" s="47">
        <f t="shared" ref="G39:G44" si="3">F39*D39/SUMPRODUCT($D$39:$D$44,$F$39:$F$44)</f>
        <v>0.11891469383211475</v>
      </c>
      <c r="H39" t="str">
        <f>ROUND(G39,6) &amp; " BIO-" &amp; C39 &amp; " + "</f>
        <v xml:space="preserve">0.118915 BIO-gpianchorSC_r + </v>
      </c>
      <c r="AD39" t="str">
        <f t="shared" si="0"/>
        <v/>
      </c>
    </row>
    <row r="40" spans="1:30" x14ac:dyDescent="0.15">
      <c r="A40" s="35" t="s">
        <v>70</v>
      </c>
      <c r="B40" t="str">
        <f t="shared" si="2"/>
        <v>MET-G00006_c --&gt; 2.619137 BIO-G00006_c</v>
      </c>
      <c r="C40" s="41" t="s">
        <v>197</v>
      </c>
      <c r="D40" s="42">
        <v>-5.646365362556637E-3</v>
      </c>
      <c r="E40" s="43" t="s">
        <v>201</v>
      </c>
      <c r="F40" s="49">
        <v>2619.1368040000002</v>
      </c>
      <c r="G40" s="47">
        <f t="shared" si="3"/>
        <v>0.11879336482850289</v>
      </c>
      <c r="H40" t="str">
        <f>ROUND(G40,6) &amp; " BIO-" &amp; C40 &amp; " + "</f>
        <v xml:space="preserve">0.118793 BIO-G00006_c + </v>
      </c>
      <c r="AD40" t="str">
        <f t="shared" si="0"/>
        <v/>
      </c>
    </row>
    <row r="41" spans="1:30" x14ac:dyDescent="0.15">
      <c r="A41" s="35" t="s">
        <v>72</v>
      </c>
      <c r="B41" t="str">
        <f t="shared" si="2"/>
        <v>MET-oglycanSC_g --&gt; 0.810703 BIO-oglycanSC_g</v>
      </c>
      <c r="C41" s="41" t="s">
        <v>198</v>
      </c>
      <c r="D41" s="42">
        <v>-1.8242409834731566E-2</v>
      </c>
      <c r="E41" s="43" t="s">
        <v>202</v>
      </c>
      <c r="F41" s="49">
        <v>810.70299999999997</v>
      </c>
      <c r="G41" s="47">
        <f t="shared" si="3"/>
        <v>0.11879796800684238</v>
      </c>
      <c r="H41" t="str">
        <f>ROUND(G41,6) &amp; " BIO-" &amp; C41 &amp; " + "</f>
        <v xml:space="preserve">0.118798 BIO-oglycanSC_g + </v>
      </c>
      <c r="AD41" t="str">
        <f t="shared" si="0"/>
        <v/>
      </c>
    </row>
    <row r="42" spans="1:30" x14ac:dyDescent="0.15">
      <c r="A42" s="35" t="s">
        <v>74</v>
      </c>
      <c r="B42" t="str">
        <f t="shared" si="2"/>
        <v>MET-13BDglucan_c --&gt; 0.162141 BIO-13BDglucan_c</v>
      </c>
      <c r="C42" s="41" t="s">
        <v>199</v>
      </c>
      <c r="D42" s="42">
        <v>-0.3821736073230651</v>
      </c>
      <c r="E42" s="43" t="s">
        <v>71</v>
      </c>
      <c r="F42" s="49">
        <v>162.14060000000001</v>
      </c>
      <c r="G42" s="47">
        <f t="shared" si="3"/>
        <v>0.49775713172922592</v>
      </c>
      <c r="H42" t="str">
        <f>ROUND(G42,6) &amp; " BIO-" &amp; C42 &amp; " + "</f>
        <v xml:space="preserve">0.497757 BIO-13BDglucan_c + </v>
      </c>
      <c r="AD42" t="str">
        <f t="shared" si="0"/>
        <v/>
      </c>
    </row>
    <row r="43" spans="1:30" x14ac:dyDescent="0.15">
      <c r="A43" s="35" t="s">
        <v>77</v>
      </c>
      <c r="B43" t="str">
        <f t="shared" si="2"/>
        <v>MET-16BDglucan_en --&gt; 0.162141 BIO-16BDglucan_en</v>
      </c>
      <c r="C43" s="41" t="s">
        <v>73</v>
      </c>
      <c r="D43" s="42">
        <v>-0.10057221153891879</v>
      </c>
      <c r="E43" s="43" t="s">
        <v>71</v>
      </c>
      <c r="F43" s="49">
        <v>162.14060000000001</v>
      </c>
      <c r="G43" s="47">
        <f t="shared" si="3"/>
        <v>0.13098899188231805</v>
      </c>
      <c r="H43" t="str">
        <f>ROUND(G43,6) &amp; " BIO-" &amp; C43 &amp; " + "</f>
        <v xml:space="preserve">0.130989 BIO-16BDglucan_en + </v>
      </c>
      <c r="AD43" t="str">
        <f t="shared" si="0"/>
        <v/>
      </c>
    </row>
    <row r="44" spans="1:30" ht="14" thickBot="1" x14ac:dyDescent="0.2">
      <c r="A44" s="36" t="s">
        <v>78</v>
      </c>
      <c r="B44" t="str">
        <f t="shared" si="2"/>
        <v>MET-chtn_c --&gt; 0.203193 BIO-chtn_c</v>
      </c>
      <c r="C44" s="44" t="s">
        <v>75</v>
      </c>
      <c r="D44" s="45">
        <v>-9.0355784985366727E-3</v>
      </c>
      <c r="E44" s="46" t="s">
        <v>76</v>
      </c>
      <c r="F44" s="50">
        <v>203.19252</v>
      </c>
      <c r="G44" s="47">
        <f t="shared" si="3"/>
        <v>1.4747849720995999E-2</v>
      </c>
      <c r="H44" t="str">
        <f>ROUND(G44,6) &amp; " BIO-" &amp; C44</f>
        <v>0.014748 BIO-chtn_c</v>
      </c>
      <c r="AD44" t="str">
        <f t="shared" si="0"/>
        <v/>
      </c>
    </row>
    <row r="45" spans="1:30" x14ac:dyDescent="0.15">
      <c r="D45" t="s">
        <v>302</v>
      </c>
      <c r="AD45" t="str">
        <f t="shared" si="0"/>
        <v/>
      </c>
    </row>
    <row r="46" spans="1:30" ht="14" thickBot="1" x14ac:dyDescent="0.2">
      <c r="A46" s="1" t="s">
        <v>79</v>
      </c>
      <c r="D46" t="s">
        <v>302</v>
      </c>
      <c r="AD46" t="str">
        <f t="shared" si="0"/>
        <v/>
      </c>
    </row>
    <row r="47" spans="1:30" ht="14" thickBot="1" x14ac:dyDescent="0.2">
      <c r="A47" t="s">
        <v>80</v>
      </c>
      <c r="B47" s="37" t="s">
        <v>81</v>
      </c>
      <c r="D47" t="s">
        <v>302</v>
      </c>
      <c r="AD47" t="str">
        <f t="shared" si="0"/>
        <v/>
      </c>
    </row>
    <row r="48" spans="1:30" ht="14" thickBot="1" x14ac:dyDescent="0.2">
      <c r="C48" s="1" t="s">
        <v>18</v>
      </c>
      <c r="D48" s="1" t="s">
        <v>65</v>
      </c>
      <c r="E48" s="1" t="s">
        <v>66</v>
      </c>
      <c r="F48" s="1" t="s">
        <v>67</v>
      </c>
      <c r="G48" s="1" t="s">
        <v>68</v>
      </c>
      <c r="I48" s="1" t="s">
        <v>82</v>
      </c>
      <c r="AD48" t="str">
        <f t="shared" si="0"/>
        <v/>
      </c>
    </row>
    <row r="49" spans="1:30" x14ac:dyDescent="0.15">
      <c r="A49" s="34" t="s">
        <v>83</v>
      </c>
      <c r="B49" t="str">
        <f>"MET-" &amp; C49 &amp; " --&gt; " &amp; ROUND(I49/1000,6) &amp; " BIO-" &amp; C49 &amp; " + MET-ppi_c"</f>
        <v>MET-atp_c --&gt; 0.328198 BIO-atp_c + MET-ppi_c</v>
      </c>
      <c r="C49" s="99" t="s">
        <v>84</v>
      </c>
      <c r="D49" s="100">
        <v>-4.0156801609224677E-2</v>
      </c>
      <c r="E49" s="101" t="s">
        <v>85</v>
      </c>
      <c r="F49" s="102">
        <v>503.14926300000002</v>
      </c>
      <c r="G49" s="20">
        <f>D49 * I49 / SUMPRODUCT($D$49:$D$52, $I$49:$I$52)</f>
        <v>0.26024721359257363</v>
      </c>
      <c r="H49" t="str">
        <f>ROUND(G49,6) &amp; " BIO-" &amp; C49 &amp; " + "</f>
        <v xml:space="preserve">0.260247 BIO-atp_c + </v>
      </c>
      <c r="I49" s="21">
        <f>F49 - 174.951262</f>
        <v>328.19800099999998</v>
      </c>
      <c r="AD49" t="str">
        <f t="shared" si="0"/>
        <v/>
      </c>
    </row>
    <row r="50" spans="1:30" x14ac:dyDescent="0.15">
      <c r="A50" s="35" t="s">
        <v>86</v>
      </c>
      <c r="B50" t="str">
        <f>"MET-" &amp; C50 &amp; " --&gt; " &amp; ROUND(I50/1000,6) &amp; " BIO-" &amp; C50 &amp; " + MET-ppi_c"</f>
        <v>MET-ctp_c --&gt; 0.304173 BIO-ctp_c + MET-ppi_c</v>
      </c>
      <c r="C50" s="103" t="s">
        <v>87</v>
      </c>
      <c r="D50" s="104">
        <v>-4.8924546144473287E-2</v>
      </c>
      <c r="E50" s="105" t="s">
        <v>88</v>
      </c>
      <c r="F50" s="106">
        <v>479.12456300000002</v>
      </c>
      <c r="G50" s="20">
        <f>D50 * I50 / SUMPRODUCT($D$49:$D$52, $I$49:$I$52)</f>
        <v>0.29385896068566197</v>
      </c>
      <c r="H50" t="str">
        <f>ROUND(G50,6) &amp; " BIO-" &amp; C50 &amp; " + "</f>
        <v xml:space="preserve">0.293859 BIO-ctp_c + </v>
      </c>
      <c r="I50" s="21">
        <f>F50 - 174.951262</f>
        <v>304.17330100000004</v>
      </c>
      <c r="AD50" t="str">
        <f t="shared" si="0"/>
        <v/>
      </c>
    </row>
    <row r="51" spans="1:30" x14ac:dyDescent="0.15">
      <c r="A51" s="35" t="s">
        <v>89</v>
      </c>
      <c r="B51" t="str">
        <f>"MET-" &amp; C51 &amp; " --&gt; " &amp; ROUND(I51/1000,6) &amp; " BIO-" &amp; C51 &amp; " + MET-ppi_c"</f>
        <v>MET-gtp_c --&gt; 0.344197 BIO-gtp_c + MET-ppi_c</v>
      </c>
      <c r="C51" s="103" t="s">
        <v>90</v>
      </c>
      <c r="D51" s="104">
        <v>-4.2867970496363254E-2</v>
      </c>
      <c r="E51" s="105" t="s">
        <v>91</v>
      </c>
      <c r="F51" s="106">
        <v>519.14866300000006</v>
      </c>
      <c r="G51" s="20">
        <f>D51 * I51 / SUMPRODUCT($D$49:$D$52, $I$49:$I$52)</f>
        <v>0.29136108895077983</v>
      </c>
      <c r="H51" t="str">
        <f>ROUND(G51,6) &amp; " BIO-" &amp; C51 &amp; " + "</f>
        <v xml:space="preserve">0.291361 BIO-gtp_c + </v>
      </c>
      <c r="I51" s="21">
        <f>F51 - 174.951262</f>
        <v>344.19740100000001</v>
      </c>
      <c r="AD51" t="str">
        <f t="shared" si="0"/>
        <v/>
      </c>
    </row>
    <row r="52" spans="1:30" ht="14" thickBot="1" x14ac:dyDescent="0.2">
      <c r="A52" s="35" t="s">
        <v>92</v>
      </c>
      <c r="B52" t="str">
        <f>"MET-" &amp; C52 &amp; " --&gt; " &amp; ROUND(I52/1000,6) &amp; " BIO-" &amp; C52 &amp; " + MET-ppi_c"</f>
        <v>MET-utp_c --&gt; 0.305158 BIO-utp_c + MET-ppi_c</v>
      </c>
      <c r="C52" s="107" t="s">
        <v>93</v>
      </c>
      <c r="D52" s="108">
        <v>-2.5645112439317806E-2</v>
      </c>
      <c r="E52" s="109" t="s">
        <v>94</v>
      </c>
      <c r="F52" s="110">
        <v>480.10932300000002</v>
      </c>
      <c r="G52" s="20">
        <f>D52 * I52 / SUMPRODUCT($D$49:$D$52, $I$49:$I$52)</f>
        <v>0.15453273677098445</v>
      </c>
      <c r="H52" t="str">
        <f>ROUND(G52,6) &amp; " BIO-" &amp; C52</f>
        <v>0.154533 BIO-utp_c</v>
      </c>
      <c r="I52" s="21">
        <f>F52 - 174.951262</f>
        <v>305.15806099999998</v>
      </c>
      <c r="AD52" t="str">
        <f t="shared" si="0"/>
        <v/>
      </c>
    </row>
    <row r="53" spans="1:30" x14ac:dyDescent="0.15">
      <c r="A53" s="35" t="s">
        <v>95</v>
      </c>
      <c r="B53" t="str">
        <f>_xlfn.CONCAT(H49:H52) &amp; " --&gt; BIO-trna"</f>
        <v>0.260247 BIO-atp_c + 0.293859 BIO-ctp_c + 0.291361 BIO-gtp_c + 0.154533 BIO-utp_c --&gt; BIO-trna</v>
      </c>
      <c r="D53" t="s">
        <v>302</v>
      </c>
      <c r="G53" s="22"/>
      <c r="AD53" t="str">
        <f t="shared" si="0"/>
        <v/>
      </c>
    </row>
    <row r="54" spans="1:30" x14ac:dyDescent="0.15">
      <c r="A54" s="35" t="s">
        <v>96</v>
      </c>
      <c r="B54" t="str">
        <f>_xlfn.CONCAT(H49:H52) &amp; " --&gt; BIO-mrna"</f>
        <v>0.260247 BIO-atp_c + 0.293859 BIO-ctp_c + 0.291361 BIO-gtp_c + 0.154533 BIO-utp_c --&gt; BIO-mrna</v>
      </c>
      <c r="D54" t="s">
        <v>302</v>
      </c>
      <c r="AD54" t="str">
        <f t="shared" si="0"/>
        <v/>
      </c>
    </row>
    <row r="55" spans="1:30" ht="14" thickBot="1" x14ac:dyDescent="0.2">
      <c r="A55" s="36" t="s">
        <v>97</v>
      </c>
      <c r="B55" t="str">
        <f>_xlfn.CONCAT(H49:H52) &amp; " --&gt; BIO-rrna"</f>
        <v>0.260247 BIO-atp_c + 0.293859 BIO-ctp_c + 0.291361 BIO-gtp_c + 0.154533 BIO-utp_c --&gt; BIO-rrna</v>
      </c>
      <c r="D55" t="s">
        <v>302</v>
      </c>
      <c r="AD55" t="str">
        <f t="shared" si="0"/>
        <v/>
      </c>
    </row>
    <row r="56" spans="1:30" x14ac:dyDescent="0.15">
      <c r="D56" t="s">
        <v>302</v>
      </c>
      <c r="AD56" t="str">
        <f t="shared" si="0"/>
        <v/>
      </c>
    </row>
    <row r="57" spans="1:30" x14ac:dyDescent="0.15">
      <c r="A57" s="1" t="s">
        <v>98</v>
      </c>
      <c r="D57" t="s">
        <v>302</v>
      </c>
      <c r="AD57" t="str">
        <f t="shared" si="0"/>
        <v/>
      </c>
    </row>
    <row r="58" spans="1:30" x14ac:dyDescent="0.15">
      <c r="A58" t="s">
        <v>99</v>
      </c>
      <c r="B58" t="str">
        <f>_xlfn.CONCAT(H60:H73) &amp; " --&gt; BIO-lipid"</f>
        <v>0.703037 BIO-epist_c + 0.193201 BIO-tag_c + 0.002149 BIO-hdca_c + 0.002026 BIO-ocdca_c + 0.006151 BIO-ocdcea_c + 0.002971 BIO-linoea_c + 0.001167 BIO-linolen_c + 0.000237 BIO-docosa_c + 0.001023 BIO-ttcosa_c + 0.012655 BIO-pail_c + 0.021662 BIO-pc_c + 0.004953 BIO-pe_c + 0.002804 BIO-ps_c + 0.045965 BIO-ipc_g --&gt; BIO-lipid</v>
      </c>
      <c r="D58" t="s">
        <v>302</v>
      </c>
      <c r="AD58" t="str">
        <f t="shared" si="0"/>
        <v/>
      </c>
    </row>
    <row r="59" spans="1:30" ht="14" thickBot="1" x14ac:dyDescent="0.2">
      <c r="C59" s="1" t="s">
        <v>18</v>
      </c>
      <c r="D59" s="1" t="s">
        <v>65</v>
      </c>
      <c r="E59" s="1" t="s">
        <v>66</v>
      </c>
      <c r="F59" s="1" t="s">
        <v>67</v>
      </c>
      <c r="G59" s="1" t="s">
        <v>68</v>
      </c>
      <c r="AD59" t="str">
        <f t="shared" si="0"/>
        <v/>
      </c>
    </row>
    <row r="60" spans="1:30" x14ac:dyDescent="0.15">
      <c r="A60" s="34" t="s">
        <v>100</v>
      </c>
      <c r="B60" t="str">
        <f t="shared" ref="B60:B73" si="4">"MET-" &amp; C60 &amp; " --&gt; " &amp; ROUND(F60/1000,6) &amp; " BIO-" &amp;C60</f>
        <v>MET-epist_c --&gt; 0.398664 BIO-epist_c</v>
      </c>
      <c r="C60" s="51" t="s">
        <v>203</v>
      </c>
      <c r="D60" s="52">
        <v>-0.78794824524991136</v>
      </c>
      <c r="E60" s="53" t="s">
        <v>208</v>
      </c>
      <c r="F60" s="54">
        <v>398.66424000000001</v>
      </c>
      <c r="G60" s="23">
        <f>F60*D60/SUMPRODUCT($D$60:$D$73,$F$60:$F$73)</f>
        <v>0.70303733676964053</v>
      </c>
      <c r="H60" t="str">
        <f t="shared" ref="H60:H72" si="5">ROUND(G60,6) &amp; " BIO-" &amp; C60 &amp; " + "</f>
        <v xml:space="preserve">0.703037 BIO-epist_c + </v>
      </c>
      <c r="AD60" t="str">
        <f t="shared" si="0"/>
        <v/>
      </c>
    </row>
    <row r="61" spans="1:30" x14ac:dyDescent="0.15">
      <c r="A61" s="35" t="s">
        <v>101</v>
      </c>
      <c r="B61" t="str">
        <f t="shared" si="4"/>
        <v>MET-tag_c --&gt; 0.885513 BIO-tag_c</v>
      </c>
      <c r="C61" s="55" t="s">
        <v>122</v>
      </c>
      <c r="D61" s="56">
        <v>-9.7485677836939316E-2</v>
      </c>
      <c r="E61" s="5" t="s">
        <v>123</v>
      </c>
      <c r="F61" s="57">
        <v>885.51292863263996</v>
      </c>
      <c r="G61" s="23">
        <f t="shared" ref="G61:G73" si="6">F61*D61/SUMPRODUCT($D$60:$D$73,$F$60:$F$73)</f>
        <v>0.19320089684063063</v>
      </c>
      <c r="H61" t="str">
        <f t="shared" si="5"/>
        <v xml:space="preserve">0.193201 BIO-tag_c + </v>
      </c>
      <c r="AD61" t="str">
        <f t="shared" si="0"/>
        <v/>
      </c>
    </row>
    <row r="62" spans="1:30" x14ac:dyDescent="0.15">
      <c r="A62" s="35" t="s">
        <v>102</v>
      </c>
      <c r="B62" t="str">
        <f t="shared" si="4"/>
        <v>MET-hdca_c --&gt; 0.255415 BIO-hdca_c</v>
      </c>
      <c r="C62" s="55" t="s">
        <v>104</v>
      </c>
      <c r="D62" s="56">
        <v>-3.7595971802175734E-3</v>
      </c>
      <c r="E62" s="5" t="s">
        <v>105</v>
      </c>
      <c r="F62" s="57">
        <v>255.41533999999999</v>
      </c>
      <c r="G62" s="23">
        <f t="shared" si="6"/>
        <v>2.1491251583899405E-3</v>
      </c>
      <c r="H62" t="str">
        <f t="shared" si="5"/>
        <v xml:space="preserve">0.002149 BIO-hdca_c + </v>
      </c>
      <c r="AD62" t="str">
        <f t="shared" si="0"/>
        <v/>
      </c>
    </row>
    <row r="63" spans="1:30" x14ac:dyDescent="0.15">
      <c r="A63" s="35" t="s">
        <v>103</v>
      </c>
      <c r="B63" t="str">
        <f t="shared" si="4"/>
        <v>MET-ocdca_c --&gt; 0.283469 BIO-ocdca_c</v>
      </c>
      <c r="C63" s="55" t="s">
        <v>108</v>
      </c>
      <c r="D63" s="56">
        <v>-3.1940645535323028E-3</v>
      </c>
      <c r="E63" s="5" t="s">
        <v>109</v>
      </c>
      <c r="F63" s="57">
        <v>283.46850000000001</v>
      </c>
      <c r="G63" s="23">
        <f t="shared" si="6"/>
        <v>2.0263847609520015E-3</v>
      </c>
      <c r="H63" t="str">
        <f t="shared" si="5"/>
        <v xml:space="preserve">0.002026 BIO-ocdca_c + </v>
      </c>
      <c r="AD63" t="str">
        <f t="shared" si="0"/>
        <v/>
      </c>
    </row>
    <row r="64" spans="1:30" x14ac:dyDescent="0.15">
      <c r="A64" s="35" t="s">
        <v>106</v>
      </c>
      <c r="B64" t="str">
        <f t="shared" si="4"/>
        <v>MET-ocdcea_c --&gt; 0.281453 BIO-ocdcea_c</v>
      </c>
      <c r="C64" s="55" t="s">
        <v>111</v>
      </c>
      <c r="D64" s="56">
        <v>-9.7643987146169876E-3</v>
      </c>
      <c r="E64" s="5" t="s">
        <v>112</v>
      </c>
      <c r="F64" s="57">
        <v>281.45262000000002</v>
      </c>
      <c r="G64" s="23">
        <f t="shared" si="6"/>
        <v>6.1506953517088125E-3</v>
      </c>
      <c r="H64" t="str">
        <f t="shared" si="5"/>
        <v xml:space="preserve">0.006151 BIO-ocdcea_c + </v>
      </c>
      <c r="AD64" t="str">
        <f t="shared" si="0"/>
        <v/>
      </c>
    </row>
    <row r="65" spans="1:30" x14ac:dyDescent="0.15">
      <c r="A65" s="35" t="s">
        <v>107</v>
      </c>
      <c r="B65" t="str">
        <f t="shared" si="4"/>
        <v>MET-linoea_c --&gt; 0.279437 BIO-linoea_c</v>
      </c>
      <c r="C65" s="55" t="s">
        <v>204</v>
      </c>
      <c r="D65" s="56">
        <v>-4.7502749329496937E-3</v>
      </c>
      <c r="E65" s="5" t="s">
        <v>209</v>
      </c>
      <c r="F65" s="57">
        <v>279.43673999999999</v>
      </c>
      <c r="G65" s="23">
        <f t="shared" si="6"/>
        <v>2.970815411049352E-3</v>
      </c>
      <c r="H65" t="str">
        <f t="shared" si="5"/>
        <v xml:space="preserve">0.002971 BIO-linoea_c + </v>
      </c>
      <c r="AD65" t="str">
        <f t="shared" si="0"/>
        <v/>
      </c>
    </row>
    <row r="66" spans="1:30" x14ac:dyDescent="0.15">
      <c r="A66" s="35" t="s">
        <v>110</v>
      </c>
      <c r="B66" t="str">
        <f t="shared" si="4"/>
        <v>MET-linolen_c --&gt; 0.277421 BIO-linolen_c</v>
      </c>
      <c r="C66" s="55" t="s">
        <v>205</v>
      </c>
      <c r="D66" s="56">
        <v>-1.8788029340758904E-3</v>
      </c>
      <c r="E66" s="5" t="s">
        <v>210</v>
      </c>
      <c r="F66" s="57">
        <v>277.42086</v>
      </c>
      <c r="G66" s="23">
        <f t="shared" si="6"/>
        <v>1.1665242176813896E-3</v>
      </c>
      <c r="H66" t="str">
        <f t="shared" si="5"/>
        <v xml:space="preserve">0.001167 BIO-linolen_c + </v>
      </c>
      <c r="AD66" t="str">
        <f t="shared" si="0"/>
        <v/>
      </c>
    </row>
    <row r="67" spans="1:30" x14ac:dyDescent="0.15">
      <c r="A67" s="35" t="s">
        <v>113</v>
      </c>
      <c r="B67" t="str">
        <f t="shared" si="4"/>
        <v>MET-docosa_c --&gt; 0.339575 BIO-docosa_c</v>
      </c>
      <c r="C67" s="55" t="s">
        <v>206</v>
      </c>
      <c r="D67" s="56">
        <v>-3.1164033829663682E-4</v>
      </c>
      <c r="E67" s="5" t="s">
        <v>211</v>
      </c>
      <c r="F67" s="57">
        <v>339.57481999999999</v>
      </c>
      <c r="G67" s="23">
        <f t="shared" si="6"/>
        <v>2.3684409548296992E-4</v>
      </c>
      <c r="H67" t="str">
        <f t="shared" si="5"/>
        <v xml:space="preserve">0.000237 BIO-docosa_c + </v>
      </c>
      <c r="AD67" t="str">
        <f t="shared" si="0"/>
        <v/>
      </c>
    </row>
    <row r="68" spans="1:30" x14ac:dyDescent="0.15">
      <c r="A68" s="35" t="s">
        <v>115</v>
      </c>
      <c r="B68" t="str">
        <f t="shared" si="4"/>
        <v>MET-ttcosa_c --&gt; 0.367628 BIO-ttcosa_c</v>
      </c>
      <c r="C68" s="55" t="s">
        <v>207</v>
      </c>
      <c r="D68" s="56">
        <v>-1.2435743850878573E-3</v>
      </c>
      <c r="E68" s="5" t="s">
        <v>212</v>
      </c>
      <c r="F68" s="57">
        <v>367.62797999999998</v>
      </c>
      <c r="G68" s="23">
        <f t="shared" si="6"/>
        <v>1.0231840037450838E-3</v>
      </c>
      <c r="H68" t="str">
        <f t="shared" si="5"/>
        <v xml:space="preserve">0.001023 BIO-ttcosa_c + </v>
      </c>
      <c r="AD68" t="str">
        <f>IF(AND(U68=Z68,W68=AB68),"",1)</f>
        <v/>
      </c>
    </row>
    <row r="69" spans="1:30" x14ac:dyDescent="0.15">
      <c r="A69" s="35" t="s">
        <v>117</v>
      </c>
      <c r="B69" t="str">
        <f t="shared" si="4"/>
        <v>MET-pail_c --&gt; 0.862149 BIO-pail_c</v>
      </c>
      <c r="C69" s="55" t="s">
        <v>114</v>
      </c>
      <c r="D69" s="56">
        <v>-6.5583862886899255E-3</v>
      </c>
      <c r="E69" s="5" t="s">
        <v>213</v>
      </c>
      <c r="F69" s="57">
        <v>862.14885442176001</v>
      </c>
      <c r="G69" s="23">
        <f t="shared" si="6"/>
        <v>1.2654723616472179E-2</v>
      </c>
      <c r="H69" t="str">
        <f t="shared" si="5"/>
        <v xml:space="preserve">0.012655 BIO-pail_c + </v>
      </c>
      <c r="AD69" t="str">
        <f>IF(AND(U69=Z69,W69=AB69),"",1)</f>
        <v/>
      </c>
    </row>
    <row r="70" spans="1:30" x14ac:dyDescent="0.15">
      <c r="A70" s="35" t="s">
        <v>119</v>
      </c>
      <c r="B70" t="str">
        <f t="shared" si="4"/>
        <v>MET-pc_c --&gt; 0.786166 BIO-pc_c</v>
      </c>
      <c r="C70" s="55" t="s">
        <v>116</v>
      </c>
      <c r="D70" s="56">
        <v>-1.2311286846766497E-2</v>
      </c>
      <c r="E70" s="5" t="s">
        <v>214</v>
      </c>
      <c r="F70" s="57">
        <v>786.16573442176002</v>
      </c>
      <c r="G70" s="23">
        <f t="shared" si="6"/>
        <v>2.1661622203659803E-2</v>
      </c>
      <c r="H70" t="str">
        <f t="shared" si="5"/>
        <v xml:space="preserve">0.021662 BIO-pc_c + </v>
      </c>
      <c r="AD70" t="str">
        <f>IF(AND(U70=Z70,W70=AB70),"",1)</f>
        <v/>
      </c>
    </row>
    <row r="71" spans="1:30" x14ac:dyDescent="0.15">
      <c r="A71" s="35" t="s">
        <v>121</v>
      </c>
      <c r="B71" t="str">
        <f t="shared" si="4"/>
        <v>MET-pe_c --&gt; 0.744086 BIO-pe_c</v>
      </c>
      <c r="C71" s="55" t="s">
        <v>118</v>
      </c>
      <c r="D71" s="56">
        <v>-2.9740245702621539E-3</v>
      </c>
      <c r="E71" s="5" t="s">
        <v>215</v>
      </c>
      <c r="F71" s="57">
        <v>744.08599442176001</v>
      </c>
      <c r="G71" s="23">
        <f t="shared" si="6"/>
        <v>4.9526894626514056E-3</v>
      </c>
      <c r="H71" t="str">
        <f t="shared" si="5"/>
        <v xml:space="preserve">0.004953 BIO-pe_c + </v>
      </c>
      <c r="AD71" t="str">
        <f>IF(AND(U71=Z71,W71=AB71),"",1)</f>
        <v/>
      </c>
    </row>
    <row r="72" spans="1:30" x14ac:dyDescent="0.15">
      <c r="A72" s="35" t="s">
        <v>124</v>
      </c>
      <c r="B72" t="str">
        <f t="shared" si="4"/>
        <v>MET-ps_c --&gt; 0.786079 BIO-ps_c</v>
      </c>
      <c r="C72" s="55" t="s">
        <v>120</v>
      </c>
      <c r="D72" s="56">
        <v>-1.5940453086674617E-3</v>
      </c>
      <c r="E72" s="5" t="s">
        <v>216</v>
      </c>
      <c r="F72" s="57">
        <v>786.07881442175994</v>
      </c>
      <c r="G72" s="23">
        <f t="shared" si="6"/>
        <v>2.8044013612564295E-3</v>
      </c>
      <c r="H72" t="str">
        <f t="shared" si="5"/>
        <v xml:space="preserve">0.002804 BIO-ps_c + </v>
      </c>
    </row>
    <row r="73" spans="1:30" ht="14" thickBot="1" x14ac:dyDescent="0.2">
      <c r="A73" s="36" t="s">
        <v>217</v>
      </c>
      <c r="B73" t="str">
        <f t="shared" si="4"/>
        <v>MET-ipc_g --&gt; 0.915263 BIO-ipc_g</v>
      </c>
      <c r="C73" s="58" t="s">
        <v>125</v>
      </c>
      <c r="D73" s="59">
        <v>-2.243910001339075E-2</v>
      </c>
      <c r="E73" s="60" t="s">
        <v>126</v>
      </c>
      <c r="F73" s="61">
        <v>915.26344200000005</v>
      </c>
      <c r="G73" s="23">
        <f t="shared" si="6"/>
        <v>4.5964756746679512E-2</v>
      </c>
      <c r="H73" t="str">
        <f>ROUND(G73,6) &amp; " BIO-" &amp; C73</f>
        <v>0.045965 BIO-ipc_g</v>
      </c>
    </row>
    <row r="74" spans="1:30" x14ac:dyDescent="0.15">
      <c r="D74" t="s">
        <v>302</v>
      </c>
    </row>
    <row r="75" spans="1:30" x14ac:dyDescent="0.15">
      <c r="A75" s="1" t="s">
        <v>127</v>
      </c>
      <c r="D75" t="s">
        <v>302</v>
      </c>
    </row>
    <row r="76" spans="1:30" x14ac:dyDescent="0.15">
      <c r="A76" t="s">
        <v>128</v>
      </c>
      <c r="B76" t="str">
        <f>_xlfn.CONCAT(H78:H81) &amp; " --&gt; BIO-dna"</f>
        <v>0.197915 BIO-datp_c + 0.28514 BIO-dctp_c + 0.324743 BIO-dgtp_c + 0.192201 BIO-dttp_c --&gt; BIO-dna</v>
      </c>
      <c r="D76" t="s">
        <v>302</v>
      </c>
    </row>
    <row r="77" spans="1:30" ht="14" thickBot="1" x14ac:dyDescent="0.2">
      <c r="C77" s="1" t="s">
        <v>18</v>
      </c>
      <c r="D77" s="1" t="s">
        <v>65</v>
      </c>
      <c r="E77" s="1" t="s">
        <v>66</v>
      </c>
      <c r="F77" s="1" t="s">
        <v>67</v>
      </c>
      <c r="G77" s="1" t="s">
        <v>68</v>
      </c>
      <c r="I77" s="1" t="s">
        <v>82</v>
      </c>
    </row>
    <row r="78" spans="1:30" x14ac:dyDescent="0.15">
      <c r="A78" t="s">
        <v>129</v>
      </c>
      <c r="B78" t="str">
        <f>"MET-" &amp; C78 &amp; " --&gt; " &amp; ROUND(I78/1000,6) &amp; " BIO-" &amp; C78 &amp; " + MET-ppi_c"</f>
        <v>MET-datp_c --&gt; 0.312199 BIO-datp_c + MET-ppi_c</v>
      </c>
      <c r="C78" s="7" t="s">
        <v>130</v>
      </c>
      <c r="D78" s="62">
        <v>-2.1188556036072614E-2</v>
      </c>
      <c r="E78" s="7" t="s">
        <v>131</v>
      </c>
      <c r="F78" s="24">
        <v>487.14986299999998</v>
      </c>
      <c r="G78" s="25">
        <f>D78 * I78 / SUMPRODUCT($D$78:$D$81, $I$78:$I$81)</f>
        <v>0.19791535996615919</v>
      </c>
      <c r="H78" t="str">
        <f>ROUND(G78,6) &amp; " BIO-" &amp; C78 &amp; " + "</f>
        <v xml:space="preserve">0.197915 BIO-datp_c + </v>
      </c>
      <c r="I78" s="21">
        <f>F78 - 174.951262</f>
        <v>312.19860099999994</v>
      </c>
    </row>
    <row r="79" spans="1:30" x14ac:dyDescent="0.15">
      <c r="A79" t="s">
        <v>132</v>
      </c>
      <c r="B79" t="str">
        <f>"MET-" &amp; C79 &amp; " --&gt; " &amp; ROUND(I79/1000,6) &amp; " BIO-" &amp; C79 &amp; " + MET-ppi_c"</f>
        <v>MET-dctp_c --&gt; 0.288174 BIO-dctp_c + MET-ppi_c</v>
      </c>
      <c r="C79" s="7" t="s">
        <v>133</v>
      </c>
      <c r="D79" s="63">
        <v>-3.3071710788693573E-2</v>
      </c>
      <c r="E79" s="7" t="s">
        <v>134</v>
      </c>
      <c r="F79" s="24">
        <v>463.12516299999999</v>
      </c>
      <c r="G79" s="25">
        <f>D79 * I79 / SUMPRODUCT($D$78:$D$81, $I$78:$I$81)</f>
        <v>0.2851402287408954</v>
      </c>
      <c r="H79" t="str">
        <f>ROUND(G79,6) &amp; " BIO-" &amp; C79 &amp; " + "</f>
        <v xml:space="preserve">0.28514 BIO-dctp_c + </v>
      </c>
      <c r="I79" s="21">
        <f>F79 - 174.951262</f>
        <v>288.173901</v>
      </c>
    </row>
    <row r="80" spans="1:30" x14ac:dyDescent="0.15">
      <c r="A80" t="s">
        <v>135</v>
      </c>
      <c r="B80" t="str">
        <f>"MET-" &amp; C80 &amp; " --&gt; " &amp; ROUND(I80/1000,6) &amp; " BIO-" &amp; C80 &amp; " + MET-ppi_c"</f>
        <v>MET-dgtp_c --&gt; 0.328198 BIO-dgtp_c + MET-ppi_c</v>
      </c>
      <c r="C80" s="7" t="s">
        <v>136</v>
      </c>
      <c r="D80" s="63">
        <v>-3.3071710788693573E-2</v>
      </c>
      <c r="E80" s="7" t="s">
        <v>85</v>
      </c>
      <c r="F80" s="24">
        <v>503.14926300000002</v>
      </c>
      <c r="G80" s="25">
        <f>D80 * I80 / SUMPRODUCT($D$78:$D$81, $I$78:$I$81)</f>
        <v>0.32474298592864109</v>
      </c>
      <c r="H80" t="str">
        <f>ROUND(G80,6) &amp; " BIO-" &amp; C80 &amp; " + "</f>
        <v xml:space="preserve">0.324743 BIO-dgtp_c + </v>
      </c>
      <c r="I80" s="21">
        <f>F80 - 174.951262</f>
        <v>328.19800099999998</v>
      </c>
    </row>
    <row r="81" spans="1:9" ht="14" thickBot="1" x14ac:dyDescent="0.2">
      <c r="A81" t="s">
        <v>137</v>
      </c>
      <c r="B81" t="str">
        <f>"MET-" &amp; C81 &amp; " --&gt; " &amp; ROUND(I81/1000,6) &amp; " BIO-" &amp; C81 &amp; " + MET-ppi_c"</f>
        <v>MET-dttp_c --&gt; 0.303185 BIO-dttp_c + MET-ppi_c</v>
      </c>
      <c r="C81" s="7" t="s">
        <v>138</v>
      </c>
      <c r="D81" s="64">
        <v>-2.1188556036072614E-2</v>
      </c>
      <c r="E81" s="7" t="s">
        <v>139</v>
      </c>
      <c r="F81" s="24">
        <v>478.136503</v>
      </c>
      <c r="G81" s="25">
        <f>D81 * I81 / SUMPRODUCT($D$78:$D$81, $I$78:$I$81)</f>
        <v>0.19220142536430437</v>
      </c>
      <c r="H81" t="str">
        <f>ROUND(G81,6) &amp; " BIO-" &amp; C81</f>
        <v>0.192201 BIO-dttp_c</v>
      </c>
      <c r="I81" s="21">
        <f>F81 - 174.951262</f>
        <v>303.18524100000002</v>
      </c>
    </row>
    <row r="82" spans="1:9" x14ac:dyDescent="0.15">
      <c r="D82" t="s">
        <v>302</v>
      </c>
      <c r="G82" s="22"/>
    </row>
    <row r="83" spans="1:9" x14ac:dyDescent="0.15">
      <c r="A83" s="1" t="s">
        <v>140</v>
      </c>
      <c r="D83" t="s">
        <v>302</v>
      </c>
    </row>
    <row r="84" spans="1:9" x14ac:dyDescent="0.15">
      <c r="A84" t="s">
        <v>141</v>
      </c>
      <c r="B84" t="str">
        <f>_xlfn.CONCAT(H86:H92) &amp; " --&gt; BIO-metal"</f>
        <v>0.002033 BIO-ca2_c + 0.000286 BIO-cu2_c + 0.001463 BIO-fe2_c + 0.93097 BIO-k_c + 0.060981 BIO-mg2_c + 0.000204 BIO-mn2_c + 0.004064 BIO-zn2_c --&gt; BIO-metal</v>
      </c>
      <c r="D84" t="s">
        <v>302</v>
      </c>
    </row>
    <row r="85" spans="1:9" ht="14" thickBot="1" x14ac:dyDescent="0.2">
      <c r="C85" s="1" t="s">
        <v>18</v>
      </c>
      <c r="D85" s="1" t="s">
        <v>65</v>
      </c>
      <c r="E85" s="1" t="s">
        <v>66</v>
      </c>
      <c r="F85" s="1" t="s">
        <v>67</v>
      </c>
      <c r="G85" s="1" t="s">
        <v>68</v>
      </c>
    </row>
    <row r="86" spans="1:9" x14ac:dyDescent="0.15">
      <c r="A86" t="s">
        <v>142</v>
      </c>
      <c r="B86" t="str">
        <f t="shared" ref="B86:B92" si="7">"MET-" &amp; C86 &amp; " --&gt; " &amp; ROUND(F86/1000,6) &amp; " BIO-" &amp;C86</f>
        <v>MET-ca2_c --&gt; 0.040078 BIO-ca2_c</v>
      </c>
      <c r="C86" s="65" t="s">
        <v>143</v>
      </c>
      <c r="D86" s="66">
        <v>-1.2804136583050318E-3</v>
      </c>
      <c r="E86" s="67" t="s">
        <v>144</v>
      </c>
      <c r="F86" s="68">
        <v>40.078000000000003</v>
      </c>
      <c r="G86" s="26">
        <f>F86*D86/SUMPRODUCT($D$86:$D$92,$F$86:$F$92)</f>
        <v>2.033009854095665E-3</v>
      </c>
      <c r="H86" t="str">
        <f t="shared" ref="H86:H91" si="8">ROUND(G86,6) &amp; " BIO-" &amp; C86 &amp; " + "</f>
        <v xml:space="preserve">0.002033 BIO-ca2_c + </v>
      </c>
    </row>
    <row r="87" spans="1:9" x14ac:dyDescent="0.15">
      <c r="A87" t="s">
        <v>145</v>
      </c>
      <c r="B87" t="str">
        <f t="shared" si="7"/>
        <v>MET-cu2_c --&gt; 0.063546 BIO-cu2_c</v>
      </c>
      <c r="C87" s="69" t="s">
        <v>146</v>
      </c>
      <c r="D87" s="70">
        <v>-1.1350478775021277E-4</v>
      </c>
      <c r="E87" s="9" t="s">
        <v>147</v>
      </c>
      <c r="F87" s="71">
        <v>63.545999999999999</v>
      </c>
      <c r="G87" s="26">
        <f t="shared" ref="G87:G92" si="9">F87*D87/SUMPRODUCT($D$86:$D$92,$F$86:$F$92)</f>
        <v>2.8574954261960161E-4</v>
      </c>
      <c r="H87" t="str">
        <f t="shared" si="8"/>
        <v xml:space="preserve">0.000286 BIO-cu2_c + </v>
      </c>
    </row>
    <row r="88" spans="1:9" x14ac:dyDescent="0.15">
      <c r="A88" t="s">
        <v>148</v>
      </c>
      <c r="B88" t="str">
        <f t="shared" si="7"/>
        <v>MET-fe2_c --&gt; 0.055845 BIO-fe2_c</v>
      </c>
      <c r="C88" s="69" t="s">
        <v>149</v>
      </c>
      <c r="D88" s="70">
        <v>-6.6111560584334456E-4</v>
      </c>
      <c r="E88" s="9" t="s">
        <v>150</v>
      </c>
      <c r="F88" s="71">
        <v>55.844999999999999</v>
      </c>
      <c r="G88" s="26">
        <f t="shared" si="9"/>
        <v>1.4626649309218266E-3</v>
      </c>
      <c r="H88" t="str">
        <f t="shared" si="8"/>
        <v xml:space="preserve">0.001463 BIO-fe2_c + </v>
      </c>
    </row>
    <row r="89" spans="1:9" x14ac:dyDescent="0.15">
      <c r="A89" t="s">
        <v>151</v>
      </c>
      <c r="B89" t="str">
        <f t="shared" si="7"/>
        <v>MET-k_c --&gt; 0.039098 BIO-k_c</v>
      </c>
      <c r="C89" s="69" t="s">
        <v>152</v>
      </c>
      <c r="D89" s="70">
        <v>-0.6010277642580345</v>
      </c>
      <c r="E89" s="9" t="s">
        <v>153</v>
      </c>
      <c r="F89" s="71">
        <v>39.098300000000002</v>
      </c>
      <c r="G89" s="26">
        <f t="shared" si="9"/>
        <v>0.93096971584908339</v>
      </c>
      <c r="H89" t="str">
        <f t="shared" si="8"/>
        <v xml:space="preserve">0.93097 BIO-k_c + </v>
      </c>
    </row>
    <row r="90" spans="1:9" x14ac:dyDescent="0.15">
      <c r="A90" t="s">
        <v>154</v>
      </c>
      <c r="B90" t="str">
        <f t="shared" si="7"/>
        <v>MET-mg2_c --&gt; 0.024305 BIO-mg2_c</v>
      </c>
      <c r="C90" s="69" t="s">
        <v>155</v>
      </c>
      <c r="D90" s="70">
        <v>-6.3330693284454245E-2</v>
      </c>
      <c r="E90" s="9" t="s">
        <v>156</v>
      </c>
      <c r="F90" s="71">
        <v>24.305</v>
      </c>
      <c r="G90" s="26">
        <f t="shared" si="9"/>
        <v>6.098078522489421E-2</v>
      </c>
      <c r="H90" t="str">
        <f t="shared" si="8"/>
        <v xml:space="preserve">0.060981 BIO-mg2_c + </v>
      </c>
    </row>
    <row r="91" spans="1:9" x14ac:dyDescent="0.15">
      <c r="A91" t="s">
        <v>157</v>
      </c>
      <c r="B91" t="str">
        <f t="shared" si="7"/>
        <v>MET-mn2_c --&gt; 0.054938 BIO-mn2_c</v>
      </c>
      <c r="C91" s="69" t="s">
        <v>158</v>
      </c>
      <c r="D91" s="70">
        <v>-9.3591667092280699E-5</v>
      </c>
      <c r="E91" s="9" t="s">
        <v>159</v>
      </c>
      <c r="F91" s="71">
        <v>54.938043999999998</v>
      </c>
      <c r="G91" s="26">
        <f t="shared" si="9"/>
        <v>2.0370116866150027E-4</v>
      </c>
      <c r="H91" t="str">
        <f t="shared" si="8"/>
        <v xml:space="preserve">0.000204 BIO-mn2_c + </v>
      </c>
    </row>
    <row r="92" spans="1:9" ht="14" thickBot="1" x14ac:dyDescent="0.2">
      <c r="A92" t="s">
        <v>160</v>
      </c>
      <c r="B92" t="str">
        <f t="shared" si="7"/>
        <v>MET-zn2_c --&gt; 0.06538 BIO-zn2_c</v>
      </c>
      <c r="C92" s="72" t="s">
        <v>161</v>
      </c>
      <c r="D92" s="73">
        <v>-1.5691539078450465E-3</v>
      </c>
      <c r="E92" s="74" t="s">
        <v>162</v>
      </c>
      <c r="F92" s="75">
        <v>65.38</v>
      </c>
      <c r="G92" s="26">
        <f t="shared" si="9"/>
        <v>4.0643734297237935E-3</v>
      </c>
      <c r="H92" t="str">
        <f>ROUND(G92,6) &amp; " BIO-" &amp; C92</f>
        <v>0.004064 BIO-zn2_c</v>
      </c>
    </row>
    <row r="93" spans="1:9" x14ac:dyDescent="0.15">
      <c r="D93" t="s">
        <v>302</v>
      </c>
    </row>
    <row r="94" spans="1:9" x14ac:dyDescent="0.15">
      <c r="A94" s="1" t="s">
        <v>163</v>
      </c>
      <c r="D94" t="s">
        <v>302</v>
      </c>
    </row>
    <row r="95" spans="1:9" x14ac:dyDescent="0.15">
      <c r="A95" t="s">
        <v>164</v>
      </c>
      <c r="B95" t="str">
        <f>_xlfn.CONCAT(H97:H108) &amp; " --&gt; BIO-cofactor"</f>
        <v>0.072416 BIO-thmpp_c + 0.064368 BIO-ribflv_c + 0.134191 BIO-fad_c + 0.113594 BIO-nad_c + 0.126963 BIO-nadp_c + 0.130928 BIO-coa_c + 0.076038 BIO-thf_c + 0.068498 BIO-amet_c + 0.145902 BIO-hemeA_c + 0.041723 BIO-btn_c + 0 BIO-pydx5p_c + 0.025379 BIO-spmd_c --&gt; BIO-cofactor</v>
      </c>
      <c r="D95" t="s">
        <v>302</v>
      </c>
    </row>
    <row r="96" spans="1:9" ht="14" thickBot="1" x14ac:dyDescent="0.2">
      <c r="C96" s="1" t="s">
        <v>18</v>
      </c>
      <c r="D96" s="1" t="s">
        <v>65</v>
      </c>
      <c r="E96" s="1" t="s">
        <v>66</v>
      </c>
      <c r="F96" s="1" t="s">
        <v>67</v>
      </c>
      <c r="G96" s="1" t="s">
        <v>68</v>
      </c>
    </row>
    <row r="97" spans="1:8" x14ac:dyDescent="0.15">
      <c r="A97" t="s">
        <v>165</v>
      </c>
      <c r="B97" t="str">
        <f t="shared" ref="B97:B108" si="10">"MET-" &amp; C97 &amp; " --&gt; " &amp; ROUND(F97/1000,6) &amp; " BIO-" &amp;C97</f>
        <v>MET-thmpp_c --&gt; 0.422291 BIO-thmpp_c</v>
      </c>
      <c r="C97" s="76" t="s">
        <v>186</v>
      </c>
      <c r="D97" s="77">
        <v>-9.9565603289660334E-5</v>
      </c>
      <c r="E97" s="78" t="s">
        <v>222</v>
      </c>
      <c r="F97" s="79">
        <v>422.29056200000002</v>
      </c>
      <c r="G97" s="27">
        <f>F97*D97/SUMPRODUCT($D$97:$D$108,$F$97:$F$108)</f>
        <v>7.2416055980208699E-2</v>
      </c>
      <c r="H97" t="str">
        <f t="shared" ref="H97:H107" si="11">ROUND(G97,6) &amp; " BIO-" &amp; C97 &amp; " + "</f>
        <v xml:space="preserve">0.072416 BIO-thmpp_c + </v>
      </c>
    </row>
    <row r="98" spans="1:8" x14ac:dyDescent="0.15">
      <c r="A98" t="s">
        <v>167</v>
      </c>
      <c r="B98" t="str">
        <f t="shared" si="10"/>
        <v>MET-ribflv_c --&gt; 0.375356 BIO-ribflv_c</v>
      </c>
      <c r="C98" s="80" t="s">
        <v>181</v>
      </c>
      <c r="D98" s="81">
        <v>-9.9565603289660334E-5</v>
      </c>
      <c r="E98" s="11" t="s">
        <v>182</v>
      </c>
      <c r="F98" s="82">
        <v>375.35595999999998</v>
      </c>
      <c r="G98" s="27">
        <f t="shared" ref="G98:G108" si="12">F98*D98/SUMPRODUCT($D$97:$D$108,$F$97:$F$108)</f>
        <v>6.4367524775192531E-2</v>
      </c>
      <c r="H98" t="str">
        <f t="shared" si="11"/>
        <v xml:space="preserve">0.064368 BIO-ribflv_c + </v>
      </c>
    </row>
    <row r="99" spans="1:8" x14ac:dyDescent="0.15">
      <c r="A99" t="s">
        <v>170</v>
      </c>
      <c r="B99" t="str">
        <f t="shared" si="10"/>
        <v>MET-fad_c --&gt; 0.782526 BIO-fad_c</v>
      </c>
      <c r="C99" s="80" t="s">
        <v>168</v>
      </c>
      <c r="D99" s="81">
        <v>-9.9565603289660334E-5</v>
      </c>
      <c r="E99" s="11" t="s">
        <v>169</v>
      </c>
      <c r="F99" s="82">
        <v>782.52592200000004</v>
      </c>
      <c r="G99" s="27">
        <f t="shared" si="12"/>
        <v>0.13419064045650264</v>
      </c>
      <c r="H99" t="str">
        <f t="shared" si="11"/>
        <v xml:space="preserve">0.134191 BIO-fad_c + </v>
      </c>
    </row>
    <row r="100" spans="1:8" x14ac:dyDescent="0.15">
      <c r="A100" t="s">
        <v>172</v>
      </c>
      <c r="B100" t="str">
        <f t="shared" si="10"/>
        <v>MET-nad_c --&gt; 0.662417 BIO-nad_c</v>
      </c>
      <c r="C100" s="80" t="s">
        <v>173</v>
      </c>
      <c r="D100" s="81">
        <v>-9.9565603289660334E-5</v>
      </c>
      <c r="E100" s="11" t="s">
        <v>174</v>
      </c>
      <c r="F100" s="82">
        <v>662.41716199999996</v>
      </c>
      <c r="G100" s="27">
        <f t="shared" si="12"/>
        <v>0.11359391519065723</v>
      </c>
      <c r="H100" t="str">
        <f t="shared" si="11"/>
        <v xml:space="preserve">0.113594 BIO-nad_c + </v>
      </c>
    </row>
    <row r="101" spans="1:8" x14ac:dyDescent="0.15">
      <c r="A101" t="s">
        <v>175</v>
      </c>
      <c r="B101" t="str">
        <f t="shared" si="10"/>
        <v>MET-nadp_c --&gt; 0.740381 BIO-nadp_c</v>
      </c>
      <c r="C101" s="80" t="s">
        <v>177</v>
      </c>
      <c r="D101" s="81">
        <v>-9.9565603289660334E-5</v>
      </c>
      <c r="E101" s="11" t="s">
        <v>178</v>
      </c>
      <c r="F101" s="82">
        <v>740.38118299999996</v>
      </c>
      <c r="G101" s="27">
        <f t="shared" si="12"/>
        <v>0.12696349390546205</v>
      </c>
      <c r="H101" t="str">
        <f t="shared" si="11"/>
        <v xml:space="preserve">0.126963 BIO-nadp_c + </v>
      </c>
    </row>
    <row r="102" spans="1:8" x14ac:dyDescent="0.15">
      <c r="A102" t="s">
        <v>176</v>
      </c>
      <c r="B102" t="str">
        <f t="shared" si="10"/>
        <v>MET-coa_c --&gt; 0.763502 BIO-coa_c</v>
      </c>
      <c r="C102" s="80" t="s">
        <v>166</v>
      </c>
      <c r="D102" s="81">
        <v>-9.9565603289660334E-5</v>
      </c>
      <c r="E102" s="11" t="s">
        <v>223</v>
      </c>
      <c r="F102" s="82">
        <v>763.50236299999995</v>
      </c>
      <c r="G102" s="27">
        <f t="shared" si="12"/>
        <v>0.13092840530977726</v>
      </c>
      <c r="H102" t="str">
        <f t="shared" si="11"/>
        <v xml:space="preserve">0.130928 BIO-coa_c + </v>
      </c>
    </row>
    <row r="103" spans="1:8" x14ac:dyDescent="0.15">
      <c r="A103" t="s">
        <v>179</v>
      </c>
      <c r="B103" t="str">
        <f t="shared" si="10"/>
        <v>MET-thf_c --&gt; 0.443413 BIO-thf_c</v>
      </c>
      <c r="C103" s="80" t="s">
        <v>184</v>
      </c>
      <c r="D103" s="81">
        <v>-9.9565603289660334E-5</v>
      </c>
      <c r="E103" s="11" t="s">
        <v>224</v>
      </c>
      <c r="F103" s="82">
        <v>443.41334000000001</v>
      </c>
      <c r="G103" s="27">
        <f t="shared" si="12"/>
        <v>7.6038273504704365E-2</v>
      </c>
      <c r="H103" t="str">
        <f t="shared" si="11"/>
        <v xml:space="preserve">0.076038 BIO-thf_c + </v>
      </c>
    </row>
    <row r="104" spans="1:8" x14ac:dyDescent="0.15">
      <c r="A104" t="s">
        <v>180</v>
      </c>
      <c r="B104" t="str">
        <f t="shared" si="10"/>
        <v>MET-amet_c --&gt; 0.399445 BIO-amet_c</v>
      </c>
      <c r="C104" s="80" t="s">
        <v>218</v>
      </c>
      <c r="D104" s="81">
        <v>-9.9565603289660334E-5</v>
      </c>
      <c r="E104" s="11" t="s">
        <v>225</v>
      </c>
      <c r="F104" s="82">
        <v>399.44531999999998</v>
      </c>
      <c r="G104" s="27">
        <f t="shared" si="12"/>
        <v>6.8498463515631158E-2</v>
      </c>
      <c r="H104" t="str">
        <f t="shared" si="11"/>
        <v xml:space="preserve">0.068498 BIO-amet_c + </v>
      </c>
    </row>
    <row r="105" spans="1:8" x14ac:dyDescent="0.15">
      <c r="A105" t="s">
        <v>183</v>
      </c>
      <c r="B105" t="str">
        <f t="shared" si="10"/>
        <v>MET-hemeA_c --&gt; 0.850821 BIO-hemeA_c</v>
      </c>
      <c r="C105" s="80" t="s">
        <v>171</v>
      </c>
      <c r="D105" s="81">
        <v>-9.9565603289660334E-5</v>
      </c>
      <c r="E105" s="11" t="s">
        <v>226</v>
      </c>
      <c r="F105" s="82">
        <v>850.82126000000005</v>
      </c>
      <c r="G105" s="27">
        <f t="shared" si="12"/>
        <v>0.14590219516511882</v>
      </c>
      <c r="H105" t="str">
        <f t="shared" si="11"/>
        <v xml:space="preserve">0.145902 BIO-hemeA_c + </v>
      </c>
    </row>
    <row r="106" spans="1:8" x14ac:dyDescent="0.15">
      <c r="A106" t="s">
        <v>185</v>
      </c>
      <c r="B106" t="str">
        <f t="shared" si="10"/>
        <v>MET-btn_c --&gt; 0.243303 BIO-btn_c</v>
      </c>
      <c r="C106" s="80" t="s">
        <v>219</v>
      </c>
      <c r="D106" s="81">
        <v>-9.9565603289660334E-5</v>
      </c>
      <c r="E106" s="11" t="s">
        <v>227</v>
      </c>
      <c r="F106" s="82">
        <v>243.30269999999999</v>
      </c>
      <c r="G106" s="27">
        <f t="shared" si="12"/>
        <v>4.1722509401798863E-2</v>
      </c>
      <c r="H106" t="str">
        <f t="shared" si="11"/>
        <v xml:space="preserve">0.041723 BIO-btn_c + </v>
      </c>
    </row>
    <row r="107" spans="1:8" x14ac:dyDescent="0.15">
      <c r="A107" t="s">
        <v>221</v>
      </c>
      <c r="B107" t="str">
        <f t="shared" si="10"/>
        <v>MET-pydx5p_c --&gt; 0.245126 BIO-pydx5p_c</v>
      </c>
      <c r="C107" s="80" t="s">
        <v>230</v>
      </c>
      <c r="D107" s="81">
        <v>0</v>
      </c>
      <c r="E107" s="11" t="s">
        <v>231</v>
      </c>
      <c r="F107" s="82">
        <v>245.126</v>
      </c>
      <c r="G107" s="27">
        <f t="shared" si="12"/>
        <v>0</v>
      </c>
      <c r="H107" t="str">
        <f t="shared" si="11"/>
        <v xml:space="preserve">0 BIO-pydx5p_c + </v>
      </c>
    </row>
    <row r="108" spans="1:8" ht="14" thickBot="1" x14ac:dyDescent="0.2">
      <c r="A108" t="s">
        <v>229</v>
      </c>
      <c r="B108" t="str">
        <f t="shared" si="10"/>
        <v>MET-spmd_c --&gt; 0.14827 BIO-spmd_c</v>
      </c>
      <c r="C108" s="83" t="s">
        <v>220</v>
      </c>
      <c r="D108" s="84">
        <v>-9.938019078147459E-5</v>
      </c>
      <c r="E108" s="85" t="s">
        <v>228</v>
      </c>
      <c r="F108" s="86">
        <v>148.26967999999999</v>
      </c>
      <c r="G108" s="27">
        <f t="shared" si="12"/>
        <v>2.5378522794946193E-2</v>
      </c>
      <c r="H108" t="str">
        <f>ROUND(G108,6) &amp; " BIO-" &amp; C108</f>
        <v>0.025379 BIO-spmd_c</v>
      </c>
    </row>
    <row r="109" spans="1:8" x14ac:dyDescent="0.15">
      <c r="D109" t="s">
        <v>302</v>
      </c>
    </row>
    <row r="110" spans="1:8" x14ac:dyDescent="0.15">
      <c r="A110" s="1" t="s">
        <v>187</v>
      </c>
      <c r="D110" t="s">
        <v>302</v>
      </c>
    </row>
    <row r="111" spans="1:8" ht="14" thickBot="1" x14ac:dyDescent="0.2">
      <c r="C111" s="1" t="s">
        <v>18</v>
      </c>
      <c r="D111" s="1" t="s">
        <v>65</v>
      </c>
      <c r="E111" s="1" t="s">
        <v>66</v>
      </c>
      <c r="F111" s="1" t="s">
        <v>67</v>
      </c>
      <c r="G111" s="1" t="s">
        <v>68</v>
      </c>
    </row>
    <row r="112" spans="1:8" ht="14" thickBot="1" x14ac:dyDescent="0.2">
      <c r="A112" t="s">
        <v>188</v>
      </c>
      <c r="B112" t="str">
        <f>"MET-" &amp; C112 &amp; " --&gt; " &amp; ROUND(F112/1000,6) &amp; " BIO-so4"</f>
        <v>MET-so4_c --&gt; 0.096063 BIO-so4</v>
      </c>
      <c r="C112" s="87" t="s">
        <v>189</v>
      </c>
      <c r="D112" s="88">
        <v>-3.1087368315130641E-2</v>
      </c>
      <c r="E112" s="89" t="s">
        <v>190</v>
      </c>
      <c r="F112" s="90">
        <v>96.062600000000003</v>
      </c>
      <c r="G112" s="28">
        <v>1</v>
      </c>
    </row>
    <row r="113" spans="1:8" x14ac:dyDescent="0.15">
      <c r="D113" t="s">
        <v>302</v>
      </c>
    </row>
    <row r="114" spans="1:8" x14ac:dyDescent="0.15">
      <c r="A114" s="1" t="s">
        <v>191</v>
      </c>
      <c r="D114" t="s">
        <v>302</v>
      </c>
    </row>
    <row r="115" spans="1:8" ht="14" thickBot="1" x14ac:dyDescent="0.2">
      <c r="C115" s="1" t="s">
        <v>18</v>
      </c>
      <c r="D115" s="1" t="s">
        <v>65</v>
      </c>
      <c r="E115" s="1" t="s">
        <v>66</v>
      </c>
      <c r="F115" s="1" t="s">
        <v>67</v>
      </c>
      <c r="G115" s="1" t="s">
        <v>68</v>
      </c>
    </row>
    <row r="116" spans="1:8" ht="14" thickBot="1" x14ac:dyDescent="0.2">
      <c r="A116" t="s">
        <v>192</v>
      </c>
      <c r="B116" t="str">
        <f>"MET-" &amp; C116 &amp; " --&gt; " &amp; ROUND(F116/1000,6) &amp; " BIO-pi"</f>
        <v>MET-pi_c --&gt; 0.095979 BIO-pi</v>
      </c>
      <c r="C116" s="91" t="s">
        <v>193</v>
      </c>
      <c r="D116" s="92">
        <v>-0.10519603815569062</v>
      </c>
      <c r="E116" s="93" t="s">
        <v>194</v>
      </c>
      <c r="F116" s="94">
        <v>95.979301000000007</v>
      </c>
      <c r="G116" s="29">
        <v>1</v>
      </c>
      <c r="H116" s="137"/>
    </row>
    <row r="117" spans="1:8" x14ac:dyDescent="0.15">
      <c r="D117" t="s">
        <v>302</v>
      </c>
    </row>
    <row r="118" spans="1:8" x14ac:dyDescent="0.15">
      <c r="A118" s="1" t="s">
        <v>299</v>
      </c>
      <c r="D118" t="s">
        <v>302</v>
      </c>
    </row>
    <row r="119" spans="1:8" x14ac:dyDescent="0.15">
      <c r="A119" t="s">
        <v>298</v>
      </c>
      <c r="B119" t="str">
        <f>_xlfn.CONCAT(H121:H140) &amp; " --&gt; BIO-protmodeled"</f>
        <v>0.064289 BIO-alatrna_c + 0.055743 BIO-argtrna_c + 0.048755 BIO-asntrna_c + 0.048746 BIO-asptrna_c + 0.001331 BIO-cystrna_c + 0.091239 BIO-glntrna_c + 0.091223 BIO-glutrna_c + 0.047115 BIO-glytrna_c + 0.024338 BIO-histrna_c + 0.061382 BIO-iletrna_c + 0.083475 BIO-leutrna_c + 0.078077 BIO-lystrna_c + 0.013757 BIO-mettrna_c + 0.050859 BIO-phetrna_c + 0.03741 BIO-protrna_c + 0.042857 BIO-sertrna_c + 0.051918 BIO-thrtrna_c + 0.011108 BIO-trptrna_c + 0.029374 BIO-tyrtrna_c + 0.067003 BIO-valtrna_c +  --&gt; BIO-protmodeled</v>
      </c>
      <c r="D119" t="s">
        <v>302</v>
      </c>
    </row>
    <row r="120" spans="1:8" ht="14" thickBot="1" x14ac:dyDescent="0.2">
      <c r="C120" s="1" t="s">
        <v>18</v>
      </c>
      <c r="D120" s="1" t="s">
        <v>65</v>
      </c>
      <c r="E120" s="1" t="s">
        <v>66</v>
      </c>
      <c r="F120" s="1" t="s">
        <v>67</v>
      </c>
      <c r="G120" s="1" t="s">
        <v>68</v>
      </c>
    </row>
    <row r="121" spans="1:8" x14ac:dyDescent="0.15">
      <c r="A121" t="s">
        <v>278</v>
      </c>
      <c r="B121" t="str">
        <f>"MET-" &amp; C121 &amp; " --&gt; " &amp; ROUND(F121/1000,6) &amp; " BIO-" &amp;C121</f>
        <v>MET-alatrna_c --&gt; 0.072086 BIO-alatrna_c</v>
      </c>
      <c r="C121" s="118" t="s">
        <v>252</v>
      </c>
      <c r="D121" s="119">
        <v>-0.27265642198460321</v>
      </c>
      <c r="E121" s="119" t="s">
        <v>233</v>
      </c>
      <c r="F121" s="120">
        <v>72.085840000000005</v>
      </c>
      <c r="G121" s="112">
        <f>F121*D121/SUMPRODUCT($D$121:$D$140,$F$121:$F$140)</f>
        <v>6.4288606315533445E-2</v>
      </c>
      <c r="H121" t="str">
        <f t="shared" ref="H121:H140" si="13">ROUND(G121,6) &amp; " BIO-" &amp; C121 &amp; " + "</f>
        <v xml:space="preserve">0.064289 BIO-alatrna_c + </v>
      </c>
    </row>
    <row r="122" spans="1:8" x14ac:dyDescent="0.15">
      <c r="A122" t="s">
        <v>279</v>
      </c>
      <c r="B122" t="str">
        <f t="shared" ref="B122:B140" si="14">"MET-" &amp; C122 &amp; " --&gt; " &amp; ROUND(F122/1000,6) &amp; " BIO-" &amp;C122</f>
        <v>MET-argtrna_c --&gt; 0.158202 BIO-argtrna_c</v>
      </c>
      <c r="C122" s="121" t="s">
        <v>253</v>
      </c>
      <c r="D122" s="112">
        <v>-0.10772301316718219</v>
      </c>
      <c r="E122" s="112" t="s">
        <v>234</v>
      </c>
      <c r="F122" s="122">
        <v>158.20156</v>
      </c>
      <c r="G122" s="112">
        <f t="shared" ref="G122:G140" si="15">F122*D122/SUMPRODUCT($D$121:$D$140,$F$121:$F$140)</f>
        <v>5.574264479265393E-2</v>
      </c>
      <c r="H122" t="str">
        <f t="shared" si="13"/>
        <v xml:space="preserve">0.055743 BIO-argtrna_c + </v>
      </c>
    </row>
    <row r="123" spans="1:8" x14ac:dyDescent="0.15">
      <c r="A123" t="s">
        <v>280</v>
      </c>
      <c r="B123" t="str">
        <f t="shared" si="14"/>
        <v>MET-asntrna_c --&gt; 0.115111 BIO-asntrna_c</v>
      </c>
      <c r="C123" s="121" t="s">
        <v>254</v>
      </c>
      <c r="D123" s="112">
        <v>-0.12949104101440065</v>
      </c>
      <c r="E123" s="112" t="s">
        <v>235</v>
      </c>
      <c r="F123" s="122">
        <v>115.11058</v>
      </c>
      <c r="G123" s="112">
        <f t="shared" si="15"/>
        <v>4.8755462509339764E-2</v>
      </c>
      <c r="H123" t="str">
        <f t="shared" si="13"/>
        <v xml:space="preserve">0.048755 BIO-asntrna_c + </v>
      </c>
    </row>
    <row r="124" spans="1:8" x14ac:dyDescent="0.15">
      <c r="A124" t="s">
        <v>281</v>
      </c>
      <c r="B124" t="str">
        <f t="shared" si="14"/>
        <v>MET-asptrna_c --&gt; 0.115087 BIO-asptrna_c</v>
      </c>
      <c r="C124" s="121" t="s">
        <v>255</v>
      </c>
      <c r="D124" s="112">
        <v>-0.12949104101440065</v>
      </c>
      <c r="E124" s="112" t="s">
        <v>236</v>
      </c>
      <c r="F124" s="122">
        <v>115.0874</v>
      </c>
      <c r="G124" s="112">
        <f t="shared" si="15"/>
        <v>4.8745644544553504E-2</v>
      </c>
      <c r="H124" t="str">
        <f t="shared" si="13"/>
        <v xml:space="preserve">0.048746 BIO-asptrna_c + </v>
      </c>
    </row>
    <row r="125" spans="1:8" x14ac:dyDescent="0.15">
      <c r="A125" t="s">
        <v>282</v>
      </c>
      <c r="B125" t="str">
        <f t="shared" si="14"/>
        <v>MET-cystrna_c --&gt; 0.104151 BIO-cystrna_c</v>
      </c>
      <c r="C125" s="121" t="s">
        <v>256</v>
      </c>
      <c r="D125" s="112">
        <v>-3.9069542730862713E-3</v>
      </c>
      <c r="E125" s="112" t="s">
        <v>237</v>
      </c>
      <c r="F125" s="122">
        <v>104.15084</v>
      </c>
      <c r="G125" s="112">
        <f t="shared" si="15"/>
        <v>1.3309735391716072E-3</v>
      </c>
      <c r="H125" t="str">
        <f t="shared" si="13"/>
        <v xml:space="preserve">0.001331 BIO-cystrna_c + </v>
      </c>
    </row>
    <row r="126" spans="1:8" x14ac:dyDescent="0.15">
      <c r="A126" t="s">
        <v>283</v>
      </c>
      <c r="B126" t="str">
        <f t="shared" si="14"/>
        <v>MET-glntrna_c --&gt; 0.129137 BIO-glntrna_c</v>
      </c>
      <c r="C126" s="121" t="s">
        <v>257</v>
      </c>
      <c r="D126" s="112">
        <v>-0.21600359371278649</v>
      </c>
      <c r="E126" s="112" t="s">
        <v>238</v>
      </c>
      <c r="F126" s="122">
        <v>129.13715999999999</v>
      </c>
      <c r="G126" s="112">
        <f t="shared" si="15"/>
        <v>9.1239001537408257E-2</v>
      </c>
      <c r="H126" t="str">
        <f t="shared" si="13"/>
        <v xml:space="preserve">0.091239 BIO-glntrna_c + </v>
      </c>
    </row>
    <row r="127" spans="1:8" x14ac:dyDescent="0.15">
      <c r="A127" t="s">
        <v>284</v>
      </c>
      <c r="B127" t="str">
        <f t="shared" si="14"/>
        <v>MET-glutrna_c --&gt; 0.129114 BIO-glutrna_c</v>
      </c>
      <c r="C127" s="121" t="s">
        <v>258</v>
      </c>
      <c r="D127" s="112">
        <v>-0.21600359371278649</v>
      </c>
      <c r="E127" s="112" t="s">
        <v>239</v>
      </c>
      <c r="F127" s="122">
        <v>129.11398</v>
      </c>
      <c r="G127" s="112">
        <f t="shared" si="15"/>
        <v>9.1222624221571083E-2</v>
      </c>
      <c r="H127" t="str">
        <f t="shared" si="13"/>
        <v xml:space="preserve">0.091223 BIO-glutrna_c + </v>
      </c>
    </row>
    <row r="128" spans="1:8" x14ac:dyDescent="0.15">
      <c r="A128" t="s">
        <v>285</v>
      </c>
      <c r="B128" t="str">
        <f t="shared" si="14"/>
        <v>MET-glytrna_c --&gt; 0.058059 BIO-glytrna_c</v>
      </c>
      <c r="C128" s="121" t="s">
        <v>259</v>
      </c>
      <c r="D128" s="112">
        <v>-0.24809757027717561</v>
      </c>
      <c r="E128" s="112" t="s">
        <v>240</v>
      </c>
      <c r="F128" s="122">
        <v>58.059260000000002</v>
      </c>
      <c r="G128" s="112">
        <f t="shared" si="15"/>
        <v>4.7115339343561796E-2</v>
      </c>
      <c r="H128" t="str">
        <f t="shared" si="13"/>
        <v xml:space="preserve">0.047115 BIO-glytrna_c + </v>
      </c>
    </row>
    <row r="129" spans="1:8" x14ac:dyDescent="0.15">
      <c r="A129" t="s">
        <v>286</v>
      </c>
      <c r="B129" t="str">
        <f t="shared" si="14"/>
        <v>MET-histrna_c --&gt; 0.138147 BIO-histrna_c</v>
      </c>
      <c r="C129" s="121" t="s">
        <v>260</v>
      </c>
      <c r="D129" s="112">
        <v>-5.3861008755574646E-2</v>
      </c>
      <c r="E129" s="112" t="s">
        <v>241</v>
      </c>
      <c r="F129" s="122">
        <v>138.14722</v>
      </c>
      <c r="G129" s="112">
        <f t="shared" si="15"/>
        <v>2.433800348760027E-2</v>
      </c>
      <c r="H129" t="str">
        <f t="shared" si="13"/>
        <v xml:space="preserve">0.024338 BIO-histrna_c + </v>
      </c>
    </row>
    <row r="130" spans="1:8" x14ac:dyDescent="0.15">
      <c r="A130" t="s">
        <v>287</v>
      </c>
      <c r="B130" t="str">
        <f t="shared" si="14"/>
        <v>MET-iletrna_c --&gt; 0.114166 BIO-iletrna_c</v>
      </c>
      <c r="C130" s="121" t="s">
        <v>261</v>
      </c>
      <c r="D130" s="112">
        <v>-0.16437484578296599</v>
      </c>
      <c r="E130" s="112" t="s">
        <v>242</v>
      </c>
      <c r="F130" s="122">
        <v>114.16558000000001</v>
      </c>
      <c r="G130" s="112">
        <f t="shared" si="15"/>
        <v>6.1381692880981255E-2</v>
      </c>
      <c r="H130" t="str">
        <f t="shared" si="13"/>
        <v xml:space="preserve">0.061382 BIO-iletrna_c + </v>
      </c>
    </row>
    <row r="131" spans="1:8" x14ac:dyDescent="0.15">
      <c r="A131" t="s">
        <v>288</v>
      </c>
      <c r="B131" t="str">
        <f t="shared" si="14"/>
        <v>MET-leutrna_c --&gt; 0.114166 BIO-leutrna_c</v>
      </c>
      <c r="C131" s="121" t="s">
        <v>262</v>
      </c>
      <c r="D131" s="112">
        <v>-0.22353871856974797</v>
      </c>
      <c r="E131" s="112" t="s">
        <v>242</v>
      </c>
      <c r="F131" s="122">
        <v>114.16558000000001</v>
      </c>
      <c r="G131" s="112">
        <f t="shared" si="15"/>
        <v>8.3474967869313021E-2</v>
      </c>
      <c r="H131" t="str">
        <f t="shared" si="13"/>
        <v xml:space="preserve">0.083475 BIO-leutrna_c + </v>
      </c>
    </row>
    <row r="132" spans="1:8" x14ac:dyDescent="0.15">
      <c r="A132" t="s">
        <v>289</v>
      </c>
      <c r="B132" t="str">
        <f t="shared" si="14"/>
        <v>MET-lystrna_c --&gt; 0.130188 BIO-lystrna_c</v>
      </c>
      <c r="C132" s="121" t="s">
        <v>263</v>
      </c>
      <c r="D132" s="112">
        <v>-0.18335204976997529</v>
      </c>
      <c r="E132" s="112" t="s">
        <v>243</v>
      </c>
      <c r="F132" s="122">
        <v>130.18816000000001</v>
      </c>
      <c r="G132" s="112">
        <f t="shared" si="15"/>
        <v>7.8077441687736296E-2</v>
      </c>
      <c r="H132" t="str">
        <f t="shared" si="13"/>
        <v xml:space="preserve">0.078077 BIO-lystrna_c + </v>
      </c>
    </row>
    <row r="133" spans="1:8" x14ac:dyDescent="0.15">
      <c r="A133" t="s">
        <v>290</v>
      </c>
      <c r="B133" t="str">
        <f t="shared" si="14"/>
        <v>MET-mettrna_c --&gt; 0.132204 BIO-mettrna_c</v>
      </c>
      <c r="C133" s="121" t="s">
        <v>264</v>
      </c>
      <c r="D133" s="112">
        <v>-3.1814197219145163E-2</v>
      </c>
      <c r="E133" s="112" t="s">
        <v>244</v>
      </c>
      <c r="F133" s="122">
        <v>132.20400000000001</v>
      </c>
      <c r="G133" s="112">
        <f t="shared" si="15"/>
        <v>1.3757321311302294E-2</v>
      </c>
      <c r="H133" t="str">
        <f t="shared" si="13"/>
        <v xml:space="preserve">0.013757 BIO-mettrna_c + </v>
      </c>
    </row>
    <row r="134" spans="1:8" x14ac:dyDescent="0.15">
      <c r="A134" t="s">
        <v>291</v>
      </c>
      <c r="B134" t="str">
        <f t="shared" si="14"/>
        <v>MET-phetrna_c --&gt; 0.148182 BIO-phetrna_c</v>
      </c>
      <c r="C134" s="121" t="s">
        <v>265</v>
      </c>
      <c r="D134" s="112">
        <v>-0.10493218930697301</v>
      </c>
      <c r="E134" s="112" t="s">
        <v>245</v>
      </c>
      <c r="F134" s="122">
        <v>148.18180000000001</v>
      </c>
      <c r="G134" s="112">
        <f t="shared" si="15"/>
        <v>5.0859480080724891E-2</v>
      </c>
      <c r="H134" t="str">
        <f t="shared" si="13"/>
        <v xml:space="preserve">0.050859 BIO-phetrna_c + </v>
      </c>
    </row>
    <row r="135" spans="1:8" x14ac:dyDescent="0.15">
      <c r="A135" t="s">
        <v>292</v>
      </c>
      <c r="B135" t="str">
        <f t="shared" si="14"/>
        <v>MET-protrna_c --&gt; 0.097115 BIO-protrna_c</v>
      </c>
      <c r="C135" s="121" t="s">
        <v>266</v>
      </c>
      <c r="D135" s="112">
        <v>-0.11776918253910892</v>
      </c>
      <c r="E135" s="112" t="s">
        <v>246</v>
      </c>
      <c r="F135" s="122">
        <v>97.115179999999995</v>
      </c>
      <c r="G135" s="112">
        <f t="shared" si="15"/>
        <v>3.7409947279511746E-2</v>
      </c>
      <c r="H135" t="str">
        <f t="shared" si="13"/>
        <v xml:space="preserve">0.03741 BIO-protrna_c + </v>
      </c>
    </row>
    <row r="136" spans="1:8" x14ac:dyDescent="0.15">
      <c r="A136" t="s">
        <v>293</v>
      </c>
      <c r="B136" t="str">
        <f t="shared" si="14"/>
        <v>MET-sertrna_c --&gt; 0.088085 BIO-sertrna_c</v>
      </c>
      <c r="C136" s="121" t="s">
        <v>267</v>
      </c>
      <c r="D136" s="112">
        <v>-0.14874702869062095</v>
      </c>
      <c r="E136" s="112" t="s">
        <v>247</v>
      </c>
      <c r="F136" s="122">
        <v>88.085239999999999</v>
      </c>
      <c r="G136" s="112">
        <f t="shared" si="15"/>
        <v>4.2856801678331335E-2</v>
      </c>
      <c r="H136" t="str">
        <f t="shared" si="13"/>
        <v xml:space="preserve">0.042857 BIO-sertrna_c + </v>
      </c>
    </row>
    <row r="137" spans="1:8" x14ac:dyDescent="0.15">
      <c r="A137" t="s">
        <v>294</v>
      </c>
      <c r="B137" t="str">
        <f t="shared" si="14"/>
        <v>MET-thrtrna_c --&gt; 0.102112 BIO-thrtrna_c</v>
      </c>
      <c r="C137" s="121" t="s">
        <v>268</v>
      </c>
      <c r="D137" s="112">
        <v>-0.1554448068239164</v>
      </c>
      <c r="E137" s="112" t="s">
        <v>248</v>
      </c>
      <c r="F137" s="122">
        <v>102.11181999999999</v>
      </c>
      <c r="G137" s="112">
        <f t="shared" si="15"/>
        <v>5.1918310404224156E-2</v>
      </c>
      <c r="H137" t="str">
        <f t="shared" si="13"/>
        <v xml:space="preserve">0.051918 BIO-thrtrna_c + </v>
      </c>
    </row>
    <row r="138" spans="1:8" x14ac:dyDescent="0.15">
      <c r="A138" t="s">
        <v>295</v>
      </c>
      <c r="B138" t="str">
        <f t="shared" si="14"/>
        <v>MET-trptrna_c --&gt; 0.187218 BIO-trptrna_c</v>
      </c>
      <c r="C138" s="121" t="s">
        <v>269</v>
      </c>
      <c r="D138" s="112">
        <v>-1.8139857263343211E-2</v>
      </c>
      <c r="E138" s="112" t="s">
        <v>249</v>
      </c>
      <c r="F138" s="122">
        <v>187.21784</v>
      </c>
      <c r="G138" s="112">
        <f t="shared" si="15"/>
        <v>1.1108346340869608E-2</v>
      </c>
      <c r="H138" t="str">
        <f t="shared" si="13"/>
        <v xml:space="preserve">0.011108 BIO-trptrna_c + </v>
      </c>
    </row>
    <row r="139" spans="1:8" x14ac:dyDescent="0.15">
      <c r="A139" t="s">
        <v>296</v>
      </c>
      <c r="B139" t="str">
        <f t="shared" si="14"/>
        <v>MET-tyrtrna_c --&gt; 0.164181 BIO-tyrtrna_c</v>
      </c>
      <c r="C139" s="121" t="s">
        <v>270</v>
      </c>
      <c r="D139" s="112">
        <v>-5.4698355479240686E-2</v>
      </c>
      <c r="E139" s="112" t="s">
        <v>250</v>
      </c>
      <c r="F139" s="122">
        <v>164.18119999999999</v>
      </c>
      <c r="G139" s="112">
        <f t="shared" si="15"/>
        <v>2.9374197537896135E-2</v>
      </c>
      <c r="H139" t="str">
        <f t="shared" si="13"/>
        <v xml:space="preserve">0.029374 BIO-tyrtrna_c + </v>
      </c>
    </row>
    <row r="140" spans="1:8" ht="14" thickBot="1" x14ac:dyDescent="0.2">
      <c r="A140" t="s">
        <v>297</v>
      </c>
      <c r="B140" t="str">
        <f t="shared" si="14"/>
        <v>MET-valtrna_c --&gt; 0.100139 BIO-valtrna_c</v>
      </c>
      <c r="C140" s="123" t="s">
        <v>271</v>
      </c>
      <c r="D140" s="124">
        <v>-0.20456151458273872</v>
      </c>
      <c r="E140" s="124" t="s">
        <v>251</v>
      </c>
      <c r="F140" s="125">
        <v>100.139</v>
      </c>
      <c r="G140" s="112">
        <f t="shared" si="15"/>
        <v>6.700319263771562E-2</v>
      </c>
      <c r="H140" t="str">
        <f t="shared" si="13"/>
        <v xml:space="preserve">0.067003 BIO-valtrna_c + </v>
      </c>
    </row>
  </sheetData>
  <conditionalFormatting sqref="O1:O1048576">
    <cfRule type="cellIs" dxfId="51" priority="1" operator="equal">
      <formula>TRUE</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2ED9-29D4-914E-BF6B-79E812B70B0A}">
  <dimension ref="A1:AG98"/>
  <sheetViews>
    <sheetView zoomScale="110" zoomScaleNormal="110" workbookViewId="0">
      <selection activeCell="G2" sqref="G2"/>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2" width="26.5" customWidth="1"/>
    <col min="13" max="13" width="26.6640625" bestFit="1"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15.1640625" customWidth="1"/>
    <col min="22" max="22" width="18.1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731</v>
      </c>
      <c r="B1" s="182"/>
      <c r="C1" s="182"/>
      <c r="D1" s="182"/>
      <c r="E1" s="182"/>
      <c r="F1" s="182"/>
      <c r="G1" s="148" t="s">
        <v>744</v>
      </c>
      <c r="I1" s="148"/>
      <c r="J1" s="148" t="s">
        <v>743</v>
      </c>
      <c r="K1" s="148" t="s">
        <v>758</v>
      </c>
      <c r="L1" s="148"/>
      <c r="M1" s="148"/>
      <c r="N1" s="148"/>
      <c r="O1" s="148"/>
      <c r="P1" s="148"/>
      <c r="Q1" s="148"/>
      <c r="R1" s="148"/>
      <c r="S1" s="148"/>
      <c r="T1" s="148"/>
      <c r="U1" s="148"/>
      <c r="V1" s="148"/>
      <c r="W1" s="148"/>
    </row>
    <row r="2" spans="1:33" ht="13" customHeight="1" x14ac:dyDescent="0.15">
      <c r="A2" s="182"/>
      <c r="B2" s="182"/>
      <c r="C2" s="182"/>
      <c r="D2" s="182"/>
      <c r="E2" s="182"/>
      <c r="F2" s="182"/>
      <c r="G2" s="140">
        <v>3.2721388263158619</v>
      </c>
      <c r="J2" s="145">
        <f>_xlfn.XLOOKUP("adp",mets2713[name w/o location],mets2713[raw (GSM) coefficient],0)</f>
        <v>16.242000000000001</v>
      </c>
      <c r="K2" t="str" cm="1">
        <f t="array" ref="K2">_xlfn.LET(_xlpm.array,_xlfn._xlws.SORT(_xlfn._xlws.FILTER(_xlfn.HSTACK(mets2713[normalized coeff. w/ updated GAM]-mets2713[normalized coeffs],"MET-"&amp;mets2713[name]),(mets2713[category]="GAM")+(mets2713[name w/o location]="atp")+(mets2713[name w/o location]="pi"))),SUBSTITUTE(_xlfn.TEXTJOIN(" + ",TRUE,ABS(_xlfn.CHOOSECOLS(_xlpm.array,1))&amp;" "&amp;_xlfn.CHOOSECOLS(_xlpm.array,2))," + "," --&gt; ",2))</f>
        <v>12.9698611736841 MET-h2o_c + 12.9698611736841 MET-atp_c --&gt; 12.9698611736841 MET-adp_c + 12.9698611736841 MET-h_c + 12.9698611736841 MET-pi_c</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_xlfn.LET(_xlpm.coeffs,mets2713[coeff. w/o GAM],-SUM(_xlfn._xlws.FILTER(_xlpm.coeffs*mets2713[MW for biomass normalization (g/mol)],(IFERROR(_xlfn.NUMBERVALUE(_xlpm.coeffs),0)&lt;0)*(_xlfn.IFNA(mets2713[category],"ignore")&lt;&gt;"ignore")))/1000)</f>
        <v>1.0289228728595563</v>
      </c>
      <c r="H3" s="145" cm="1">
        <f t="array" ref="H3">_xlfn.LET(_xlpm.coeffs,mets2713[coeffs after extra operations],-SUM(_xlfn._xlws.FILTER(_xlpm.coeffs*mets2713[MW for biomass normalization (g/mol)],(IFERROR(_xlfn.NUMBERVALUE(_xlpm.coeffs),0)&lt;0)*(_xlfn.IFNA(mets2713[category],"ignore")&lt;&gt;"ignore")))/1000)</f>
        <v>1.0289228728595563</v>
      </c>
      <c r="I3" s="143" cm="1">
        <f t="array" ref="I3">_xlfn.LET(_xlpm.coeffs,mets2713[normalized coeffs],-SUM(_xlfn._xlws.FILTER(_xlpm.coeffs*mets2713[MW for biomass normalization (g/mol)],(IFERROR(_xlfn.NUMBERVALUE(_xlpm.coeffs),0)&lt;0)*(_xlfn.IFNA(mets2713[category],"ignore")&lt;&gt;"ignore")))/1000)</f>
        <v>0.99999999999999956</v>
      </c>
      <c r="J3" s="145"/>
      <c r="L3" s="145"/>
      <c r="M3" s="145" t="str" cm="1">
        <f t="array" ref="M3">_xlfn.TEXTJOIN(","&amp;CHAR(10),TRUE,CHAR(34)&amp;mets2713[name]&amp;CHAR(34)&amp;":"&amp;mets2713[new GSM coeffs])</f>
        <v>"datp_c":-0.00228750634522018,
"dctp_c":-0.00367990151187595,
"dgtp_c":-0.00367990151187595,
"dttp_c":-0.00228750634522018,
"adp_c":16.242,
"h_c":16.242,
"pi_c":16.242,
"h2o_c":-16.242,
"atp_c":-16.2760142247854,
"ctp_c":-0.0609670169399988,
"gtp_c":-0.0520159051543546,
"utp_c":-0.0322240024283191,
"13BDglucan_c":-1.12644768982451,
"16BDglucan_en":-0.376245065389911,
"glycogen_c":-0.449385594358386,
"mannan_c":-1.06985677197972,
"tre_c":-0.180971588946202,
"alatrna_c":-0.196946659956896,
"argtrna_c":-0.125367556655341,
"asntrna_c":-0.0462616399143463,
"asptrna_c":-0.10085335003835,
"cystrna_c":-0.0179314678013121,
"glntrna_c":-0.0662865336933473,
"glutrna_c":-0.117245738200925,
"glytrna_c":-0.13099035404686,
"histrna_c":-0.0404563743182352,
"iletrna_c":-0.0650657817376226,
"leutrna_c":-0.170310268786492,
"lystrna_c":-0.0803415438220939,
"mettrna_c":-0.0306229247707399,
"phetrna_c":-0.0615770689998161,
"protrna_c":-0.132061363073816,
"sertrna_c":-0.166690654945391,
"thrtrna_c":-0.104820050138187,
"trptrna_c":-0.0236177323944281,
"tyrtrna_c":-0.0412199640874538,
"valtrna_c":-0.113566623858327,
"trnaala_c":0.196946659956896,
"trnaarg_c":0.125367556655341,
"trnaasn_c":0.0462616399143463,
"trnaasp_c":0.10085335003835,
"trnacys_c":0.0179314678013121,
"trnagln_c":0.0662865336933473,
"trnaglu_c":0.117245738200925,
"trnagly_c":0.13099035404686,
"trnahis_c":0.0404563743182352,
"trnaile_c":0.0650657817376226,
"trnaleu_c":0.170310268786492,
"trnalys_c":0.0803415438220939,
"trnamet_c":0.0306229247707399,
"trnaphe_c":0.0615770689998161,
"trnapro_c":0.132061363073816,
"trnaser_c":0.166690654945391,
"trnathr_c":0.104820050138187,
"trnatrp_c":0.0236177323944281,
"trnatyr_c":0.0412199640874538,
"trnaval_c":0.113566623858327,
"linoea_c":-0.0313036518562319,
"linolen_c":-0.0157734596390898,
"hdca_c":-0.0221638736614545,
"ocdca_c":-0.0104472300116455,
"ocdcea_c":-0.0494142479636339,
"1mag_m":-0.00208042299249685,
"pail_c":-0.00299395850757105,
"ergst_c":-0.0225681398862912,
"pc_c":-0.00467639599776144,
"pe_c":-0.0036124769854832,
"tag_c":-0.0408220426204406,
"ps_c":-0.0118519887972926,
"dag_c":-0.0138989735768818,
"clpn_mm":-0.000544352875526347,
"caro_c":-0.000477392628567691,
"gcaro_c":-0.000179022235712884,
"toruln_c":-0.00015913087618923,
"torularho_c":-0.000417718549996729,
"ribflv_c":-0.000984622296420862,
"so4_c":-0.0198913595236538,
"hemeA_c":-9.94567976182689E-07</v>
      </c>
      <c r="N3" s="145"/>
      <c r="O3" s="145"/>
      <c r="P3" s="145"/>
      <c r="Q3" s="145"/>
      <c r="R3" s="145"/>
      <c r="S3" s="145"/>
      <c r="T3" s="145"/>
      <c r="U3" s="145"/>
      <c r="V3" s="145" t="str" cm="1">
        <f t="array" ref="V3">_xlfn.LET(_xlpm.eqn,_xlfn.TEXTJOIN(" + ",TRUE,biomassComponents2612[new GSM coeffs])&amp;" + "&amp;K2,_xlpm.reactants,"-"&amp;SUBSTITUTE(_xlfn.TEXTBEFORE(_xlpm.eqn,"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"13BDglucan_c":-1.12644768982451,
"16BDglucan_en":-0.376245065389911,
"glycogen_c":-0.449385594358386,
"mannan_c":-1.06985677197972,
"tre_c":-0.180971588946202,
"caro_c":-0.000477392628567691,
"gcaro_c":-0.000179022235712884,
"toruln_c":-0.00015913087618923,
"torularho_c":-0.000417718549996729,
"ribflv_c":-0.000984622296420862,
"hemeA_c":-9.94567976182689E-07,
"datp_c":-0.00228750634522018,
"dctp_c":-0.00367990151187595,
"dgtp_c":-0.00367990151187595,
"dttp_c":-0.00228750634522018,
"linoea_c":-0.0313036518562319,
"linolen_c":-0.0157734596390898,
"hdca_c":-0.0221638736614545,
"ocdca_c":-0.0104472300116455,
"ocdcea_c":-0.0494142479636339,
"1mag_m":-0.00208042299249685,
"pail_c":-0.00299395850757105,
"ergst_c":-0.0225681398862912,
"pc_c":-0.00467639599776144,
"pe_c":-0.0036124769854832,
"tag_c":-0.0408220426204406,
"ps_c":-0.0118519887972926,
"dag_c":-0.0138989735768818,
"clpn_mm":-0.000544352875526347,
"alatrna_c":-0.196946659956896,
"argtrna_c":-0.125367556655341,
"asntrna_c":-0.0462616399143463,
"asptrna_c":-0.10085335003835,
"cystrna_c":-0.0179314678013121,
"glntrna_c":-0.0662865336933473,
"glutrna_c":-0.117245738200925,
"glytrna_c":-0.13099035404686,
"histrna_c":-0.0404563743182352,
"iletrna_c":-0.0650657817376225,
"leutrna_c":-0.170310268786492,
"lystrna_c":-0.0803415438220939,
"mettrna_c":-0.0306229247707399,
"phetrna_c":-0.0615770689998161,
"protrna_c":-0.132061363073816,
"sertrna_c":-0.166690654945391,
"thrtrna_c":-0.104820050138187,
"trptrna_c":-0.0236177323944281,
"tyrtrna_c":-0.0412199640874538,
"valtrna_c":-0.113566623858327,
"atp_c":-13.0038753984695,
"ctp_c":-0.0609670169399988,
"gtp_c":-0.0520159051543546,
"utp_c":-0.0322240024283191,
"so4_c":-0.0198913595236538,
"h2o_c":-12.9698611736841,
"adp_c":12.9698611736841,
"h_c":12.9698611736841,
"pi_c":12.9698611736841</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81" t="s">
        <v>1592</v>
      </c>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t="s">
        <v>1514</v>
      </c>
      <c r="X5" s="156" t="s">
        <v>766</v>
      </c>
      <c r="Y5" s="159" t="s">
        <v>432</v>
      </c>
      <c r="Z5" s="159" t="s">
        <v>742</v>
      </c>
      <c r="AA5" s="159"/>
      <c r="AB5" s="1" t="s">
        <v>0</v>
      </c>
      <c r="AC5" s="1" t="s">
        <v>1</v>
      </c>
      <c r="AD5"/>
      <c r="AE5"/>
      <c r="AF5"/>
      <c r="AG5"/>
    </row>
    <row r="6" spans="1:33" ht="16" x14ac:dyDescent="0.2">
      <c r="A6" s="144" t="s">
        <v>1515</v>
      </c>
      <c r="B6" t="str">
        <f>SUBSTITUTE(_xlfn.TEXTBEFORE(mets2713[[#This Row],[pasted JSON metabolite keys and values from GSM biomass rxn]],":"),CHAR(34),"")</f>
        <v>datp_c</v>
      </c>
      <c r="C6" t="str">
        <f>_xlfn.TEXTBEFORE(mets2713[[#This Row],[name]],"_",-1)</f>
        <v>datp</v>
      </c>
      <c r="D6" t="str">
        <f>_xlfn.XLOOKUP(mets2713[[#This Row],[name w/o location]],metaboliteInfo[name w/o location],metaboliteInfo[suggested category],"")</f>
        <v>DNA</v>
      </c>
      <c r="E6" s="21">
        <f>IFERROR(_xlfn.XLOOKUP(mets2713[[#This Row],[name w/o location]],metaboliteInfo[name w/o location],metaboliteInfo[MW for biomass normalization (g/mol)],0),0)</f>
        <v>312.19860099999994</v>
      </c>
      <c r="F6">
        <f>_xlfn.NUMBERVALUE(SUBSTITUTE(_xlfn.TEXTAFTER(mets2713[[#This Row],[pasted JSON metabolite keys and values from GSM biomass rxn]],":"),",",""))</f>
        <v>-2.3E-3</v>
      </c>
      <c r="G6" s="21" cm="1">
        <f t="array" ref="G6">_xlfn.LET(_xlpm.id,mets2713[[#This Row],[name w/o location]],IF(IsElementOfSet_DIY(_xlpm.id,{"atp","adp","h","pi","h2o"}),SIGN(mets2713[[#This Row],[raw (GSM) coefficient]])*(ABS(mets2713[[#This Row],[raw (GSM) coefficient]])-$J$2),mets2713[[#This Row],[raw (GSM) coefficient]]))</f>
        <v>-2.3E-3</v>
      </c>
      <c r="H6" s="21">
        <f>mets2713[[#This Row],[coeff. w/o GAM]]</f>
        <v>-2.3E-3</v>
      </c>
      <c r="I6" s="161">
        <f t="shared" ref="I6:I37" si="0">H6/($H$3)</f>
        <v>-2.2353473332825213E-3</v>
      </c>
      <c r="J6" s="21" cm="1">
        <f t="array" ref="J6">_xlfn.LET(_xlpm.id,mets2713[[#This Row],[name w/o location]],_xlpm.oldcoeff,mets2713[[#This Row],[normalized coeffs]],_xlpm.gam,$J$2-$G$2,_xlfn.IFS(IFERROR(MATCH(_xlpm.id,{"atp","h2o"},0),0)&gt;0,_xlpm.oldcoeff-_xlpm.gam,IFERROR(MATCH(_xlpm.id,{"adp","h","pi"},0),0)&gt;0,_xlpm.oldcoeff+_xlpm.gam,TRUE,_xlpm.oldcoeff))</f>
        <v>-2.2353473332825213E-3</v>
      </c>
      <c r="K6" t="str" cm="1">
        <f t="array" ref="K6">"BIOSYN-"&amp;_xlfn.IFS(IFERROR(MATCH(mets2713[[#This Row],[category]],{0,"0",""},0),0)&gt;0,mets2713[[#This Row],[name]],TRUE,mets2713[[#This Row],[category]]&amp;"-"&amp;mets2713[[#This Row],[name]])</f>
        <v>BIOSYN-DNA-datp_c</v>
      </c>
      <c r="L6" s="149" t="str" cm="1">
        <f t="array" ref="L6">IF(IsElementOfSet_DIY(mets2713[[#This Row],[category]],{"ignore","PROT"}),"",_xlfn.LET(_xlpm.mw,mets2713[[#This Row],[MW for biomass normalization (g/mol)]],"MET-"&amp;mets2713[[#This Row],[name]]&amp;" --&gt; "&amp;IF((mets2713[[#This Row],[category]]="DNA")+(mets2713[[#This Row],[category]]="RNA"),"MET-ppi_c + ","")&amp;ROUND(ABS(_xlpm.mw/1000),6)&amp;" BIO-"&amp;mets2713[[#This Row],[name]]))</f>
        <v>MET-datp_c --&gt; MET-ppi_c + 0.312199 BIO-datp_c</v>
      </c>
      <c r="M6" s="149" cm="1">
        <f t="array" ref="M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-2.2875063452201835E-3</v>
      </c>
      <c r="N6" s="149"/>
      <c r="O6" s="162" t="str" cm="1">
        <f t="array" ref="O6:O12">_xlfn.LET(_xlpm.cat,mets2713[category],"BIOSYN-"&amp;_xlfn._xlws.SORT(_xlfn.UNIQUE(_xlfn._xlws.FILTER(_xlpm.cat,(_xlpm.cat&lt;&gt;0)*(_xlpm.cat&lt;&gt;"GAM")*(_xlpm.cat&lt;&gt;"ignore")*(mets2713[normalized coeffs]&lt;&gt;0)))))</f>
        <v>BIOSYN-CARB</v>
      </c>
      <c r="P6" s="158" t="str">
        <f t="shared" ref="P6:P11" si="1">O6</f>
        <v>BIOSYN-CARB</v>
      </c>
      <c r="Q6" s="158" t="str">
        <f>SUBSTITUTE(LOWER(biomassComponents2612[[#This Row],[rxn name]]),"biosyn-","BIO-")</f>
        <v>BIO-carb</v>
      </c>
      <c r="R6" s="160" cm="1">
        <f t="array" ref="R6">_xlfn.LET(_xlpm.mass,-mets2713[MW for biomass normalization (g/mol)]*mets2713[normalized coeffs],SUM(_xlfn._xlws.FILTER(_xlpm.mass/1000,(mets2713[category]=_xlfn.TEXTAFTER(O6,"BIOSYN-")),"")))</f>
        <v>0.53933950425509392</v>
      </c>
      <c r="S6" s="179">
        <f>biomassComponents2612[[#This Row],[original coeffs from input]]*(1-SUM($S$9:$S$10))/(1-SUM($R$9:$R$10))</f>
        <v>0.55192431164589184</v>
      </c>
      <c r="T6" s="179">
        <f>biomassComponents2612[[#This Row],[pre-determined coeffs]]</f>
        <v>0.55192431164589184</v>
      </c>
      <c r="U6" s="158" t="str" cm="1">
        <f t="array" ref="U6">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BIO-"&amp;mets2713[name],mets2713[category]=_xlfn.TEXTAFTER(O6,"BIOSYN-"),""))&amp;" --&gt; "&amp;biomassComponents2612[[#This Row],[product name]]</f>
        <v>0.33092 BIO-13BDglucan_c + 0.110531 BIO-16BDglucan_en + 0.132017 BIO-glycogen_c + 0.314295 BIO-mannan_c + 0.112236 BIO-tre_c --&gt; BIO-carb</v>
      </c>
      <c r="V6" s="158" t="str" cm="1">
        <f t="array" ref="V6">_xlfn.TEXTJOIN(" + ",TRUE,_xlfn._xlws.FILTER((-mets2713[normalized coeffs]*biomassComponents2612[[#This Row],[normalized coeffs]]/biomassComponents2612[[#This Row],[original coeffs from input]])&amp;" BIO-"&amp;mets2713[name],mets2713[category]=_xlfn.TEXTAFTER(P6,"BIOSYN-"),""))</f>
        <v>1.12644768982451 BIO-13BDglucan_c + 0.376245065389911 BIO-16BDglucan_en + 0.449385594358386 BIO-glycogen_c + 1.06985677197972 BIO-mannan_c + 0.180971588946202 BIO-tre_c</v>
      </c>
      <c r="W6" s="158" t="str" cm="1">
        <f t="array" ref="W6">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BIO-"&amp;mets2713[name],mets2713[category]=_xlfn.TEXTAFTER(O6,"BIOSYN-"),""))&amp;" --&gt; "&amp;biomassComponents2612[[#This Row],[product name]]</f>
        <v>0.33092 BIO-13BDglucan_c + 0.110531 BIO-16BDglucan_en + 0.132017 BIO-glycogen_c + 0.314295 BIO-mannan_c + 0.112236 BIO-tre_c --&gt; BIO-carb</v>
      </c>
      <c r="Y6" s="152" t="s">
        <v>1309</v>
      </c>
      <c r="Z6" t="str">
        <f>SUBSTITUTE(Z7," --&gt; "," + "&amp;K2)</f>
        <v>0.551924311645892 BIO-carb + 0.00104389746497541 BIO-cofactor + 0.00367588233736863 BIO-dna + 0.183 BIO-lipid + 0.201 BIO-varbiom + 0.057445092838387 BIO-rna + 0.00191081571337694 BIO-so4 + 12.9698611736841 MET-h2o_c + 12.9698611736841 MET-atp_c --&gt; 12.9698611736841 MET-adp_c + 12.9698611736841 MET-h_c + 12.9698611736841 MET-pi_c</v>
      </c>
      <c r="AB6" t="str" cm="1">
        <f t="array" ref="AB6:AC55">_xlfn.LET(_xlpm.macros,_xlfn._xlws.FILTER(_xlfn.HSTACK(_xlfn.ANCHORARRAY(O6),biomassComponents2612[stoichiometry (if needed)]),biomassComponents2612[stoichiometry (if needed)]&lt;&gt;""),_xlfn.VSTACK(_xlfn._xlws.FILTER(ExtraRxns2511[[name]:[stoichiometry]],ExtraRxns2511[stoichiometry]&lt;&gt;""),_xlpm.macros,_xlfn._xlws.SORT(_xlfn._xlws.FILTER(mets2713[[biomass equation name]:[biomass equation]],ISNUMBER(MATCH(mets2713[category],_xlfn.TEXTAFTER(biomassComponents2612[rxn name],"BIOSYN-"),0))*(mets2713[biomass equation]&lt;&gt;"")))))</f>
        <v>BIOSYN-BIOXYL-PINHEIRO</v>
      </c>
      <c r="AC6" t="str">
        <v>0.551924311645892 BIO-carb + 0.00104389746497541 BIO-cofactor + 0.00367588233736863 BIO-dna + 0.183 BIO-lipid + 0.201 BIO-varbiom + 0.057445092838387 BIO-rna + 0.00191081571337694 BIO-so4 + 12.9698611736841 MET-h2o_c + 12.9698611736841 MET-atp_c --&gt; 12.9698611736841 MET-adp_c + 12.9698611736841 MET-h_c + 12.9698611736841 MET-pi_c</v>
      </c>
    </row>
    <row r="7" spans="1:33" ht="16" x14ac:dyDescent="0.2">
      <c r="A7" s="144" t="s">
        <v>1516</v>
      </c>
      <c r="B7" t="str">
        <f>SUBSTITUTE(_xlfn.TEXTBEFORE(mets2713[[#This Row],[pasted JSON metabolite keys and values from GSM biomass rxn]],":"),CHAR(34),"")</f>
        <v>dctp_c</v>
      </c>
      <c r="C7" t="str">
        <f>_xlfn.TEXTBEFORE(mets2713[[#This Row],[name]],"_",-1)</f>
        <v>dctp</v>
      </c>
      <c r="D7" t="str">
        <f>_xlfn.XLOOKUP(mets2713[[#This Row],[name w/o location]],metaboliteInfo[name w/o location],metaboliteInfo[suggested category],"")</f>
        <v>DNA</v>
      </c>
      <c r="E7" s="21">
        <f>IFERROR(_xlfn.XLOOKUP(mets2713[[#This Row],[name w/o location]],metaboliteInfo[name w/o location],metaboliteInfo[MW for biomass normalization (g/mol)],0),0)</f>
        <v>288.173901</v>
      </c>
      <c r="F7">
        <f>_xlfn.NUMBERVALUE(SUBSTITUTE(_xlfn.TEXTAFTER(mets2713[[#This Row],[pasted JSON metabolite keys and values from GSM biomass rxn]],":"),",",""))</f>
        <v>-3.7000000000000002E-3</v>
      </c>
      <c r="G7" s="21" cm="1">
        <f t="array" ref="G7">_xlfn.LET(_xlpm.id,mets2713[[#This Row],[name w/o location]],IF(IsElementOfSet_DIY(_xlpm.id,{"atp","adp","h","pi","h2o"}),SIGN(mets2713[[#This Row],[raw (GSM) coefficient]])*(ABS(mets2713[[#This Row],[raw (GSM) coefficient]])-$J$2),mets2713[[#This Row],[raw (GSM) coefficient]]))</f>
        <v>-3.7000000000000002E-3</v>
      </c>
      <c r="H7" s="21">
        <f>mets2713[[#This Row],[coeff. w/o GAM]]</f>
        <v>-3.7000000000000002E-3</v>
      </c>
      <c r="I7" s="161">
        <f t="shared" si="0"/>
        <v>-3.5959935361501434E-3</v>
      </c>
      <c r="J7" s="21" cm="1">
        <f t="array" ref="J7">_xlfn.LET(_xlpm.id,mets2713[[#This Row],[name w/o location]],_xlpm.oldcoeff,mets2713[[#This Row],[normalized coeffs]],_xlpm.gam,$J$2-$G$2,_xlfn.IFS(IFERROR(MATCH(_xlpm.id,{"atp","h2o"},0),0)&gt;0,_xlpm.oldcoeff-_xlpm.gam,IFERROR(MATCH(_xlpm.id,{"adp","h","pi"},0),0)&gt;0,_xlpm.oldcoeff+_xlpm.gam,TRUE,_xlpm.oldcoeff))</f>
        <v>-3.5959935361501434E-3</v>
      </c>
      <c r="K7" t="str" cm="1">
        <f t="array" ref="K7">"BIOSYN-"&amp;_xlfn.IFS(IFERROR(MATCH(mets2713[[#This Row],[category]],{0,"0",""},0),0)&gt;0,mets2713[[#This Row],[name]],TRUE,mets2713[[#This Row],[category]]&amp;"-"&amp;mets2713[[#This Row],[name]])</f>
        <v>BIOSYN-DNA-dctp_c</v>
      </c>
      <c r="L7" s="149" t="str" cm="1">
        <f t="array" ref="L7">IF(IsElementOfSet_DIY(mets2713[[#This Row],[category]],{"ignore","PROT"}),"",_xlfn.LET(_xlpm.mw,mets2713[[#This Row],[MW for biomass normalization (g/mol)]],"MET-"&amp;mets2713[[#This Row],[name]]&amp;" --&gt; "&amp;IF((mets2713[[#This Row],[category]]="DNA")+(mets2713[[#This Row],[category]]="RNA"),"MET-ppi_c + ","")&amp;ROUND(ABS(_xlpm.mw/1000),6)&amp;" BIO-"&amp;mets2713[[#This Row],[name]]))</f>
        <v>MET-dctp_c --&gt; MET-ppi_c + 0.288174 BIO-dctp_c</v>
      </c>
      <c r="M7" s="149" cm="1">
        <f t="array" ref="M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-3.6799015118759476E-3</v>
      </c>
      <c r="N7" s="149"/>
      <c r="O7" s="162" t="str">
        <v>BIOSYN-COFACTOR</v>
      </c>
      <c r="P7" s="158" t="str">
        <f t="shared" si="1"/>
        <v>BIOSYN-COFACTOR</v>
      </c>
      <c r="Q7" s="158" t="str">
        <f>SUBSTITUTE(LOWER(biomassComponents2612[[#This Row],[rxn name]]),"biosyn-","BIO-")</f>
        <v>BIO-cofactor</v>
      </c>
      <c r="R7" s="160" cm="1">
        <f t="array" ref="R7">_xlfn.LET(_xlpm.mass,-mets2713[MW for biomass normalization (g/mol)]*mets2713[normalized coeffs],SUM(_xlfn._xlws.FILTER(_xlpm.mass/1000,(mets2713[category]=_xlfn.TEXTAFTER(O7,"BIOSYN-")),"")))</f>
        <v>1.0200948379570772E-3</v>
      </c>
      <c r="S7" s="179">
        <f>biomassComponents2612[[#This Row],[original coeffs from input]]*(1-SUM($S$9:$S$10))/(1-SUM($R$9:$R$10))</f>
        <v>1.043897464975411E-3</v>
      </c>
      <c r="T7" s="179">
        <f>biomassComponents2612[[#This Row],[pre-determined coeffs]]</f>
        <v>1.043897464975411E-3</v>
      </c>
      <c r="U7" s="158" t="str" cm="1">
        <f t="array" ref="U7">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BIO-"&amp;mets2713[name],mets2713[category]=_xlfn.TEXTAFTER(O7,"BIOSYN-"),""))&amp;" --&gt; "&amp;biomassComponents2612[[#This Row],[product name]]</f>
        <v>0.245521 BIO-caro_c + 0.09207 BIO-gcaro_c + 0.081533 BIO-toruln_c + 0.226022 BIO-torularho_c + 0.354042 BIO-ribflv_c + 0.000811 BIO-hemeA_c --&gt; BIO-cofactor</v>
      </c>
      <c r="V7" s="158" t="str" cm="1">
        <f t="array" ref="V7">_xlfn.TEXTJOIN(" + ",TRUE,_xlfn._xlws.FILTER((-mets2713[normalized coeffs]*biomassComponents2612[[#This Row],[normalized coeffs]]/biomassComponents2612[[#This Row],[original coeffs from input]])&amp;" BIO-"&amp;mets2713[name],mets2713[category]=_xlfn.TEXTAFTER(P7,"BIOSYN-"),""))</f>
        <v>0.000477392628567691 BIO-caro_c + 0.000179022235712884 BIO-gcaro_c + 0.00015913087618923 BIO-toruln_c + 0.000417718549996729 BIO-torularho_c + 0.000984622296420862 BIO-ribflv_c + 9.94567976182689E-07 BIO-hemeA_c</v>
      </c>
      <c r="W7" s="158" t="str" cm="1">
        <f t="array" ref="W7">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BIO-"&amp;mets2713[name],mets2713[category]=_xlfn.TEXTAFTER(O7,"BIOSYN-"),""))&amp;" --&gt; "&amp;biomassComponents2612[[#This Row],[product name]]</f>
        <v>0.245521 BIO-caro_c + 0.09207 BIO-gcaro_c + 0.081533 BIO-toruln_c + 0.226022 BIO-torularho_c + 0.354042 BIO-ribflv_c + 0.000811 BIO-hemeA_c --&gt; BIO-cofactor</v>
      </c>
      <c r="Y7" s="152" t="str">
        <f>Y6&amp;"-NOGAM"</f>
        <v>BIOSYN-BIOXYL-PINHEIRO-NOGAM</v>
      </c>
      <c r="Z7" t="str" cm="1">
        <f t="array" ref="Z7">_xlfn.TEXTJOIN(" + ",TRUE,_xlfn._xlws.FILTER(biomassComponents2612[normalized coeffs]&amp;" "&amp;biomassComponents2612[product name],biomassComponents2612[normalized coeffs]&lt;&gt;0))&amp;" --&gt; "</f>
        <v xml:space="preserve">0.551924311645892 BIO-carb + 0.00104389746497541 BIO-cofactor + 0.00367588233736863 BIO-dna + 0.183 BIO-lipid + 0.201 BIO-varbiom + 0.057445092838387 BIO-rna + 0.00191081571337694 BIO-so4 --&gt; </v>
      </c>
      <c r="AB7" t="str">
        <v>BIOSYN-BIOXYL-PINHEIRO-NOGAM</v>
      </c>
      <c r="AC7" t="str">
        <v xml:space="preserve">0.551924311645892 BIO-carb + 0.00104389746497541 BIO-cofactor + 0.00367588233736863 BIO-dna + 0.183 BIO-lipid + 0.201 BIO-varbiom + 0.057445092838387 BIO-rna + 0.00191081571337694 BIO-so4 --&gt; </v>
      </c>
    </row>
    <row r="8" spans="1:33" ht="16" x14ac:dyDescent="0.2">
      <c r="A8" s="144" t="s">
        <v>1517</v>
      </c>
      <c r="B8" t="str">
        <f>SUBSTITUTE(_xlfn.TEXTBEFORE(mets2713[[#This Row],[pasted JSON metabolite keys and values from GSM biomass rxn]],":"),CHAR(34),"")</f>
        <v>dgtp_c</v>
      </c>
      <c r="C8" t="str">
        <f>_xlfn.TEXTBEFORE(mets2713[[#This Row],[name]],"_",-1)</f>
        <v>dgtp</v>
      </c>
      <c r="D8" t="str">
        <f>_xlfn.XLOOKUP(mets2713[[#This Row],[name w/o location]],metaboliteInfo[name w/o location],metaboliteInfo[suggested category],"")</f>
        <v>DNA</v>
      </c>
      <c r="E8" s="21">
        <f>IFERROR(_xlfn.XLOOKUP(mets2713[[#This Row],[name w/o location]],metaboliteInfo[name w/o location],metaboliteInfo[MW for biomass normalization (g/mol)],0),0)</f>
        <v>328.19800099999998</v>
      </c>
      <c r="F8">
        <f>_xlfn.NUMBERVALUE(SUBSTITUTE(_xlfn.TEXTAFTER(mets2713[[#This Row],[pasted JSON metabolite keys and values from GSM biomass rxn]],":"),",",""))</f>
        <v>-3.7000000000000002E-3</v>
      </c>
      <c r="G8" s="21" cm="1">
        <f t="array" ref="G8">_xlfn.LET(_xlpm.id,mets2713[[#This Row],[name w/o location]],IF(IsElementOfSet_DIY(_xlpm.id,{"atp","adp","h","pi","h2o"}),SIGN(mets2713[[#This Row],[raw (GSM) coefficient]])*(ABS(mets2713[[#This Row],[raw (GSM) coefficient]])-$J$2),mets2713[[#This Row],[raw (GSM) coefficient]]))</f>
        <v>-3.7000000000000002E-3</v>
      </c>
      <c r="H8" s="161">
        <f>mets2713[[#This Row],[coeff. w/o GAM]]</f>
        <v>-3.7000000000000002E-3</v>
      </c>
      <c r="I8" s="161">
        <f t="shared" si="0"/>
        <v>-3.5959935361501434E-3</v>
      </c>
      <c r="J8" s="21" cm="1">
        <f t="array" ref="J8">_xlfn.LET(_xlpm.id,mets2713[[#This Row],[name w/o location]],_xlpm.oldcoeff,mets2713[[#This Row],[normalized coeffs]],_xlpm.gam,$J$2-$G$2,_xlfn.IFS(IFERROR(MATCH(_xlpm.id,{"atp","h2o"},0),0)&gt;0,_xlpm.oldcoeff-_xlpm.gam,IFERROR(MATCH(_xlpm.id,{"adp","h","pi"},0),0)&gt;0,_xlpm.oldcoeff+_xlpm.gam,TRUE,_xlpm.oldcoeff))</f>
        <v>-3.5959935361501434E-3</v>
      </c>
      <c r="K8" t="str" cm="1">
        <f t="array" ref="K8">"BIOSYN-"&amp;_xlfn.IFS(IFERROR(MATCH(mets2713[[#This Row],[category]],{0,"0",""},0),0)&gt;0,mets2713[[#This Row],[name]],TRUE,mets2713[[#This Row],[category]]&amp;"-"&amp;mets2713[[#This Row],[name]])</f>
        <v>BIOSYN-DNA-dgtp_c</v>
      </c>
      <c r="L8" s="149" t="str" cm="1">
        <f t="array" ref="L8">IF(IsElementOfSet_DIY(mets2713[[#This Row],[category]],{"ignore","PROT"}),"",_xlfn.LET(_xlpm.mw,mets2713[[#This Row],[MW for biomass normalization (g/mol)]],"MET-"&amp;mets2713[[#This Row],[name]]&amp;" --&gt; "&amp;IF((mets2713[[#This Row],[category]]="DNA")+(mets2713[[#This Row],[category]]="RNA"),"MET-ppi_c + ","")&amp;ROUND(ABS(_xlpm.mw/1000),6)&amp;" BIO-"&amp;mets2713[[#This Row],[name]]))</f>
        <v>MET-dgtp_c --&gt; MET-ppi_c + 0.328198 BIO-dgtp_c</v>
      </c>
      <c r="M8" s="149" cm="1">
        <f t="array" ref="M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-3.6799015118759476E-3</v>
      </c>
      <c r="N8" s="149"/>
      <c r="O8" s="162" t="str">
        <v>BIOSYN-DNA</v>
      </c>
      <c r="P8" s="158" t="str">
        <f t="shared" si="1"/>
        <v>BIOSYN-DNA</v>
      </c>
      <c r="Q8" s="158" t="str">
        <f>SUBSTITUTE(LOWER(biomassComponents2612[[#This Row],[rxn name]]),"biosyn-","BIO-")</f>
        <v>BIO-dna</v>
      </c>
      <c r="R8" s="160" cm="1">
        <f t="array" ref="R8">_xlfn.LET(_xlpm.mass,-mets2713[MW for biomass normalization (g/mol)]*mets2713[normalized coeffs],SUM(_xlfn._xlws.FILTER(_xlpm.mass/1000,(mets2713[category]=_xlfn.TEXTAFTER(O8,"BIOSYN-")),"")))</f>
        <v>3.5920660056164219E-3</v>
      </c>
      <c r="S8" s="179">
        <f>biomassComponents2612[[#This Row],[original coeffs from input]]*(1-SUM($S$9:$S$10))/(1-SUM($R$9:$R$10))</f>
        <v>3.6758823373686284E-3</v>
      </c>
      <c r="T8" s="179">
        <f>biomassComponents2612[[#This Row],[pre-determined coeffs]]</f>
        <v>3.6758823373686284E-3</v>
      </c>
      <c r="U8" s="158" t="str" cm="1">
        <f t="array" ref="U8">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BIO-"&amp;mets2713[name],mets2713[category]=_xlfn.TEXTAFTER(O8,"BIOSYN-"),""))&amp;" --&gt; "&amp;biomassComponents2612[[#This Row],[product name]]</f>
        <v>0.194282 BIO-datp_c + 0.288489 BIO-dctp_c + 0.328557 BIO-dgtp_c + 0.188673 BIO-dttp_c --&gt; BIO-dna</v>
      </c>
      <c r="V8" s="158" t="str" cm="1">
        <f t="array" ref="V8">_xlfn.TEXTJOIN(" + ",TRUE,_xlfn._xlws.FILTER((-mets2713[normalized coeffs]*biomassComponents2612[[#This Row],[normalized coeffs]]/biomassComponents2612[[#This Row],[original coeffs from input]])&amp;" BIO-"&amp;mets2713[name],mets2713[category]=_xlfn.TEXTAFTER(P8,"BIOSYN-"),""))</f>
        <v>0.00228750634522018 BIO-datp_c + 0.00367990151187595 BIO-dctp_c + 0.00367990151187595 BIO-dgtp_c + 0.00228750634522018 BIO-dttp_c</v>
      </c>
      <c r="W8" s="158" t="str" cm="1">
        <f t="array" ref="W8">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BIO-"&amp;mets2713[name],mets2713[category]=_xlfn.TEXTAFTER(O8,"BIOSYN-"),""))&amp;" --&gt; "&amp;biomassComponents2612[[#This Row],[product name]]</f>
        <v>0.194282 BIO-datp_c + 0.288489 BIO-dctp_c + 0.328557 BIO-dgtp_c + 0.188673 BIO-dttp_c --&gt; BIO-dna</v>
      </c>
      <c r="X8" s="153" t="s">
        <v>757</v>
      </c>
      <c r="Y8" t="s">
        <v>49</v>
      </c>
      <c r="Z8" t="s">
        <v>747</v>
      </c>
      <c r="AB8" t="str">
        <v>BIOSYN-PROTTOBIO</v>
      </c>
      <c r="AC8" t="str">
        <v>BIO-prot --&gt; BIO-varbiom</v>
      </c>
    </row>
    <row r="9" spans="1:33" ht="16" x14ac:dyDescent="0.2">
      <c r="A9" s="144" t="s">
        <v>1518</v>
      </c>
      <c r="B9" t="str">
        <f>SUBSTITUTE(_xlfn.TEXTBEFORE(mets2713[[#This Row],[pasted JSON metabolite keys and values from GSM biomass rxn]],":"),CHAR(34),"")</f>
        <v>dttp_c</v>
      </c>
      <c r="C9" t="str">
        <f>_xlfn.TEXTBEFORE(mets2713[[#This Row],[name]],"_",-1)</f>
        <v>dttp</v>
      </c>
      <c r="D9" t="str">
        <f>_xlfn.XLOOKUP(mets2713[[#This Row],[name w/o location]],metaboliteInfo[name w/o location],metaboliteInfo[suggested category],"")</f>
        <v>DNA</v>
      </c>
      <c r="E9" s="21">
        <f>IFERROR(_xlfn.XLOOKUP(mets2713[[#This Row],[name w/o location]],metaboliteInfo[name w/o location],metaboliteInfo[MW for biomass normalization (g/mol)],0),0)</f>
        <v>303.18524100000002</v>
      </c>
      <c r="F9">
        <f>_xlfn.NUMBERVALUE(SUBSTITUTE(_xlfn.TEXTAFTER(mets2713[[#This Row],[pasted JSON metabolite keys and values from GSM biomass rxn]],":"),",",""))</f>
        <v>-2.3E-3</v>
      </c>
      <c r="G9" s="21" cm="1">
        <f t="array" ref="G9">_xlfn.LET(_xlpm.id,mets2713[[#This Row],[name w/o location]],IF(IsElementOfSet_DIY(_xlpm.id,{"atp","adp","h","pi","h2o"}),SIGN(mets2713[[#This Row],[raw (GSM) coefficient]])*(ABS(mets2713[[#This Row],[raw (GSM) coefficient]])-$J$2),mets2713[[#This Row],[raw (GSM) coefficient]]))</f>
        <v>-2.3E-3</v>
      </c>
      <c r="H9" s="21">
        <f>mets2713[[#This Row],[coeff. w/o GAM]]</f>
        <v>-2.3E-3</v>
      </c>
      <c r="I9" s="161">
        <f t="shared" si="0"/>
        <v>-2.2353473332825213E-3</v>
      </c>
      <c r="J9" s="21" cm="1">
        <f t="array" ref="J9">_xlfn.LET(_xlpm.id,mets2713[[#This Row],[name w/o location]],_xlpm.oldcoeff,mets2713[[#This Row],[normalized coeffs]],_xlpm.gam,$J$2-$G$2,_xlfn.IFS(IFERROR(MATCH(_xlpm.id,{"atp","h2o"},0),0)&gt;0,_xlpm.oldcoeff-_xlpm.gam,IFERROR(MATCH(_xlpm.id,{"adp","h","pi"},0),0)&gt;0,_xlpm.oldcoeff+_xlpm.gam,TRUE,_xlpm.oldcoeff))</f>
        <v>-2.2353473332825213E-3</v>
      </c>
      <c r="K9" t="str" cm="1">
        <f t="array" ref="K9">"BIOSYN-"&amp;_xlfn.IFS(IFERROR(MATCH(mets2713[[#This Row],[category]],{0,"0",""},0),0)&gt;0,mets2713[[#This Row],[name]],TRUE,mets2713[[#This Row],[category]]&amp;"-"&amp;mets2713[[#This Row],[name]])</f>
        <v>BIOSYN-DNA-dttp_c</v>
      </c>
      <c r="L9" s="149" t="str" cm="1">
        <f t="array" ref="L9">IF(IsElementOfSet_DIY(mets2713[[#This Row],[category]],{"ignore","PROT"}),"",_xlfn.LET(_xlpm.mw,mets2713[[#This Row],[MW for biomass normalization (g/mol)]],"MET-"&amp;mets2713[[#This Row],[name]]&amp;" --&gt; "&amp;IF((mets2713[[#This Row],[category]]="DNA")+(mets2713[[#This Row],[category]]="RNA"),"MET-ppi_c + ","")&amp;ROUND(ABS(_xlpm.mw/1000),6)&amp;" BIO-"&amp;mets2713[[#This Row],[name]]))</f>
        <v>MET-dttp_c --&gt; MET-ppi_c + 0.303185 BIO-dttp_c</v>
      </c>
      <c r="M9" s="149" cm="1">
        <f t="array" ref="M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-2.2875063452201835E-3</v>
      </c>
      <c r="N9" s="149"/>
      <c r="O9" s="162" t="str">
        <v>BIOSYN-LIPID</v>
      </c>
      <c r="P9" s="158" t="str">
        <f t="shared" si="1"/>
        <v>BIOSYN-LIPID</v>
      </c>
      <c r="Q9" s="158" t="str">
        <f>SUBSTITUTE(LOWER(biomassComponents2612[[#This Row],[rxn name]]),"biosyn-","BIO-")</f>
        <v>BIO-lipid</v>
      </c>
      <c r="R9" s="160" cm="1">
        <f t="array" ref="R9">_xlfn.LET(_xlpm.mass,-mets2713[MW for biomass normalization (g/mol)]*mets2713[normalized coeffs],SUM(_xlfn._xlws.FILTER(_xlpm.mass/1000,(mets2713[category]=_xlfn.TEXTAFTER(O9,"BIOSYN-")),"")))</f>
        <v>0.20105598666178506</v>
      </c>
      <c r="S9" s="179">
        <v>0.183</v>
      </c>
      <c r="T9" s="179">
        <f>biomassComponents2612[[#This Row],[pre-determined coeffs]]</f>
        <v>0.183</v>
      </c>
      <c r="U9" s="158" t="str" cm="1">
        <f t="array" ref="U9">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BIO-"&amp;mets2713[name],mets2713[category]=_xlfn.TEXTAFTER(O9,"BIOSYN-"),""))&amp;" --&gt; "&amp;biomassComponents2612[[#This Row],[product name]]</f>
        <v>0.0478 BIO-linoea_c + 0.023912 BIO-linolen_c + 0.030934 BIO-hdca_c + 0.016183 BIO-ocdca_c + 0.075999 BIO-ocdcea_c + 0.003616 BIO-1mag_m + 0.014105 BIO-pail_c + 0.048916 BIO-ergst_c + 0.02009 BIO-pc_c + 0.014688 BIO-pe_c + 0.197532 BIO-tag_c + 0.05091 BIO-ps_c + 0.024082 BIO-dag_c + 0.431232 BIO-clpn_mm --&gt; BIO-lipid</v>
      </c>
      <c r="V9" s="158" t="str" cm="1">
        <f t="array" ref="V9">_xlfn.TEXTJOIN(" + ",TRUE,_xlfn._xlws.FILTER((-mets2713[normalized coeffs]*biomassComponents2612[[#This Row],[normalized coeffs]]/biomassComponents2612[[#This Row],[original coeffs from input]])&amp;" BIO-"&amp;mets2713[name],mets2713[category]=_xlfn.TEXTAFTER(P9,"BIOSYN-"),""))</f>
        <v>0.0313036518562319 BIO-linoea_c + 0.0157734596390898 BIO-linolen_c + 0.0221638736614545 BIO-hdca_c + 0.0104472300116455 BIO-ocdca_c + 0.0494142479636339 BIO-ocdcea_c + 0.00208042299249685 BIO-1mag_m + 0.00299395850757105 BIO-pail_c + 0.0225681398862912 BIO-ergst_c + 0.00467639599776144 BIO-pc_c + 0.0036124769854832 BIO-pe_c + 0.0408220426204406 BIO-tag_c + 0.0118519887972926 BIO-ps_c + 0.0138989735768818 BIO-dag_c + 0.000544352875526347 BIO-clpn_mm</v>
      </c>
      <c r="W9" s="158" t="str" cm="1">
        <f t="array" ref="W9">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BIO-"&amp;mets2713[name],mets2713[category]=_xlfn.TEXTAFTER(O9,"BIOSYN-"),""))&amp;" --&gt; "&amp;biomassComponents2612[[#This Row],[product name]]</f>
        <v>0.0478 BIO-linoea_c + 0.023912 BIO-linolen_c + 0.030934 BIO-hdca_c + 0.016183 BIO-ocdca_c + 0.075999 BIO-ocdcea_c + 0.003616 BIO-1mag_m + 0.014105 BIO-pail_c + 0.048916 BIO-ergst_c + 0.02009 BIO-pc_c + 0.014688 BIO-pe_c + 0.197532 BIO-tag_c + 0.05091 BIO-ps_c + 0.024082 BIO-dag_c + 0.431232 BIO-clpn_mm --&gt; BIO-lipid</v>
      </c>
      <c r="X9" s="153"/>
      <c r="AB9" t="str">
        <v>BIOSYN-PROTMODELED</v>
      </c>
      <c r="AC9" t="str">
        <v>BIO-protmodeled --&gt; BIO-prot</v>
      </c>
    </row>
    <row r="10" spans="1:33" ht="16" x14ac:dyDescent="0.2">
      <c r="A10" s="144" t="s">
        <v>1582</v>
      </c>
      <c r="B10" t="str">
        <f>SUBSTITUTE(_xlfn.TEXTBEFORE(mets2713[[#This Row],[pasted JSON metabolite keys and values from GSM biomass rxn]],":"),CHAR(34),"")</f>
        <v>adp_c</v>
      </c>
      <c r="C10" t="str">
        <f>_xlfn.TEXTBEFORE(mets2713[[#This Row],[name]],"_",-1)</f>
        <v>adp</v>
      </c>
      <c r="D10" t="str">
        <f>_xlfn.XLOOKUP(mets2713[[#This Row],[name w/o location]],metaboliteInfo[name w/o location],metaboliteInfo[suggested category],"")</f>
        <v>GAM</v>
      </c>
      <c r="E10" s="21">
        <f>IFERROR(_xlfn.XLOOKUP(mets2713[[#This Row],[name w/o location]],metaboliteInfo[name w/o location],metaboliteInfo[MW for biomass normalization (g/mol)],0),0)</f>
        <v>424.177302</v>
      </c>
      <c r="F10">
        <f>_xlfn.NUMBERVALUE(SUBSTITUTE(_xlfn.TEXTAFTER(mets2713[[#This Row],[pasted JSON metabolite keys and values from GSM biomass rxn]],":"),",",""))</f>
        <v>16.242000000000001</v>
      </c>
      <c r="G10" s="21" cm="1">
        <f t="array" ref="G10">_xlfn.LET(_xlpm.id,mets2713[[#This Row],[name w/o location]],IF(IsElementOfSet_DIY(_xlpm.id,{"atp","adp","h","pi","h2o"}),SIGN(mets2713[[#This Row],[raw (GSM) coefficient]])*(ABS(mets2713[[#This Row],[raw (GSM) coefficient]])-$J$2),mets2713[[#This Row],[raw (GSM) coefficient]]))</f>
        <v>0</v>
      </c>
      <c r="H10" s="21">
        <f>mets2713[[#This Row],[coeff. w/o GAM]]</f>
        <v>0</v>
      </c>
      <c r="I10" s="161">
        <f t="shared" si="0"/>
        <v>0</v>
      </c>
      <c r="J10" s="21" cm="1">
        <f t="array" ref="J10">_xlfn.LET(_xlpm.id,mets2713[[#This Row],[name w/o location]],_xlpm.oldcoeff,mets2713[[#This Row],[normalized coeffs]],_xlpm.gam,$J$2-$G$2,_xlfn.IFS(IFERROR(MATCH(_xlpm.id,{"atp","h2o"},0),0)&gt;0,_xlpm.oldcoeff-_xlpm.gam,IFERROR(MATCH(_xlpm.id,{"adp","h","pi"},0),0)&gt;0,_xlpm.oldcoeff+_xlpm.gam,TRUE,_xlpm.oldcoeff))</f>
        <v>12.969861173684139</v>
      </c>
      <c r="K10" t="str" cm="1">
        <f t="array" ref="K10">"BIOSYN-"&amp;_xlfn.IFS(IFERROR(MATCH(mets2713[[#This Row],[category]],{0,"0",""},0),0)&gt;0,mets2713[[#This Row],[name]],TRUE,mets2713[[#This Row],[category]]&amp;"-"&amp;mets2713[[#This Row],[name]])</f>
        <v>BIOSYN-GAM-adp_c</v>
      </c>
      <c r="L10" s="149" t="str" cm="1">
        <f t="array" ref="L10">IF(IsElementOfSet_DIY(mets2713[[#This Row],[category]],{"ignore","PROT"}),"",_xlfn.LET(_xlpm.mw,mets2713[[#This Row],[MW for biomass normalization (g/mol)]],"MET-"&amp;mets2713[[#This Row],[name]]&amp;" --&gt; "&amp;IF((mets2713[[#This Row],[category]]="DNA")+(mets2713[[#This Row],[category]]="RNA"),"MET-ppi_c + ","")&amp;ROUND(ABS(_xlpm.mw/1000),6)&amp;" BIO-"&amp;mets2713[[#This Row],[name]]))</f>
        <v>MET-adp_c --&gt; 0.424177 BIO-adp_c</v>
      </c>
      <c r="M10" s="149" cm="1">
        <f t="array" ref="M1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16.242000000000001</v>
      </c>
      <c r="N10" s="149"/>
      <c r="O10" s="162" t="str">
        <v>BIOSYN-PROT</v>
      </c>
      <c r="P10" s="158" t="str">
        <f t="shared" si="1"/>
        <v>BIOSYN-PROT</v>
      </c>
      <c r="Q10" s="158" t="s">
        <v>21</v>
      </c>
      <c r="R10" s="160" cm="1">
        <f t="array" ref="R10">_xlfn.LET(_xlpm.mass,-mets2713[MW for biomass normalization (g/mol)]*mets2713[normalized coeffs],SUM(_xlfn._xlws.FILTER(_xlpm.mass/1000,(mets2713[category]=_xlfn.TEXTAFTER(O10,"BIOSYN-")),"")))</f>
        <v>0.19698985475008096</v>
      </c>
      <c r="S10" s="160">
        <v>0.20100000000000001</v>
      </c>
      <c r="T10" s="179">
        <f>biomassComponents2612[[#This Row],[pre-determined coeffs]]</f>
        <v>0.20100000000000001</v>
      </c>
      <c r="U10" s="158"/>
      <c r="V10" s="158" t="str" cm="1">
        <f t="array" ref="V10">_xlfn.TEXTJOIN(" + ",TRUE,_xlfn._xlws.FILTER((-mets2713[normalized coeffs]*biomassComponents2612[[#This Row],[normalized coeffs]]/biomassComponents2612[[#This Row],[original coeffs from input]])&amp;" BIO-"&amp;mets2713[name],mets2713[category]=_xlfn.TEXTAFTER(P10,"BIOSYN-"),""))</f>
        <v>0.196946659956896 BIO-alatrna_c + 0.125367556655341 BIO-argtrna_c + 0.0462616399143463 BIO-asntrna_c + 0.10085335003835 BIO-asptrna_c + 0.0179314678013121 BIO-cystrna_c + 0.0662865336933473 BIO-glntrna_c + 0.117245738200925 BIO-glutrna_c + 0.13099035404686 BIO-glytrna_c + 0.0404563743182352 BIO-histrna_c + 0.0650657817376225 BIO-iletrna_c + 0.170310268786492 BIO-leutrna_c + 0.0803415438220939 BIO-lystrna_c + 0.0306229247707399 BIO-mettrna_c + 0.0615770689998161 BIO-phetrna_c + 0.132061363073816 BIO-protrna_c + 0.166690654945391 BIO-sertrna_c + 0.104820050138187 BIO-thrtrna_c + 0.0236177323944281 BIO-trptrna_c + 0.0412199640874538 BIO-tyrtrna_c + 0.113566623858327 BIO-valtrna_c</v>
      </c>
      <c r="W10" s="158" t="str" cm="1">
        <f t="array" ref="W10">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BIO-"&amp;mets2713[name],mets2713[category]=_xlfn.TEXTAFTER(O10,"BIOSYN-"),""))&amp;" --&gt; "&amp;biomassComponents2612[[#This Row],[product name]]</f>
        <v>0.070632 BIO-alatrna_c + 0.098673 BIO-argtrna_c + 0.026494 BIO-asntrna_c + 0.057746 BIO-asptrna_c + 0.009291 BIO-cystrna_c + 0.042587 BIO-glntrna_c + 0.075314 BIO-glutrna_c + 0.037837 BIO-glytrna_c + 0.027806 BIO-histrna_c + 0.036957 BIO-iletrna_c + 0.096734 BIO-leutrna_c + 0.052037 BIO-lystrna_c + 0.020142 BIO-mettrna_c + 0.045396 BIO-phetrna_c + 0.063807 BIO-protrna_c + 0.07305 BIO-sertrna_c + 0.053251 BIO-thrtrna_c + 0.021998 BIO-trptrna_c + 0.033669 BIO-tyrtrna_c + 0.056579 BIO-valtrna_c --&gt; BIO-varbiom</v>
      </c>
      <c r="X10" s="153"/>
      <c r="AB10" t="str">
        <v>BIOSYN-PROTDUMMY</v>
      </c>
      <c r="AC10" t="str">
        <v>BIO-protdummy --&gt; BIO-prot</v>
      </c>
    </row>
    <row r="11" spans="1:33" ht="16" x14ac:dyDescent="0.2">
      <c r="A11" s="144" t="s">
        <v>1590</v>
      </c>
      <c r="B11" t="str">
        <f>SUBSTITUTE(_xlfn.TEXTBEFORE(mets2713[[#This Row],[pasted JSON metabolite keys and values from GSM biomass rxn]],":"),CHAR(34),"")</f>
        <v>h_c</v>
      </c>
      <c r="C11" t="str">
        <f>_xlfn.TEXTBEFORE(mets2713[[#This Row],[name]],"_",-1)</f>
        <v>h</v>
      </c>
      <c r="D11" t="str">
        <f>_xlfn.XLOOKUP(mets2713[[#This Row],[name w/o location]],metaboliteInfo[name w/o location],metaboliteInfo[suggested category],"")</f>
        <v>GAM</v>
      </c>
      <c r="E11" s="21">
        <f>IFERROR(_xlfn.XLOOKUP(mets2713[[#This Row],[name w/o location]],metaboliteInfo[name w/o location],metaboliteInfo[MW for biomass normalization (g/mol)],0),0)</f>
        <v>1.0079400000000001</v>
      </c>
      <c r="F11">
        <f>_xlfn.NUMBERVALUE(SUBSTITUTE(_xlfn.TEXTAFTER(mets2713[[#This Row],[pasted JSON metabolite keys and values from GSM biomass rxn]],":"),",",""))</f>
        <v>16.242000000000001</v>
      </c>
      <c r="G11" s="21" cm="1">
        <f t="array" ref="G11">_xlfn.LET(_xlpm.id,mets2713[[#This Row],[name w/o location]],IF(IsElementOfSet_DIY(_xlpm.id,{"atp","adp","h","pi","h2o"}),SIGN(mets2713[[#This Row],[raw (GSM) coefficient]])*(ABS(mets2713[[#This Row],[raw (GSM) coefficient]])-$J$2),mets2713[[#This Row],[raw (GSM) coefficient]]))</f>
        <v>0</v>
      </c>
      <c r="H11" s="21">
        <f>mets2713[[#This Row],[coeff. w/o GAM]]</f>
        <v>0</v>
      </c>
      <c r="I11" s="161">
        <f t="shared" si="0"/>
        <v>0</v>
      </c>
      <c r="J11" s="21" cm="1">
        <f t="array" ref="J11">_xlfn.LET(_xlpm.id,mets2713[[#This Row],[name w/o location]],_xlpm.oldcoeff,mets2713[[#This Row],[normalized coeffs]],_xlpm.gam,$J$2-$G$2,_xlfn.IFS(IFERROR(MATCH(_xlpm.id,{"atp","h2o"},0),0)&gt;0,_xlpm.oldcoeff-_xlpm.gam,IFERROR(MATCH(_xlpm.id,{"adp","h","pi"},0),0)&gt;0,_xlpm.oldcoeff+_xlpm.gam,TRUE,_xlpm.oldcoeff))</f>
        <v>12.969861173684139</v>
      </c>
      <c r="K11" t="str" cm="1">
        <f t="array" ref="K11">"BIOSYN-"&amp;_xlfn.IFS(IFERROR(MATCH(mets2713[[#This Row],[category]],{0,"0",""},0),0)&gt;0,mets2713[[#This Row],[name]],TRUE,mets2713[[#This Row],[category]]&amp;"-"&amp;mets2713[[#This Row],[name]])</f>
        <v>BIOSYN-GAM-h_c</v>
      </c>
      <c r="L11" s="149" t="str" cm="1">
        <f t="array" ref="L11">IF(IsElementOfSet_DIY(mets2713[[#This Row],[category]],{"ignore","PROT"}),"",_xlfn.LET(_xlpm.mw,mets2713[[#This Row],[MW for biomass normalization (g/mol)]],"MET-"&amp;mets2713[[#This Row],[name]]&amp;" --&gt; "&amp;IF((mets2713[[#This Row],[category]]="DNA")+(mets2713[[#This Row],[category]]="RNA"),"MET-ppi_c + ","")&amp;ROUND(ABS(_xlpm.mw/1000),6)&amp;" BIO-"&amp;mets2713[[#This Row],[name]]))</f>
        <v>MET-h_c --&gt; 0.001008 BIO-h_c</v>
      </c>
      <c r="M11" s="149" cm="1">
        <f t="array" ref="M1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16.242000000000001</v>
      </c>
      <c r="N11" s="149"/>
      <c r="O11" s="162" t="str">
        <v>BIOSYN-RNA</v>
      </c>
      <c r="P11" s="158" t="str">
        <f t="shared" si="1"/>
        <v>BIOSYN-RNA</v>
      </c>
      <c r="Q11" s="158" t="str">
        <f>SUBSTITUTE(LOWER(biomassComponents2612[[#This Row],[rxn name]]),"biosyn-","BIO-")</f>
        <v>BIO-rna</v>
      </c>
      <c r="R11" s="160" cm="1">
        <f t="array" ref="R11">_xlfn.LET(_xlpm.mass,-mets2713[MW for biomass normalization (g/mol)]*mets2713[normalized coeffs],SUM(_xlfn._xlws.FILTER(_xlpm.mass/1000,(mets2713[category]=_xlfn.TEXTAFTER(O11,"BIOSYN-")),"")))</f>
        <v>5.613524760478654E-2</v>
      </c>
      <c r="S11" s="179">
        <f>biomassComponents2612[[#This Row],[original coeffs from input]]*(1-SUM($S$9:$S$10))/(1-SUM($R$9:$R$10))</f>
        <v>5.7445092838387037E-2</v>
      </c>
      <c r="T11" s="179">
        <f>biomassComponents2612[[#This Row],[pre-determined coeffs]]</f>
        <v>5.7445092838387037E-2</v>
      </c>
      <c r="U11" s="158" t="s">
        <v>81</v>
      </c>
      <c r="V11" s="158" t="str" cm="1">
        <f t="array" ref="V11">_xlfn.TEXTJOIN(" + ",TRUE,_xlfn._xlws.FILTER((-mets2713[normalized coeffs]*biomassComponents2612[[#This Row],[normalized coeffs]]/biomassComponents2612[[#This Row],[original coeffs from input]])&amp;" BIO-"&amp;mets2713[name],mets2713[category]=_xlfn.TEXTAFTER(P11,"BIOSYN-"),""))</f>
        <v>0.0340142247854464 BIO-atp_c + 0.0609670169399988 BIO-ctp_c + 0.0520159051543546 BIO-gtp_c + 0.0322240024283191 BIO-utp_c</v>
      </c>
      <c r="W11" s="158" t="str" cm="1">
        <f t="array" ref="W11">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BIO-"&amp;mets2713[name],mets2713[category]=_xlfn.TEXTAFTER(O11,"BIOSYN-"),""))&amp;" --&gt; "&amp;biomassComponents2612[[#This Row],[product name]]</f>
        <v>0.194332 BIO-atp_c + 0.322822 BIO-ctp_c + 0.311667 BIO-gtp_c + 0.171179 BIO-utp_c --&gt; BIO-rna</v>
      </c>
      <c r="X11" s="154" t="s">
        <v>52</v>
      </c>
      <c r="Y11" s="152" t="s">
        <v>53</v>
      </c>
      <c r="Z11" s="152" t="s">
        <v>54</v>
      </c>
      <c r="AB11" t="str">
        <v>BIOSYN-PROTCYT</v>
      </c>
      <c r="AC11" t="str">
        <v>BIO-protcyt --&gt; BIO-protmodeled</v>
      </c>
    </row>
    <row r="12" spans="1:33" ht="16" x14ac:dyDescent="0.2">
      <c r="A12" s="144" t="s">
        <v>1591</v>
      </c>
      <c r="B12" t="str">
        <f>SUBSTITUTE(_xlfn.TEXTBEFORE(mets2713[[#This Row],[pasted JSON metabolite keys and values from GSM biomass rxn]],":"),CHAR(34),"")</f>
        <v>pi_c</v>
      </c>
      <c r="C12" t="str">
        <f>_xlfn.TEXTBEFORE(mets2713[[#This Row],[name]],"_",-1)</f>
        <v>pi</v>
      </c>
      <c r="D12" t="str">
        <f>_xlfn.XLOOKUP(mets2713[[#This Row],[name w/o location]],metaboliteInfo[name w/o location],metaboliteInfo[suggested category],"")</f>
        <v>PI</v>
      </c>
      <c r="E12" s="21">
        <f>IFERROR(_xlfn.XLOOKUP(mets2713[[#This Row],[name w/o location]],metaboliteInfo[name w/o location],metaboliteInfo[MW for biomass normalization (g/mol)],0),0)</f>
        <v>95.979301000000007</v>
      </c>
      <c r="F12">
        <f>_xlfn.NUMBERVALUE(SUBSTITUTE(_xlfn.TEXTAFTER(mets2713[[#This Row],[pasted JSON metabolite keys and values from GSM biomass rxn]],":"),",",""))</f>
        <v>16.242000000000001</v>
      </c>
      <c r="G12" s="21" cm="1">
        <f t="array" ref="G12">_xlfn.LET(_xlpm.id,mets2713[[#This Row],[name w/o location]],IF(IsElementOfSet_DIY(_xlpm.id,{"atp","adp","h","pi","h2o"}),SIGN(mets2713[[#This Row],[raw (GSM) coefficient]])*(ABS(mets2713[[#This Row],[raw (GSM) coefficient]])-$J$2),mets2713[[#This Row],[raw (GSM) coefficient]]))</f>
        <v>0</v>
      </c>
      <c r="H12" s="21">
        <f>mets2713[[#This Row],[coeff. w/o GAM]]</f>
        <v>0</v>
      </c>
      <c r="I12" s="161">
        <f t="shared" si="0"/>
        <v>0</v>
      </c>
      <c r="J12" s="21" cm="1">
        <f t="array" ref="J12">_xlfn.LET(_xlpm.id,mets2713[[#This Row],[name w/o location]],_xlpm.oldcoeff,mets2713[[#This Row],[normalized coeffs]],_xlpm.gam,$J$2-$G$2,_xlfn.IFS(IFERROR(MATCH(_xlpm.id,{"atp","h2o"},0),0)&gt;0,_xlpm.oldcoeff-_xlpm.gam,IFERROR(MATCH(_xlpm.id,{"adp","h","pi"},0),0)&gt;0,_xlpm.oldcoeff+_xlpm.gam,TRUE,_xlpm.oldcoeff))</f>
        <v>12.969861173684139</v>
      </c>
      <c r="K12" t="str" cm="1">
        <f t="array" ref="K12">"BIOSYN-"&amp;_xlfn.IFS(IFERROR(MATCH(mets2713[[#This Row],[category]],{0,"0",""},0),0)&gt;0,mets2713[[#This Row],[name]],TRUE,mets2713[[#This Row],[category]]&amp;"-"&amp;mets2713[[#This Row],[name]])</f>
        <v>BIOSYN-PI-pi_c</v>
      </c>
      <c r="L12" s="149" t="str" cm="1">
        <f t="array" ref="L12">IF(IsElementOfSet_DIY(mets2713[[#This Row],[category]],{"ignore","PROT"}),"",_xlfn.LET(_xlpm.mw,mets2713[[#This Row],[MW for biomass normalization (g/mol)]],"MET-"&amp;mets2713[[#This Row],[name]]&amp;" --&gt; "&amp;IF((mets2713[[#This Row],[category]]="DNA")+(mets2713[[#This Row],[category]]="RNA"),"MET-ppi_c + ","")&amp;ROUND(ABS(_xlpm.mw/1000),6)&amp;" BIO-"&amp;mets2713[[#This Row],[name]]))</f>
        <v>MET-pi_c --&gt; 0.095979 BIO-pi_c</v>
      </c>
      <c r="M12" s="149" cm="1">
        <f t="array" ref="M1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16.242000000000001</v>
      </c>
      <c r="N12" s="149"/>
      <c r="O12" s="162" t="str">
        <v>BIOSYN-SO4</v>
      </c>
      <c r="P12" s="158" t="str">
        <f t="shared" ref="P12" si="2">O12</f>
        <v>BIOSYN-SO4</v>
      </c>
      <c r="Q12" s="158" t="str">
        <f>SUBSTITUTE(LOWER(biomassComponents2612[[#This Row],[rxn name]]),"biosyn-","BIO-")</f>
        <v>BIO-so4</v>
      </c>
      <c r="R12" s="160" cm="1">
        <f t="array" ref="R12">_xlfn.LET(_xlpm.mass,-mets2713[MW for biomass normalization (g/mol)]*mets2713[normalized coeffs],SUM(_xlfn._xlws.FILTER(_xlpm.mass/1000,(mets2713[category]=_xlfn.TEXTAFTER(O12,"BIOSYN-")),"")))</f>
        <v>1.8672458846798745E-3</v>
      </c>
      <c r="S12" s="179">
        <f>biomassComponents2612[[#This Row],[original coeffs from input]]*(1-SUM($S$9:$S$10))/(1-SUM($R$9:$R$10))</f>
        <v>1.9108157133769432E-3</v>
      </c>
      <c r="T12" s="179">
        <f>biomassComponents2612[[#This Row],[pre-determined coeffs]]</f>
        <v>1.9108157133769432E-3</v>
      </c>
      <c r="U12" s="158" t="str" cm="1">
        <f t="array" ref="U12">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BIO-"&amp;mets2713[name],mets2713[category]=_xlfn.TEXTAFTER(O12,"BIOSYN-"),""))&amp;" --&gt; "&amp;biomassComponents2612[[#This Row],[product name]]</f>
        <v>1 BIO-so4_c --&gt; BIO-so4</v>
      </c>
      <c r="V12" s="158" t="str" cm="1">
        <f t="array" ref="V12">_xlfn.TEXTJOIN(" + ",TRUE,_xlfn._xlws.FILTER((-mets2713[normalized coeffs]*biomassComponents2612[[#This Row],[normalized coeffs]]/biomassComponents2612[[#This Row],[original coeffs from input]])&amp;" BIO-"&amp;mets2713[name],mets2713[category]=_xlfn.TEXTAFTER(P12,"BIOSYN-"),""))</f>
        <v>0.0198913595236538 BIO-so4_c</v>
      </c>
      <c r="W12" s="158" t="str" cm="1">
        <f t="array" ref="W12">_xlfn.TEXTJOIN(" + ",TRUE,_xlfn._xlws.FILTER(ROUND(-mets2713[MW for biomass normalization (g/mol)]*mets2713[normalized coeffs]*(biomassComponents2612[[#This Row],[normalized coeffs]]/biomassComponents2612[[#This Row],[original coeffs from input]])/(1000*biomassComponents2612[[#This Row],[normalized coeffs]]),6)&amp;" BIO-"&amp;mets2713[name],mets2713[category]=_xlfn.TEXTAFTER(O12,"BIOSYN-"),""))&amp;" --&gt; "&amp;biomassComponents2612[[#This Row],[product name]]</f>
        <v>1 BIO-so4_c --&gt; BIO-so4</v>
      </c>
      <c r="X12" s="154" t="s">
        <v>52</v>
      </c>
      <c r="Y12" s="152" t="s">
        <v>55</v>
      </c>
      <c r="Z12" s="152" t="s">
        <v>56</v>
      </c>
      <c r="AB12" t="str">
        <v>BIOSYN-PROTMITO</v>
      </c>
      <c r="AC12" t="str">
        <v>BIO-protmito --&gt; BIO-protmodeled</v>
      </c>
    </row>
    <row r="13" spans="1:33" ht="16" x14ac:dyDescent="0.2">
      <c r="A13" s="144" t="s">
        <v>1581</v>
      </c>
      <c r="B13" t="str">
        <f>SUBSTITUTE(_xlfn.TEXTBEFORE(mets2713[[#This Row],[pasted JSON metabolite keys and values from GSM biomass rxn]],":"),CHAR(34),"")</f>
        <v>h2o_c</v>
      </c>
      <c r="C13" t="str">
        <f>_xlfn.TEXTBEFORE(mets2713[[#This Row],[name]],"_",-1)</f>
        <v>h2o</v>
      </c>
      <c r="D13" t="str">
        <f>_xlfn.XLOOKUP(mets2713[[#This Row],[name w/o location]],metaboliteInfo[name w/o location],metaboliteInfo[suggested category],"")</f>
        <v>GAM</v>
      </c>
      <c r="E13" s="21">
        <f>IFERROR(_xlfn.XLOOKUP(mets2713[[#This Row],[name w/o location]],metaboliteInfo[name w/o location],metaboliteInfo[MW for biomass normalization (g/mol)],0),0)</f>
        <v>18.015280000000001</v>
      </c>
      <c r="F13">
        <f>_xlfn.NUMBERVALUE(SUBSTITUTE(_xlfn.TEXTAFTER(mets2713[[#This Row],[pasted JSON metabolite keys and values from GSM biomass rxn]],":"),",",""))</f>
        <v>-16.242000000000001</v>
      </c>
      <c r="G13" s="21" cm="1">
        <f t="array" ref="G13">_xlfn.LET(_xlpm.id,mets2713[[#This Row],[name w/o location]],IF(IsElementOfSet_DIY(_xlpm.id,{"atp","adp","h","pi","h2o"}),SIGN(mets2713[[#This Row],[raw (GSM) coefficient]])*(ABS(mets2713[[#This Row],[raw (GSM) coefficient]])-$J$2),mets2713[[#This Row],[raw (GSM) coefficient]]))</f>
        <v>0</v>
      </c>
      <c r="H13" s="21">
        <f>mets2713[[#This Row],[coeff. w/o GAM]]</f>
        <v>0</v>
      </c>
      <c r="I13" s="161">
        <f t="shared" si="0"/>
        <v>0</v>
      </c>
      <c r="J13" s="21" cm="1">
        <f t="array" ref="J13">_xlfn.LET(_xlpm.id,mets2713[[#This Row],[name w/o location]],_xlpm.oldcoeff,mets2713[[#This Row],[normalized coeffs]],_xlpm.gam,$J$2-$G$2,_xlfn.IFS(IFERROR(MATCH(_xlpm.id,{"atp","h2o"},0),0)&gt;0,_xlpm.oldcoeff-_xlpm.gam,IFERROR(MATCH(_xlpm.id,{"adp","h","pi"},0),0)&gt;0,_xlpm.oldcoeff+_xlpm.gam,TRUE,_xlpm.oldcoeff))</f>
        <v>-12.969861173684139</v>
      </c>
      <c r="K13" t="str" cm="1">
        <f t="array" ref="K13">"BIOSYN-"&amp;_xlfn.IFS(IFERROR(MATCH(mets2713[[#This Row],[category]],{0,"0",""},0),0)&gt;0,mets2713[[#This Row],[name]],TRUE,mets2713[[#This Row],[category]]&amp;"-"&amp;mets2713[[#This Row],[name]])</f>
        <v>BIOSYN-GAM-h2o_c</v>
      </c>
      <c r="L13" s="149" t="str" cm="1">
        <f t="array" ref="L13">IF(IsElementOfSet_DIY(mets2713[[#This Row],[category]],{"ignore","PROT"}),"",_xlfn.LET(_xlpm.mw,mets2713[[#This Row],[MW for biomass normalization (g/mol)]],"MET-"&amp;mets2713[[#This Row],[name]]&amp;" --&gt; "&amp;IF((mets2713[[#This Row],[category]]="DNA")+(mets2713[[#This Row],[category]]="RNA"),"MET-ppi_c + ","")&amp;ROUND(ABS(_xlpm.mw/1000),6)&amp;" BIO-"&amp;mets2713[[#This Row],[name]]))</f>
        <v>MET-h2o_c --&gt; 0.018015 BIO-h2o_c</v>
      </c>
      <c r="M13" s="149" cm="1">
        <f t="array" ref="M1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-16.242000000000001</v>
      </c>
      <c r="N13" s="149"/>
      <c r="O13" s="162"/>
      <c r="P13" s="158"/>
      <c r="Q13" s="158"/>
      <c r="R13" s="160"/>
      <c r="S13" s="160"/>
      <c r="T13" s="160"/>
      <c r="U13" s="158"/>
      <c r="V13" s="158"/>
      <c r="X13" s="154" t="s">
        <v>52</v>
      </c>
      <c r="Y13" s="152" t="s">
        <v>59</v>
      </c>
      <c r="Z13" s="152" t="s">
        <v>60</v>
      </c>
      <c r="AB13" t="str">
        <v>BIOSYN-TRNA</v>
      </c>
      <c r="AC13" t="str">
        <v>0.194332 BIO-atp_c + 0.322822 BIO-ctp_c + 0.311667 BIO-gtp_c + 0.171179 BIO-utp_c --&gt; BIO-trna</v>
      </c>
    </row>
    <row r="14" spans="1:33" ht="16" x14ac:dyDescent="0.2">
      <c r="A14" s="144" t="s">
        <v>1519</v>
      </c>
      <c r="B14" t="str">
        <f>SUBSTITUTE(_xlfn.TEXTBEFORE(mets2713[[#This Row],[pasted JSON metabolite keys and values from GSM biomass rxn]],":"),CHAR(34),"")</f>
        <v>atp_c</v>
      </c>
      <c r="C14" t="str">
        <f>_xlfn.TEXTBEFORE(mets2713[[#This Row],[name]],"_",-1)</f>
        <v>atp</v>
      </c>
      <c r="D14" t="str">
        <f>_xlfn.XLOOKUP(mets2713[[#This Row],[name w/o location]],metaboliteInfo[name w/o location],metaboliteInfo[suggested category],"")</f>
        <v>RNA</v>
      </c>
      <c r="E14" s="21">
        <f>IFERROR(_xlfn.XLOOKUP(mets2713[[#This Row],[name w/o location]],metaboliteInfo[name w/o location],metaboliteInfo[MW for biomass normalization (g/mol)],0),0)</f>
        <v>328.19800099999998</v>
      </c>
      <c r="F14">
        <f>_xlfn.NUMBERVALUE(SUBSTITUTE(_xlfn.TEXTAFTER(mets2713[[#This Row],[pasted JSON metabolite keys and values from GSM biomass rxn]],":"),",",""))</f>
        <v>-16.276199999999999</v>
      </c>
      <c r="G14" s="21" cm="1">
        <f t="array" ref="G14">_xlfn.LET(_xlpm.id,mets2713[[#This Row],[name w/o location]],IF(IsElementOfSet_DIY(_xlpm.id,{"atp","adp","h","pi","h2o"}),SIGN(mets2713[[#This Row],[raw (GSM) coefficient]])*(ABS(mets2713[[#This Row],[raw (GSM) coefficient]])-$J$2),mets2713[[#This Row],[raw (GSM) coefficient]]))</f>
        <v>-3.4199999999998454E-2</v>
      </c>
      <c r="H14" s="21">
        <f>mets2713[[#This Row],[coeff. w/o GAM]]</f>
        <v>-3.4199999999998454E-2</v>
      </c>
      <c r="I14" s="161">
        <f t="shared" si="0"/>
        <v>-3.3238642955764688E-2</v>
      </c>
      <c r="J14" s="21" cm="1">
        <f t="array" ref="J14">_xlfn.LET(_xlpm.id,mets2713[[#This Row],[name w/o location]],_xlpm.oldcoeff,mets2713[[#This Row],[normalized coeffs]],_xlpm.gam,$J$2-$G$2,_xlfn.IFS(IFERROR(MATCH(_xlpm.id,{"atp","h2o"},0),0)&gt;0,_xlpm.oldcoeff-_xlpm.gam,IFERROR(MATCH(_xlpm.id,{"adp","h","pi"},0),0)&gt;0,_xlpm.oldcoeff+_xlpm.gam,TRUE,_xlpm.oldcoeff))</f>
        <v>-13.003099816639903</v>
      </c>
      <c r="K14" t="str" cm="1">
        <f t="array" ref="K14">"BIOSYN-"&amp;_xlfn.IFS(IFERROR(MATCH(mets2713[[#This Row],[category]],{0,"0",""},0),0)&gt;0,mets2713[[#This Row],[name]],TRUE,mets2713[[#This Row],[category]]&amp;"-"&amp;mets2713[[#This Row],[name]])</f>
        <v>BIOSYN-RNA-atp_c</v>
      </c>
      <c r="L14" s="149" t="str" cm="1">
        <f t="array" ref="L14">IF(IsElementOfSet_DIY(mets2713[[#This Row],[category]],{"ignore","PROT"}),"",_xlfn.LET(_xlpm.mw,mets2713[[#This Row],[MW for biomass normalization (g/mol)]],"MET-"&amp;mets2713[[#This Row],[name]]&amp;" --&gt; "&amp;IF((mets2713[[#This Row],[category]]="DNA")+(mets2713[[#This Row],[category]]="RNA"),"MET-ppi_c + ","")&amp;ROUND(ABS(_xlpm.mw/1000),6)&amp;" BIO-"&amp;mets2713[[#This Row],[name]]))</f>
        <v>MET-atp_c --&gt; MET-ppi_c + 0.328198 BIO-atp_c</v>
      </c>
      <c r="M14" s="149" cm="1">
        <f t="array" ref="M14">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-16.276014224785449</v>
      </c>
      <c r="N14" s="149"/>
      <c r="O14" s="162"/>
      <c r="P14" s="158"/>
      <c r="Q14" s="158"/>
      <c r="R14" s="160"/>
      <c r="S14" s="160"/>
      <c r="T14" s="160"/>
      <c r="U14" s="158"/>
      <c r="V14" s="158"/>
      <c r="X14" s="154" t="s">
        <v>52</v>
      </c>
      <c r="Y14" s="152" t="s">
        <v>61</v>
      </c>
      <c r="Z14" s="152" t="s">
        <v>62</v>
      </c>
      <c r="AB14" t="str">
        <v>BIOSYN-RRNA</v>
      </c>
      <c r="AC14" t="str">
        <v>0.194332 BIO-atp_c + 0.322822 BIO-ctp_c + 0.311667 BIO-gtp_c + 0.171179 BIO-utp_c --&gt; BIO-rrna</v>
      </c>
    </row>
    <row r="15" spans="1:33" ht="16" x14ac:dyDescent="0.2">
      <c r="A15" s="144" t="s">
        <v>1520</v>
      </c>
      <c r="B15" t="str">
        <f>SUBSTITUTE(_xlfn.TEXTBEFORE(mets2713[[#This Row],[pasted JSON metabolite keys and values from GSM biomass rxn]],":"),CHAR(34),"")</f>
        <v>ctp_c</v>
      </c>
      <c r="C15" t="str">
        <f>_xlfn.TEXTBEFORE(mets2713[[#This Row],[name]],"_",-1)</f>
        <v>ctp</v>
      </c>
      <c r="D15" t="str">
        <f>_xlfn.XLOOKUP(mets2713[[#This Row],[name w/o location]],metaboliteInfo[name w/o location],metaboliteInfo[suggested category],"")</f>
        <v>RNA</v>
      </c>
      <c r="E15" s="21">
        <f>IFERROR(_xlfn.XLOOKUP(mets2713[[#This Row],[name w/o location]],metaboliteInfo[name w/o location],metaboliteInfo[MW for biomass normalization (g/mol)],0),0)</f>
        <v>304.17330100000004</v>
      </c>
      <c r="F15">
        <f>_xlfn.NUMBERVALUE(SUBSTITUTE(_xlfn.TEXTAFTER(mets2713[[#This Row],[pasted JSON metabolite keys and values from GSM biomass rxn]],":"),",",""))</f>
        <v>-6.13E-2</v>
      </c>
      <c r="G15" s="21" cm="1">
        <f t="array" ref="G15">_xlfn.LET(_xlpm.id,mets2713[[#This Row],[name w/o location]],IF(IsElementOfSet_DIY(_xlpm.id,{"atp","adp","h","pi","h2o"}),SIGN(mets2713[[#This Row],[raw (GSM) coefficient]])*(ABS(mets2713[[#This Row],[raw (GSM) coefficient]])-$J$2),mets2713[[#This Row],[raw (GSM) coefficient]]))</f>
        <v>-6.13E-2</v>
      </c>
      <c r="H15" s="21">
        <f>mets2713[[#This Row],[coeff. w/o GAM]]</f>
        <v>-6.13E-2</v>
      </c>
      <c r="I15" s="161">
        <f t="shared" si="0"/>
        <v>-5.9576865882703722E-2</v>
      </c>
      <c r="J15" s="21" cm="1">
        <f t="array" ref="J15">_xlfn.LET(_xlpm.id,mets2713[[#This Row],[name w/o location]],_xlpm.oldcoeff,mets2713[[#This Row],[normalized coeffs]],_xlpm.gam,$J$2-$G$2,_xlfn.IFS(IFERROR(MATCH(_xlpm.id,{"atp","h2o"},0),0)&gt;0,_xlpm.oldcoeff-_xlpm.gam,IFERROR(MATCH(_xlpm.id,{"adp","h","pi"},0),0)&gt;0,_xlpm.oldcoeff+_xlpm.gam,TRUE,_xlpm.oldcoeff))</f>
        <v>-5.9576865882703722E-2</v>
      </c>
      <c r="K15" t="str" cm="1">
        <f t="array" ref="K15">"BIOSYN-"&amp;_xlfn.IFS(IFERROR(MATCH(mets2713[[#This Row],[category]],{0,"0",""},0),0)&gt;0,mets2713[[#This Row],[name]],TRUE,mets2713[[#This Row],[category]]&amp;"-"&amp;mets2713[[#This Row],[name]])</f>
        <v>BIOSYN-RNA-ctp_c</v>
      </c>
      <c r="L15" s="149" t="str" cm="1">
        <f t="array" ref="L15">IF(IsElementOfSet_DIY(mets2713[[#This Row],[category]],{"ignore","PROT"}),"",_xlfn.LET(_xlpm.mw,mets2713[[#This Row],[MW for biomass normalization (g/mol)]],"MET-"&amp;mets2713[[#This Row],[name]]&amp;" --&gt; "&amp;IF((mets2713[[#This Row],[category]]="DNA")+(mets2713[[#This Row],[category]]="RNA"),"MET-ppi_c + ","")&amp;ROUND(ABS(_xlpm.mw/1000),6)&amp;" BIO-"&amp;mets2713[[#This Row],[name]]))</f>
        <v>MET-ctp_c --&gt; MET-ppi_c + 0.304173 BIO-ctp_c</v>
      </c>
      <c r="M15" s="149" cm="1">
        <f t="array" ref="M15">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-6.0967016939998807E-2</v>
      </c>
      <c r="N15" s="149"/>
      <c r="O15" s="149"/>
      <c r="P15" s="149"/>
      <c r="Q15" s="149"/>
      <c r="R15" s="149"/>
      <c r="S15" s="149"/>
      <c r="T15" s="149"/>
      <c r="U15" s="149"/>
      <c r="V15" s="149"/>
      <c r="X15" s="154"/>
      <c r="Y15" s="152" t="s">
        <v>763</v>
      </c>
      <c r="Z15" s="152" t="str">
        <f>SUBSTITUTE($W$11,"-rna","-"&amp;LOWER(_xlfn.TEXTAFTER(ExtraRxns2511[[#This Row],[name]],"-")))</f>
        <v>0.194332 BIO-atp_c + 0.322822 BIO-ctp_c + 0.311667 BIO-gtp_c + 0.171179 BIO-utp_c --&gt; BIO-trna</v>
      </c>
      <c r="AB15" t="str">
        <v>BIOSYN-MRNA</v>
      </c>
      <c r="AC15" t="str">
        <v>0.194332 BIO-atp_c + 0.322822 BIO-ctp_c + 0.311667 BIO-gtp_c + 0.171179 BIO-utp_c --&gt; BIO-mrna</v>
      </c>
    </row>
    <row r="16" spans="1:33" ht="16" x14ac:dyDescent="0.2">
      <c r="A16" s="144" t="s">
        <v>1521</v>
      </c>
      <c r="B16" t="str">
        <f>SUBSTITUTE(_xlfn.TEXTBEFORE(mets2713[[#This Row],[pasted JSON metabolite keys and values from GSM biomass rxn]],":"),CHAR(34),"")</f>
        <v>gtp_c</v>
      </c>
      <c r="C16" t="str">
        <f>_xlfn.TEXTBEFORE(mets2713[[#This Row],[name]],"_",-1)</f>
        <v>gtp</v>
      </c>
      <c r="D16" t="str">
        <f>_xlfn.XLOOKUP(mets2713[[#This Row],[name w/o location]],metaboliteInfo[name w/o location],metaboliteInfo[suggested category],"")</f>
        <v>RNA</v>
      </c>
      <c r="E16" s="21">
        <f>IFERROR(_xlfn.XLOOKUP(mets2713[[#This Row],[name w/o location]],metaboliteInfo[name w/o location],metaboliteInfo[MW for biomass normalization (g/mol)],0),0)</f>
        <v>344.19740100000001</v>
      </c>
      <c r="F16">
        <f>_xlfn.NUMBERVALUE(SUBSTITUTE(_xlfn.TEXTAFTER(mets2713[[#This Row],[pasted JSON metabolite keys and values from GSM biomass rxn]],":"),",",""))</f>
        <v>-5.2299999999999999E-2</v>
      </c>
      <c r="G16" s="21" cm="1">
        <f t="array" ref="G16">_xlfn.LET(_xlpm.id,mets2713[[#This Row],[name w/o location]],IF(IsElementOfSet_DIY(_xlpm.id,{"atp","adp","h","pi","h2o"}),SIGN(mets2713[[#This Row],[raw (GSM) coefficient]])*(ABS(mets2713[[#This Row],[raw (GSM) coefficient]])-$J$2),mets2713[[#This Row],[raw (GSM) coefficient]]))</f>
        <v>-5.2299999999999999E-2</v>
      </c>
      <c r="H16" s="21">
        <f>mets2713[[#This Row],[coeff. w/o GAM]]</f>
        <v>-5.2299999999999999E-2</v>
      </c>
      <c r="I16" s="161">
        <f t="shared" si="0"/>
        <v>-5.0829854578554726E-2</v>
      </c>
      <c r="J16" s="21" cm="1">
        <f t="array" ref="J16">_xlfn.LET(_xlpm.id,mets2713[[#This Row],[name w/o location]],_xlpm.oldcoeff,mets2713[[#This Row],[normalized coeffs]],_xlpm.gam,$J$2-$G$2,_xlfn.IFS(IFERROR(MATCH(_xlpm.id,{"atp","h2o"},0),0)&gt;0,_xlpm.oldcoeff-_xlpm.gam,IFERROR(MATCH(_xlpm.id,{"adp","h","pi"},0),0)&gt;0,_xlpm.oldcoeff+_xlpm.gam,TRUE,_xlpm.oldcoeff))</f>
        <v>-5.0829854578554726E-2</v>
      </c>
      <c r="K16" t="str" cm="1">
        <f t="array" ref="K16">"BIOSYN-"&amp;_xlfn.IFS(IFERROR(MATCH(mets2713[[#This Row],[category]],{0,"0",""},0),0)&gt;0,mets2713[[#This Row],[name]],TRUE,mets2713[[#This Row],[category]]&amp;"-"&amp;mets2713[[#This Row],[name]])</f>
        <v>BIOSYN-RNA-gtp_c</v>
      </c>
      <c r="L16" s="149" t="str" cm="1">
        <f t="array" ref="L16">IF(IsElementOfSet_DIY(mets2713[[#This Row],[category]],{"ignore","PROT"}),"",_xlfn.LET(_xlpm.mw,mets2713[[#This Row],[MW for biomass normalization (g/mol)]],"MET-"&amp;mets2713[[#This Row],[name]]&amp;" --&gt; "&amp;IF((mets2713[[#This Row],[category]]="DNA")+(mets2713[[#This Row],[category]]="RNA"),"MET-ppi_c + ","")&amp;ROUND(ABS(_xlpm.mw/1000),6)&amp;" BIO-"&amp;mets2713[[#This Row],[name]]))</f>
        <v>MET-gtp_c --&gt; MET-ppi_c + 0.344197 BIO-gtp_c</v>
      </c>
      <c r="M16" s="149" cm="1">
        <f t="array" ref="M1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-5.2015905154354607E-2</v>
      </c>
      <c r="N16" s="149"/>
      <c r="O16" s="149"/>
      <c r="P16" s="145"/>
      <c r="Q16" s="166"/>
      <c r="R16" s="95"/>
      <c r="S16" s="149"/>
      <c r="T16" s="149"/>
      <c r="U16" s="149"/>
      <c r="V16" s="149"/>
      <c r="X16" s="154"/>
      <c r="Y16" s="152" t="s">
        <v>765</v>
      </c>
      <c r="Z16" s="152" t="str">
        <f>SUBSTITUTE($W$11,"-rna","-"&amp;LOWER(_xlfn.TEXTAFTER(ExtraRxns2511[[#This Row],[name]],"-")))</f>
        <v>0.194332 BIO-atp_c + 0.322822 BIO-ctp_c + 0.311667 BIO-gtp_c + 0.171179 BIO-utp_c --&gt; BIO-rrna</v>
      </c>
      <c r="AB16" t="str">
        <v>BIOSYN-CARB</v>
      </c>
      <c r="AC16" t="str">
        <v>0.33092 BIO-13BDglucan_c + 0.110531 BIO-16BDglucan_en + 0.132017 BIO-glycogen_c + 0.314295 BIO-mannan_c + 0.112236 BIO-tre_c --&gt; BIO-carb</v>
      </c>
    </row>
    <row r="17" spans="1:29" ht="16" x14ac:dyDescent="0.2">
      <c r="A17" s="144" t="s">
        <v>1522</v>
      </c>
      <c r="B17" t="str">
        <f>SUBSTITUTE(_xlfn.TEXTBEFORE(mets2713[[#This Row],[pasted JSON metabolite keys and values from GSM biomass rxn]],":"),CHAR(34),"")</f>
        <v>utp_c</v>
      </c>
      <c r="C17" t="str">
        <f>_xlfn.TEXTBEFORE(mets2713[[#This Row],[name]],"_",-1)</f>
        <v>utp</v>
      </c>
      <c r="D17" t="str">
        <f>_xlfn.XLOOKUP(mets2713[[#This Row],[name w/o location]],metaboliteInfo[name w/o location],metaboliteInfo[suggested category],"")</f>
        <v>RNA</v>
      </c>
      <c r="E17" s="21">
        <f>IFERROR(_xlfn.XLOOKUP(mets2713[[#This Row],[name w/o location]],metaboliteInfo[name w/o location],metaboliteInfo[MW for biomass normalization (g/mol)],0),0)</f>
        <v>305.15806099999998</v>
      </c>
      <c r="F17">
        <f>_xlfn.NUMBERVALUE(SUBSTITUTE(_xlfn.TEXTAFTER(mets2713[[#This Row],[pasted JSON metabolite keys and values from GSM biomass rxn]],":"),",",""))</f>
        <v>-3.2399999999999998E-2</v>
      </c>
      <c r="G17" s="21" cm="1">
        <f t="array" ref="G17">_xlfn.LET(_xlpm.id,mets2713[[#This Row],[name w/o location]],IF(IsElementOfSet_DIY(_xlpm.id,{"atp","adp","h","pi","h2o"}),SIGN(mets2713[[#This Row],[raw (GSM) coefficient]])*(ABS(mets2713[[#This Row],[raw (GSM) coefficient]])-$J$2),mets2713[[#This Row],[raw (GSM) coefficient]]))</f>
        <v>-3.2399999999999998E-2</v>
      </c>
      <c r="H17" s="21">
        <f>mets2713[[#This Row],[coeff. w/o GAM]]</f>
        <v>-3.2399999999999998E-2</v>
      </c>
      <c r="I17" s="161">
        <f t="shared" si="0"/>
        <v>-3.1489240694936388E-2</v>
      </c>
      <c r="J17" s="21" cm="1">
        <f t="array" ref="J17">_xlfn.LET(_xlpm.id,mets2713[[#This Row],[name w/o location]],_xlpm.oldcoeff,mets2713[[#This Row],[normalized coeffs]],_xlpm.gam,$J$2-$G$2,_xlfn.IFS(IFERROR(MATCH(_xlpm.id,{"atp","h2o"},0),0)&gt;0,_xlpm.oldcoeff-_xlpm.gam,IFERROR(MATCH(_xlpm.id,{"adp","h","pi"},0),0)&gt;0,_xlpm.oldcoeff+_xlpm.gam,TRUE,_xlpm.oldcoeff))</f>
        <v>-3.1489240694936388E-2</v>
      </c>
      <c r="K17" t="str" cm="1">
        <f t="array" ref="K17">"BIOSYN-"&amp;_xlfn.IFS(IFERROR(MATCH(mets2713[[#This Row],[category]],{0,"0",""},0),0)&gt;0,mets2713[[#This Row],[name]],TRUE,mets2713[[#This Row],[category]]&amp;"-"&amp;mets2713[[#This Row],[name]])</f>
        <v>BIOSYN-RNA-utp_c</v>
      </c>
      <c r="L17" s="149" t="str" cm="1">
        <f t="array" ref="L17">IF(IsElementOfSet_DIY(mets2713[[#This Row],[category]],{"ignore","PROT"}),"",_xlfn.LET(_xlpm.mw,mets2713[[#This Row],[MW for biomass normalization (g/mol)]],"MET-"&amp;mets2713[[#This Row],[name]]&amp;" --&gt; "&amp;IF((mets2713[[#This Row],[category]]="DNA")+(mets2713[[#This Row],[category]]="RNA"),"MET-ppi_c + ","")&amp;ROUND(ABS(_xlpm.mw/1000),6)&amp;" BIO-"&amp;mets2713[[#This Row],[name]]))</f>
        <v>MET-utp_c --&gt; MET-ppi_c + 0.305158 BIO-utp_c</v>
      </c>
      <c r="M17" s="149" cm="1">
        <f t="array" ref="M1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-3.2224002428319104E-2</v>
      </c>
      <c r="N17" s="149"/>
      <c r="O17" s="149"/>
      <c r="P17" s="149"/>
      <c r="Q17" s="167"/>
      <c r="R17" s="149"/>
      <c r="S17" s="149"/>
      <c r="T17" s="149"/>
      <c r="U17" s="149"/>
      <c r="V17" s="149"/>
      <c r="X17" s="154"/>
      <c r="Y17" s="152" t="s">
        <v>764</v>
      </c>
      <c r="Z17" s="152" t="str">
        <f>SUBSTITUTE($W$11,"-rna","-"&amp;LOWER(_xlfn.TEXTAFTER(ExtraRxns2511[[#This Row],[name]],"-")))</f>
        <v>0.194332 BIO-atp_c + 0.322822 BIO-ctp_c + 0.311667 BIO-gtp_c + 0.171179 BIO-utp_c --&gt; BIO-mrna</v>
      </c>
      <c r="AB17" t="str">
        <v>BIOSYN-COFACTOR</v>
      </c>
      <c r="AC17" t="str">
        <v>0.245521 BIO-caro_c + 0.09207 BIO-gcaro_c + 0.081533 BIO-toruln_c + 0.226022 BIO-torularho_c + 0.354042 BIO-ribflv_c + 0.000811 BIO-hemeA_c --&gt; BIO-cofactor</v>
      </c>
    </row>
    <row r="18" spans="1:29" ht="16" x14ac:dyDescent="0.2">
      <c r="A18" s="180" t="s">
        <v>1523</v>
      </c>
      <c r="B18" t="str">
        <f>SUBSTITUTE(_xlfn.TEXTBEFORE(mets2713[[#This Row],[pasted JSON metabolite keys and values from GSM biomass rxn]],":"),CHAR(34),"")</f>
        <v>13BDglucan_c</v>
      </c>
      <c r="C18" t="str">
        <f>_xlfn.TEXTBEFORE(mets2713[[#This Row],[name]],"_",-1)</f>
        <v>13BDglucan</v>
      </c>
      <c r="D18" t="str">
        <f>_xlfn.XLOOKUP(mets2713[[#This Row],[name w/o location]],metaboliteInfo[name w/o location],metaboliteInfo[suggested category],"")</f>
        <v>CARB</v>
      </c>
      <c r="E18" s="21">
        <f>IFERROR(_xlfn.XLOOKUP(mets2713[[#This Row],[name w/o location]],metaboliteInfo[name w/o location],metaboliteInfo[MW for biomass normalization (g/mol)],0),0)</f>
        <v>162.14060000000001</v>
      </c>
      <c r="F18">
        <f>_xlfn.NUMBERVALUE(SUBSTITUTE(_xlfn.TEXTAFTER(mets2713[[#This Row],[pasted JSON metabolite keys and values from GSM biomass rxn]],":"),",",""))</f>
        <v>-1.1326000000000001</v>
      </c>
      <c r="G18" s="21" cm="1">
        <f t="array" ref="G18">_xlfn.LET(_xlpm.id,mets2713[[#This Row],[name w/o location]],IF(IsElementOfSet_DIY(_xlpm.id,{"atp","adp","h","pi","h2o"}),SIGN(mets2713[[#This Row],[raw (GSM) coefficient]])*(ABS(mets2713[[#This Row],[raw (GSM) coefficient]])-$J$2),mets2713[[#This Row],[raw (GSM) coefficient]]))</f>
        <v>-1.1326000000000001</v>
      </c>
      <c r="H18" s="21">
        <f>mets2713[[#This Row],[coeff. w/o GAM]]</f>
        <v>-1.1326000000000001</v>
      </c>
      <c r="I18" s="161">
        <f t="shared" si="0"/>
        <v>-1.1007627781199061</v>
      </c>
      <c r="J18" s="21" cm="1">
        <f t="array" ref="J18">_xlfn.LET(_xlpm.id,mets2713[[#This Row],[name w/o location]],_xlpm.oldcoeff,mets2713[[#This Row],[normalized coeffs]],_xlpm.gam,$J$2-$G$2,_xlfn.IFS(IFERROR(MATCH(_xlpm.id,{"atp","h2o"},0),0)&gt;0,_xlpm.oldcoeff-_xlpm.gam,IFERROR(MATCH(_xlpm.id,{"adp","h","pi"},0),0)&gt;0,_xlpm.oldcoeff+_xlpm.gam,TRUE,_xlpm.oldcoeff))</f>
        <v>-1.1007627781199061</v>
      </c>
      <c r="K18" t="str" cm="1">
        <f t="array" ref="K18">"BIOSYN-"&amp;_xlfn.IFS(IFERROR(MATCH(mets2713[[#This Row],[category]],{0,"0",""},0),0)&gt;0,mets2713[[#This Row],[name]],TRUE,mets2713[[#This Row],[category]]&amp;"-"&amp;mets2713[[#This Row],[name]])</f>
        <v>BIOSYN-CARB-13BDglucan_c</v>
      </c>
      <c r="L18" s="149" t="str" cm="1">
        <f t="array" ref="L18">IF(IsElementOfSet_DIY(mets2713[[#This Row],[category]],{"ignore","PROT"}),"",_xlfn.LET(_xlpm.mw,mets2713[[#This Row],[MW for biomass normalization (g/mol)]],"MET-"&amp;mets2713[[#This Row],[name]]&amp;" --&gt; "&amp;IF((mets2713[[#This Row],[category]]="DNA")+(mets2713[[#This Row],[category]]="RNA"),"MET-ppi_c + ","")&amp;ROUND(ABS(_xlpm.mw/1000),6)&amp;" BIO-"&amp;mets2713[[#This Row],[name]]))</f>
        <v>MET-13BDglucan_c --&gt; 0.162141 BIO-13BDglucan_c</v>
      </c>
      <c r="M18" s="149" cm="1">
        <f t="array" ref="M1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-1.126447689824513</v>
      </c>
      <c r="N18" s="149"/>
      <c r="O18" s="149"/>
      <c r="P18" s="149"/>
      <c r="Q18" s="149"/>
      <c r="R18" s="167"/>
      <c r="S18" s="149"/>
      <c r="T18" s="149"/>
      <c r="U18" s="149"/>
      <c r="V18" s="149"/>
      <c r="AB18" t="str">
        <v>BIOSYN-DNA</v>
      </c>
      <c r="AC18" t="str">
        <v>0.194282 BIO-datp_c + 0.288489 BIO-dctp_c + 0.328557 BIO-dgtp_c + 0.188673 BIO-dttp_c --&gt; BIO-dna</v>
      </c>
    </row>
    <row r="19" spans="1:29" ht="16" x14ac:dyDescent="0.2">
      <c r="A19" s="180" t="s">
        <v>1524</v>
      </c>
      <c r="B19" t="str">
        <f>SUBSTITUTE(_xlfn.TEXTBEFORE(mets2713[[#This Row],[pasted JSON metabolite keys and values from GSM biomass rxn]],":"),CHAR(34),"")</f>
        <v>16BDglucan_en</v>
      </c>
      <c r="C19" t="str">
        <f>_xlfn.TEXTBEFORE(mets2713[[#This Row],[name]],"_",-1)</f>
        <v>16BDglucan</v>
      </c>
      <c r="D19" t="str">
        <f>_xlfn.XLOOKUP(mets2713[[#This Row],[name w/o location]],metaboliteInfo[name w/o location],metaboliteInfo[suggested category],"")</f>
        <v>CARB</v>
      </c>
      <c r="E19" s="21">
        <f>IFERROR(_xlfn.XLOOKUP(mets2713[[#This Row],[name w/o location]],metaboliteInfo[name w/o location],metaboliteInfo[MW for biomass normalization (g/mol)],0),0)</f>
        <v>162.14060000000001</v>
      </c>
      <c r="F19">
        <f>_xlfn.NUMBERVALUE(SUBSTITUTE(_xlfn.TEXTAFTER(mets2713[[#This Row],[pasted JSON metabolite keys and values from GSM biomass rxn]],":"),",",""))</f>
        <v>-0.37830000000000003</v>
      </c>
      <c r="G19" s="21" cm="1">
        <f t="array" ref="G19">_xlfn.LET(_xlpm.id,mets2713[[#This Row],[name w/o location]],IF(IsElementOfSet_DIY(_xlpm.id,{"atp","adp","h","pi","h2o"}),SIGN(mets2713[[#This Row],[raw (GSM) coefficient]])*(ABS(mets2713[[#This Row],[raw (GSM) coefficient]])-$J$2),mets2713[[#This Row],[raw (GSM) coefficient]]))</f>
        <v>-0.37830000000000003</v>
      </c>
      <c r="H19" s="21">
        <f>mets2713[[#This Row],[coeff. w/o GAM]]</f>
        <v>-0.37830000000000003</v>
      </c>
      <c r="I19" s="161">
        <f t="shared" si="0"/>
        <v>-0.36766604181772955</v>
      </c>
      <c r="J19" s="21" cm="1">
        <f t="array" ref="J19">_xlfn.LET(_xlpm.id,mets2713[[#This Row],[name w/o location]],_xlpm.oldcoeff,mets2713[[#This Row],[normalized coeffs]],_xlpm.gam,$J$2-$G$2,_xlfn.IFS(IFERROR(MATCH(_xlpm.id,{"atp","h2o"},0),0)&gt;0,_xlpm.oldcoeff-_xlpm.gam,IFERROR(MATCH(_xlpm.id,{"adp","h","pi"},0),0)&gt;0,_xlpm.oldcoeff+_xlpm.gam,TRUE,_xlpm.oldcoeff))</f>
        <v>-0.36766604181772955</v>
      </c>
      <c r="K19" t="str" cm="1">
        <f t="array" ref="K19">"BIOSYN-"&amp;_xlfn.IFS(IFERROR(MATCH(mets2713[[#This Row],[category]],{0,"0",""},0),0)&gt;0,mets2713[[#This Row],[name]],TRUE,mets2713[[#This Row],[category]]&amp;"-"&amp;mets2713[[#This Row],[name]])</f>
        <v>BIOSYN-CARB-16BDglucan_en</v>
      </c>
      <c r="L19" s="149" t="str" cm="1">
        <f t="array" ref="L19">IF(IsElementOfSet_DIY(mets2713[[#This Row],[category]],{"ignore","PROT"}),"",_xlfn.LET(_xlpm.mw,mets2713[[#This Row],[MW for biomass normalization (g/mol)]],"MET-"&amp;mets2713[[#This Row],[name]]&amp;" --&gt; "&amp;IF((mets2713[[#This Row],[category]]="DNA")+(mets2713[[#This Row],[category]]="RNA"),"MET-ppi_c + ","")&amp;ROUND(ABS(_xlpm.mw/1000),6)&amp;" BIO-"&amp;mets2713[[#This Row],[name]]))</f>
        <v>MET-16BDglucan_en --&gt; 0.162141 BIO-16BDglucan_en</v>
      </c>
      <c r="M19" s="149" cm="1">
        <f t="array" ref="M1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-0.37624506538991109</v>
      </c>
      <c r="N19" s="149"/>
      <c r="O19" s="149"/>
      <c r="P19" s="149"/>
      <c r="Q19" s="149"/>
      <c r="R19" s="149"/>
      <c r="S19" s="149"/>
      <c r="T19" s="149"/>
      <c r="U19" s="149"/>
      <c r="V19" s="149"/>
      <c r="AB19" t="str">
        <v>BIOSYN-LIPID</v>
      </c>
      <c r="AC19" t="str">
        <v>0.0478 BIO-linoea_c + 0.023912 BIO-linolen_c + 0.030934 BIO-hdca_c + 0.016183 BIO-ocdca_c + 0.075999 BIO-ocdcea_c + 0.003616 BIO-1mag_m + 0.014105 BIO-pail_c + 0.048916 BIO-ergst_c + 0.02009 BIO-pc_c + 0.014688 BIO-pe_c + 0.197532 BIO-tag_c + 0.05091 BIO-ps_c + 0.024082 BIO-dag_c + 0.431232 BIO-clpn_mm --&gt; BIO-lipid</v>
      </c>
    </row>
    <row r="20" spans="1:29" ht="16" x14ac:dyDescent="0.2">
      <c r="A20" s="180" t="s">
        <v>1525</v>
      </c>
      <c r="B20" t="str">
        <f>SUBSTITUTE(_xlfn.TEXTBEFORE(mets2713[[#This Row],[pasted JSON metabolite keys and values from GSM biomass rxn]],":"),CHAR(34),"")</f>
        <v>glycogen_c</v>
      </c>
      <c r="C20" t="str">
        <f>_xlfn.TEXTBEFORE(mets2713[[#This Row],[name]],"_",-1)</f>
        <v>glycogen</v>
      </c>
      <c r="D20" t="str">
        <f>_xlfn.XLOOKUP(mets2713[[#This Row],[name w/o location]],metaboliteInfo[name w/o location],metaboliteInfo[suggested category],"")</f>
        <v>CARB</v>
      </c>
      <c r="E20" s="21">
        <f>IFERROR(_xlfn.XLOOKUP(mets2713[[#This Row],[name w/o location]],metaboliteInfo[name w/o location],metaboliteInfo[MW for biomass normalization (g/mol)],0),0)</f>
        <v>162.14060000000001</v>
      </c>
      <c r="F20">
        <f>_xlfn.NUMBERVALUE(SUBSTITUTE(_xlfn.TEXTAFTER(mets2713[[#This Row],[pasted JSON metabolite keys and values from GSM biomass rxn]],":"),",",""))</f>
        <v>-0.45184000000000002</v>
      </c>
      <c r="G20" s="21" cm="1">
        <f t="array" ref="G20">_xlfn.LET(_xlpm.id,mets2713[[#This Row],[name w/o location]],IF(IsElementOfSet_DIY(_xlpm.id,{"atp","adp","h","pi","h2o"}),SIGN(mets2713[[#This Row],[raw (GSM) coefficient]])*(ABS(mets2713[[#This Row],[raw (GSM) coefficient]])-$J$2),mets2713[[#This Row],[raw (GSM) coefficient]]))</f>
        <v>-0.45184000000000002</v>
      </c>
      <c r="H20" s="21">
        <f>mets2713[[#This Row],[coeff. w/o GAM]]</f>
        <v>-0.45184000000000002</v>
      </c>
      <c r="I20" s="161">
        <f t="shared" si="0"/>
        <v>-0.43913884307407586</v>
      </c>
      <c r="J20" s="21" cm="1">
        <f t="array" ref="J20">_xlfn.LET(_xlpm.id,mets2713[[#This Row],[name w/o location]],_xlpm.oldcoeff,mets2713[[#This Row],[normalized coeffs]],_xlpm.gam,$J$2-$G$2,_xlfn.IFS(IFERROR(MATCH(_xlpm.id,{"atp","h2o"},0),0)&gt;0,_xlpm.oldcoeff-_xlpm.gam,IFERROR(MATCH(_xlpm.id,{"adp","h","pi"},0),0)&gt;0,_xlpm.oldcoeff+_xlpm.gam,TRUE,_xlpm.oldcoeff))</f>
        <v>-0.43913884307407586</v>
      </c>
      <c r="K20" t="str" cm="1">
        <f t="array" ref="K20">"BIOSYN-"&amp;_xlfn.IFS(IFERROR(MATCH(mets2713[[#This Row],[category]],{0,"0",""},0),0)&gt;0,mets2713[[#This Row],[name]],TRUE,mets2713[[#This Row],[category]]&amp;"-"&amp;mets2713[[#This Row],[name]])</f>
        <v>BIOSYN-CARB-glycogen_c</v>
      </c>
      <c r="L20" s="149" t="str" cm="1">
        <f t="array" ref="L20">IF(IsElementOfSet_DIY(mets2713[[#This Row],[category]],{"ignore","PROT"}),"",_xlfn.LET(_xlpm.mw,mets2713[[#This Row],[MW for biomass normalization (g/mol)]],"MET-"&amp;mets2713[[#This Row],[name]]&amp;" --&gt; "&amp;IF((mets2713[[#This Row],[category]]="DNA")+(mets2713[[#This Row],[category]]="RNA"),"MET-ppi_c + ","")&amp;ROUND(ABS(_xlpm.mw/1000),6)&amp;" BIO-"&amp;mets2713[[#This Row],[name]]))</f>
        <v>MET-glycogen_c --&gt; 0.162141 BIO-glycogen_c</v>
      </c>
      <c r="M20" s="149" cm="1">
        <f t="array" ref="M2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-0.44938559435838599</v>
      </c>
      <c r="N20" s="149"/>
      <c r="O20" s="149"/>
      <c r="P20" s="149"/>
      <c r="Q20" s="149"/>
      <c r="R20" s="149"/>
      <c r="S20" s="149"/>
      <c r="T20" s="149"/>
      <c r="U20" s="149"/>
      <c r="V20" s="149"/>
      <c r="AB20" t="str">
        <v>BIOSYN-RNA</v>
      </c>
      <c r="AC20" t="str">
        <v>0.15 BIO-trna + 0.05 BIO-mrna + 0.80 BIO-rrna --&gt; BIO-rna</v>
      </c>
    </row>
    <row r="21" spans="1:29" ht="16" x14ac:dyDescent="0.2">
      <c r="A21" s="180" t="s">
        <v>1526</v>
      </c>
      <c r="B21" t="str">
        <f>SUBSTITUTE(_xlfn.TEXTBEFORE(mets2713[[#This Row],[pasted JSON metabolite keys and values from GSM biomass rxn]],":"),CHAR(34),"")</f>
        <v>mannan_c</v>
      </c>
      <c r="C21" t="str">
        <f>_xlfn.TEXTBEFORE(mets2713[[#This Row],[name]],"_",-1)</f>
        <v>mannan</v>
      </c>
      <c r="D21" t="str">
        <f>_xlfn.XLOOKUP(mets2713[[#This Row],[name w/o location]],metaboliteInfo[name w/o location],metaboliteInfo[suggested category],"")</f>
        <v>CARB</v>
      </c>
      <c r="E21" s="21">
        <f>IFERROR(_xlfn.XLOOKUP(mets2713[[#This Row],[name w/o location]],metaboliteInfo[name w/o location],metaboliteInfo[MW for biomass normalization (g/mol)],0),0)</f>
        <v>162.14060000000001</v>
      </c>
      <c r="F21">
        <f>_xlfn.NUMBERVALUE(SUBSTITUTE(_xlfn.TEXTAFTER(mets2713[[#This Row],[pasted JSON metabolite keys and values from GSM biomass rxn]],":"),",",""))</f>
        <v>-1.0757000000000001</v>
      </c>
      <c r="G21" s="21" cm="1">
        <f t="array" ref="G21">_xlfn.LET(_xlpm.id,mets2713[[#This Row],[name w/o location]],IF(IsElementOfSet_DIY(_xlpm.id,{"atp","adp","h","pi","h2o"}),SIGN(mets2713[[#This Row],[raw (GSM) coefficient]])*(ABS(mets2713[[#This Row],[raw (GSM) coefficient]])-$J$2),mets2713[[#This Row],[raw (GSM) coefficient]]))</f>
        <v>-1.0757000000000001</v>
      </c>
      <c r="H21" s="21">
        <f>mets2713[[#This Row],[coeff. w/o GAM]]</f>
        <v>-1.0757000000000001</v>
      </c>
      <c r="I21" s="161">
        <f t="shared" si="0"/>
        <v>-1.0454622288747863</v>
      </c>
      <c r="J21" s="21" cm="1">
        <f t="array" ref="J21">_xlfn.LET(_xlpm.id,mets2713[[#This Row],[name w/o location]],_xlpm.oldcoeff,mets2713[[#This Row],[normalized coeffs]],_xlpm.gam,$J$2-$G$2,_xlfn.IFS(IFERROR(MATCH(_xlpm.id,{"atp","h2o"},0),0)&gt;0,_xlpm.oldcoeff-_xlpm.gam,IFERROR(MATCH(_xlpm.id,{"adp","h","pi"},0),0)&gt;0,_xlpm.oldcoeff+_xlpm.gam,TRUE,_xlpm.oldcoeff))</f>
        <v>-1.0454622288747863</v>
      </c>
      <c r="K21" t="str" cm="1">
        <f t="array" ref="K21">"BIOSYN-"&amp;_xlfn.IFS(IFERROR(MATCH(mets2713[[#This Row],[category]],{0,"0",""},0),0)&gt;0,mets2713[[#This Row],[name]],TRUE,mets2713[[#This Row],[category]]&amp;"-"&amp;mets2713[[#This Row],[name]])</f>
        <v>BIOSYN-CARB-mannan_c</v>
      </c>
      <c r="L21" s="149" t="str" cm="1">
        <f t="array" ref="L21">IF(IsElementOfSet_DIY(mets2713[[#This Row],[category]],{"ignore","PROT"}),"",_xlfn.LET(_xlpm.mw,mets2713[[#This Row],[MW for biomass normalization (g/mol)]],"MET-"&amp;mets2713[[#This Row],[name]]&amp;" --&gt; "&amp;IF((mets2713[[#This Row],[category]]="DNA")+(mets2713[[#This Row],[category]]="RNA"),"MET-ppi_c + ","")&amp;ROUND(ABS(_xlpm.mw/1000),6)&amp;" BIO-"&amp;mets2713[[#This Row],[name]]))</f>
        <v>MET-mannan_c --&gt; 0.162141 BIO-mannan_c</v>
      </c>
      <c r="M21" s="149" cm="1">
        <f t="array" ref="M2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-1.0698567719797183</v>
      </c>
      <c r="N21" s="149"/>
      <c r="O21" s="149"/>
      <c r="P21" s="149"/>
      <c r="Q21" s="149"/>
      <c r="R21" s="149"/>
      <c r="S21" s="149"/>
      <c r="T21" s="149"/>
      <c r="U21" s="149"/>
      <c r="V21" s="149"/>
      <c r="AB21" t="str">
        <v>BIOSYN-SO4</v>
      </c>
      <c r="AC21" t="str">
        <v>1 BIO-so4_c --&gt; BIO-so4</v>
      </c>
    </row>
    <row r="22" spans="1:29" ht="16" x14ac:dyDescent="0.2">
      <c r="A22" s="180" t="s">
        <v>1527</v>
      </c>
      <c r="B22" t="str">
        <f>SUBSTITUTE(_xlfn.TEXTBEFORE(mets2713[[#This Row],[pasted JSON metabolite keys and values from GSM biomass rxn]],":"),CHAR(34),"")</f>
        <v>tre_c</v>
      </c>
      <c r="C22" t="str">
        <f>_xlfn.TEXTBEFORE(mets2713[[#This Row],[name]],"_",-1)</f>
        <v>tre</v>
      </c>
      <c r="D22" t="str">
        <f>_xlfn.XLOOKUP(mets2713[[#This Row],[name w/o location]],metaboliteInfo[name w/o location],metaboliteInfo[suggested category],"")</f>
        <v>CARB</v>
      </c>
      <c r="E22" s="21">
        <f>IFERROR(_xlfn.XLOOKUP(mets2713[[#This Row],[name w/o location]],metaboliteInfo[name w/o location],metaboliteInfo[MW for biomass normalization (g/mol)],0),0)</f>
        <v>342.29647999999997</v>
      </c>
      <c r="F22">
        <f>_xlfn.NUMBERVALUE(SUBSTITUTE(_xlfn.TEXTAFTER(mets2713[[#This Row],[pasted JSON metabolite keys and values from GSM biomass rxn]],":"),",",""))</f>
        <v>-0.18196000000000001</v>
      </c>
      <c r="G22" s="21" cm="1">
        <f t="array" ref="G22">_xlfn.LET(_xlpm.id,mets2713[[#This Row],[name w/o location]],IF(IsElementOfSet_DIY(_xlpm.id,{"atp","adp","h","pi","h2o"}),SIGN(mets2713[[#This Row],[raw (GSM) coefficient]])*(ABS(mets2713[[#This Row],[raw (GSM) coefficient]])-$J$2),mets2713[[#This Row],[raw (GSM) coefficient]]))</f>
        <v>-0.18196000000000001</v>
      </c>
      <c r="H22" s="21">
        <f>mets2713[[#This Row],[coeff. w/o GAM]]</f>
        <v>-0.18196000000000001</v>
      </c>
      <c r="I22" s="161">
        <f t="shared" si="0"/>
        <v>-0.17684513076699462</v>
      </c>
      <c r="J22" s="21" cm="1">
        <f t="array" ref="J22">_xlfn.LET(_xlpm.id,mets2713[[#This Row],[name w/o location]],_xlpm.oldcoeff,mets2713[[#This Row],[normalized coeffs]],_xlpm.gam,$J$2-$G$2,_xlfn.IFS(IFERROR(MATCH(_xlpm.id,{"atp","h2o"},0),0)&gt;0,_xlpm.oldcoeff-_xlpm.gam,IFERROR(MATCH(_xlpm.id,{"adp","h","pi"},0),0)&gt;0,_xlpm.oldcoeff+_xlpm.gam,TRUE,_xlpm.oldcoeff))</f>
        <v>-0.17684513076699462</v>
      </c>
      <c r="K22" t="str" cm="1">
        <f t="array" ref="K22">"BIOSYN-"&amp;_xlfn.IFS(IFERROR(MATCH(mets2713[[#This Row],[category]],{0,"0",""},0),0)&gt;0,mets2713[[#This Row],[name]],TRUE,mets2713[[#This Row],[category]]&amp;"-"&amp;mets2713[[#This Row],[name]])</f>
        <v>BIOSYN-CARB-tre_c</v>
      </c>
      <c r="L22" s="149" t="str" cm="1">
        <f t="array" ref="L22">IF(IsElementOfSet_DIY(mets2713[[#This Row],[category]],{"ignore","PROT"}),"",_xlfn.LET(_xlpm.mw,mets2713[[#This Row],[MW for biomass normalization (g/mol)]],"MET-"&amp;mets2713[[#This Row],[name]]&amp;" --&gt; "&amp;IF((mets2713[[#This Row],[category]]="DNA")+(mets2713[[#This Row],[category]]="RNA"),"MET-ppi_c + ","")&amp;ROUND(ABS(_xlpm.mw/1000),6)&amp;" BIO-"&amp;mets2713[[#This Row],[name]]))</f>
        <v>MET-tre_c --&gt; 0.342296 BIO-tre_c</v>
      </c>
      <c r="M22" s="149" cm="1">
        <f t="array" ref="M2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-0.18097158894620202</v>
      </c>
      <c r="N22" s="149"/>
      <c r="O22" s="149"/>
      <c r="P22" s="149"/>
      <c r="Q22" s="149"/>
      <c r="R22" s="149"/>
      <c r="S22" s="149"/>
      <c r="T22" s="149"/>
      <c r="U22" s="149"/>
      <c r="V22" s="149"/>
      <c r="AB22" t="str">
        <v>BIOSYN-CARB-13BDglucan_c</v>
      </c>
      <c r="AC22" t="str">
        <v>MET-13BDglucan_c --&gt; 0.162141 BIO-13BDglucan_c</v>
      </c>
    </row>
    <row r="23" spans="1:29" ht="16" x14ac:dyDescent="0.2">
      <c r="A23" s="180" t="s">
        <v>1528</v>
      </c>
      <c r="B23" t="str">
        <f>SUBSTITUTE(_xlfn.TEXTBEFORE(mets2713[[#This Row],[pasted JSON metabolite keys and values from GSM biomass rxn]],":"),CHAR(34),"")</f>
        <v>alatrna_c</v>
      </c>
      <c r="C23" t="str">
        <f>_xlfn.TEXTBEFORE(mets2713[[#This Row],[name]],"_",-1)</f>
        <v>alatrna</v>
      </c>
      <c r="D23" t="str">
        <f>_xlfn.XLOOKUP(mets2713[[#This Row],[name w/o location]],metaboliteInfo[name w/o location],metaboliteInfo[suggested category],"")</f>
        <v>PROT</v>
      </c>
      <c r="E23" s="21">
        <f>IFERROR(_xlfn.XLOOKUP(mets2713[[#This Row],[name w/o location]],metaboliteInfo[name w/o location],metaboliteInfo[MW for biomass normalization (g/mol)],0),0)</f>
        <v>72.085840000000005</v>
      </c>
      <c r="F23">
        <f>_xlfn.NUMBERVALUE(SUBSTITUTE(_xlfn.TEXTAFTER(mets2713[[#This Row],[pasted JSON metabolite keys and values from GSM biomass rxn]],":"),",",""))</f>
        <v>-0.1986</v>
      </c>
      <c r="G23" s="21" cm="1">
        <f t="array" ref="G23">_xlfn.LET(_xlpm.id,mets2713[[#This Row],[name w/o location]],IF(IsElementOfSet_DIY(_xlpm.id,{"atp","adp","h","pi","h2o"}),SIGN(mets2713[[#This Row],[raw (GSM) coefficient]])*(ABS(mets2713[[#This Row],[raw (GSM) coefficient]])-$J$2),mets2713[[#This Row],[raw (GSM) coefficient]]))</f>
        <v>-0.1986</v>
      </c>
      <c r="H23" s="21">
        <f>mets2713[[#This Row],[coeff. w/o GAM]]</f>
        <v>-0.1986</v>
      </c>
      <c r="I23" s="161">
        <f t="shared" si="0"/>
        <v>-0.1930173827782212</v>
      </c>
      <c r="J23" s="21" cm="1">
        <f t="array" ref="J23">_xlfn.LET(_xlpm.id,mets2713[[#This Row],[name w/o location]],_xlpm.oldcoeff,mets2713[[#This Row],[normalized coeffs]],_xlpm.gam,$J$2-$G$2,_xlfn.IFS(IFERROR(MATCH(_xlpm.id,{"atp","h2o"},0),0)&gt;0,_xlpm.oldcoeff-_xlpm.gam,IFERROR(MATCH(_xlpm.id,{"adp","h","pi"},0),0)&gt;0,_xlpm.oldcoeff+_xlpm.gam,TRUE,_xlpm.oldcoeff))</f>
        <v>-0.1930173827782212</v>
      </c>
      <c r="K23" t="str" cm="1">
        <f t="array" ref="K23">"BIOSYN-"&amp;_xlfn.IFS(IFERROR(MATCH(mets2713[[#This Row],[category]],{0,"0",""},0),0)&gt;0,mets2713[[#This Row],[name]],TRUE,mets2713[[#This Row],[category]]&amp;"-"&amp;mets2713[[#This Row],[name]])</f>
        <v>BIOSYN-PROT-alatrna_c</v>
      </c>
      <c r="L23" s="149" t="str" cm="1">
        <f t="array" ref="L23">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23" s="149" cm="1">
        <f t="array" ref="M2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-0.19694665995689567</v>
      </c>
      <c r="N23" s="149"/>
      <c r="O23" s="149"/>
      <c r="P23" s="149"/>
      <c r="Q23" s="149"/>
      <c r="R23" s="149"/>
      <c r="S23" s="149"/>
      <c r="T23" s="149"/>
      <c r="U23" s="149"/>
      <c r="V23" s="149"/>
      <c r="AB23" t="str">
        <v>BIOSYN-CARB-16BDglucan_en</v>
      </c>
      <c r="AC23" t="str">
        <v>MET-16BDglucan_en --&gt; 0.162141 BIO-16BDglucan_en</v>
      </c>
    </row>
    <row r="24" spans="1:29" ht="16" x14ac:dyDescent="0.2">
      <c r="A24" s="180" t="s">
        <v>1529</v>
      </c>
      <c r="B24" t="str">
        <f>SUBSTITUTE(_xlfn.TEXTBEFORE(mets2713[[#This Row],[pasted JSON metabolite keys and values from GSM biomass rxn]],":"),CHAR(34),"")</f>
        <v>argtrna_c</v>
      </c>
      <c r="C24" t="str">
        <f>_xlfn.TEXTBEFORE(mets2713[[#This Row],[name]],"_",-1)</f>
        <v>argtrna</v>
      </c>
      <c r="D24" t="str">
        <f>_xlfn.XLOOKUP(mets2713[[#This Row],[name w/o location]],metaboliteInfo[name w/o location],metaboliteInfo[suggested category],"")</f>
        <v>PROT</v>
      </c>
      <c r="E24" s="21">
        <f>IFERROR(_xlfn.XLOOKUP(mets2713[[#This Row],[name w/o location]],metaboliteInfo[name w/o location],metaboliteInfo[MW for biomass normalization (g/mol)],0),0)</f>
        <v>158.20156</v>
      </c>
      <c r="F24">
        <f>_xlfn.NUMBERVALUE(SUBSTITUTE(_xlfn.TEXTAFTER(mets2713[[#This Row],[pasted JSON metabolite keys and values from GSM biomass rxn]],":"),",",""))</f>
        <v>-0.12642</v>
      </c>
      <c r="G24" s="21" cm="1">
        <f t="array" ref="G24">_xlfn.LET(_xlpm.id,mets2713[[#This Row],[name w/o location]],IF(IsElementOfSet_DIY(_xlpm.id,{"atp","adp","h","pi","h2o"}),SIGN(mets2713[[#This Row],[raw (GSM) coefficient]])*(ABS(mets2713[[#This Row],[raw (GSM) coefficient]])-$J$2),mets2713[[#This Row],[raw (GSM) coefficient]]))</f>
        <v>-0.12642</v>
      </c>
      <c r="H24" s="21">
        <f>mets2713[[#This Row],[coeff. w/o GAM]]</f>
        <v>-0.12642</v>
      </c>
      <c r="I24" s="161">
        <f t="shared" si="0"/>
        <v>-0.12286635211894624</v>
      </c>
      <c r="J24" s="21" cm="1">
        <f t="array" ref="J24">_xlfn.LET(_xlpm.id,mets2713[[#This Row],[name w/o location]],_xlpm.oldcoeff,mets2713[[#This Row],[normalized coeffs]],_xlpm.gam,$J$2-$G$2,_xlfn.IFS(IFERROR(MATCH(_xlpm.id,{"atp","h2o"},0),0)&gt;0,_xlpm.oldcoeff-_xlpm.gam,IFERROR(MATCH(_xlpm.id,{"adp","h","pi"},0),0)&gt;0,_xlpm.oldcoeff+_xlpm.gam,TRUE,_xlpm.oldcoeff))</f>
        <v>-0.12286635211894624</v>
      </c>
      <c r="K24" t="str" cm="1">
        <f t="array" ref="K24">"BIOSYN-"&amp;_xlfn.IFS(IFERROR(MATCH(mets2713[[#This Row],[category]],{0,"0",""},0),0)&gt;0,mets2713[[#This Row],[name]],TRUE,mets2713[[#This Row],[category]]&amp;"-"&amp;mets2713[[#This Row],[name]])</f>
        <v>BIOSYN-PROT-argtrna_c</v>
      </c>
      <c r="L24" s="149" t="str" cm="1">
        <f t="array" ref="L24">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24" s="149" cm="1">
        <f t="array" ref="M24">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-0.12536755665534113</v>
      </c>
      <c r="N24" s="149"/>
      <c r="O24" s="149"/>
      <c r="P24" s="149"/>
      <c r="Q24" s="149"/>
      <c r="R24" s="149"/>
      <c r="S24" s="149"/>
      <c r="T24" s="149"/>
      <c r="U24" s="149"/>
      <c r="V24" s="149"/>
      <c r="AB24" t="str">
        <v>BIOSYN-CARB-glycogen_c</v>
      </c>
      <c r="AC24" t="str">
        <v>MET-glycogen_c --&gt; 0.162141 BIO-glycogen_c</v>
      </c>
    </row>
    <row r="25" spans="1:29" ht="16" x14ac:dyDescent="0.2">
      <c r="A25" s="180" t="s">
        <v>1530</v>
      </c>
      <c r="B25" t="str">
        <f>SUBSTITUTE(_xlfn.TEXTBEFORE(mets2713[[#This Row],[pasted JSON metabolite keys and values from GSM biomass rxn]],":"),CHAR(34),"")</f>
        <v>asntrna_c</v>
      </c>
      <c r="C25" t="str">
        <f>_xlfn.TEXTBEFORE(mets2713[[#This Row],[name]],"_",-1)</f>
        <v>asntrna</v>
      </c>
      <c r="D25" t="str">
        <f>_xlfn.XLOOKUP(mets2713[[#This Row],[name w/o location]],metaboliteInfo[name w/o location],metaboliteInfo[suggested category],"")</f>
        <v>PROT</v>
      </c>
      <c r="E25" s="21">
        <f>IFERROR(_xlfn.XLOOKUP(mets2713[[#This Row],[name w/o location]],metaboliteInfo[name w/o location],metaboliteInfo[MW for biomass normalization (g/mol)],0),0)</f>
        <v>115.11058</v>
      </c>
      <c r="F25">
        <f>_xlfn.NUMBERVALUE(SUBSTITUTE(_xlfn.TEXTAFTER(mets2713[[#This Row],[pasted JSON metabolite keys and values from GSM biomass rxn]],":"),",",""))</f>
        <v>-4.6649999999999997E-2</v>
      </c>
      <c r="G25" s="21" cm="1">
        <f t="array" ref="G25">_xlfn.LET(_xlpm.id,mets2713[[#This Row],[name w/o location]],IF(IsElementOfSet_DIY(_xlpm.id,{"atp","adp","h","pi","h2o"}),SIGN(mets2713[[#This Row],[raw (GSM) coefficient]])*(ABS(mets2713[[#This Row],[raw (GSM) coefficient]])-$J$2),mets2713[[#This Row],[raw (GSM) coefficient]]))</f>
        <v>-4.6649999999999997E-2</v>
      </c>
      <c r="H25" s="21">
        <f>mets2713[[#This Row],[coeff. w/o GAM]]</f>
        <v>-4.6649999999999997E-2</v>
      </c>
      <c r="I25" s="161">
        <f t="shared" si="0"/>
        <v>-4.5338675259838965E-2</v>
      </c>
      <c r="J25" s="21" cm="1">
        <f t="array" ref="J25">_xlfn.LET(_xlpm.id,mets2713[[#This Row],[name w/o location]],_xlpm.oldcoeff,mets2713[[#This Row],[normalized coeffs]],_xlpm.gam,$J$2-$G$2,_xlfn.IFS(IFERROR(MATCH(_xlpm.id,{"atp","h2o"},0),0)&gt;0,_xlpm.oldcoeff-_xlpm.gam,IFERROR(MATCH(_xlpm.id,{"adp","h","pi"},0),0)&gt;0,_xlpm.oldcoeff+_xlpm.gam,TRUE,_xlpm.oldcoeff))</f>
        <v>-4.5338675259838965E-2</v>
      </c>
      <c r="K25" t="str" cm="1">
        <f t="array" ref="K25">"BIOSYN-"&amp;_xlfn.IFS(IFERROR(MATCH(mets2713[[#This Row],[category]],{0,"0",""},0),0)&gt;0,mets2713[[#This Row],[name]],TRUE,mets2713[[#This Row],[category]]&amp;"-"&amp;mets2713[[#This Row],[name]])</f>
        <v>BIOSYN-PROT-asntrna_c</v>
      </c>
      <c r="L25" s="149" t="str" cm="1">
        <f t="array" ref="L25">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25" s="149" cm="1">
        <f t="array" ref="M25">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-4.6261639914346335E-2</v>
      </c>
      <c r="N25" s="149"/>
      <c r="O25" s="149"/>
      <c r="P25" s="149"/>
      <c r="Q25" s="149"/>
      <c r="R25" s="149"/>
      <c r="S25" s="149"/>
      <c r="T25" s="149"/>
      <c r="U25" s="149"/>
      <c r="V25" s="149"/>
      <c r="AB25" t="str">
        <v>BIOSYN-CARB-mannan_c</v>
      </c>
      <c r="AC25" t="str">
        <v>MET-mannan_c --&gt; 0.162141 BIO-mannan_c</v>
      </c>
    </row>
    <row r="26" spans="1:29" ht="16" x14ac:dyDescent="0.2">
      <c r="A26" s="180" t="s">
        <v>1531</v>
      </c>
      <c r="B26" t="str">
        <f>SUBSTITUTE(_xlfn.TEXTBEFORE(mets2713[[#This Row],[pasted JSON metabolite keys and values from GSM biomass rxn]],":"),CHAR(34),"")</f>
        <v>asptrna_c</v>
      </c>
      <c r="C26" t="str">
        <f>_xlfn.TEXTBEFORE(mets2713[[#This Row],[name]],"_",-1)</f>
        <v>asptrna</v>
      </c>
      <c r="D26" t="str">
        <f>_xlfn.XLOOKUP(mets2713[[#This Row],[name w/o location]],metaboliteInfo[name w/o location],metaboliteInfo[suggested category],"")</f>
        <v>PROT</v>
      </c>
      <c r="E26" s="21">
        <f>IFERROR(_xlfn.XLOOKUP(mets2713[[#This Row],[name w/o location]],metaboliteInfo[name w/o location],metaboliteInfo[MW for biomass normalization (g/mol)],0),0)</f>
        <v>115.0874</v>
      </c>
      <c r="F26">
        <f>_xlfn.NUMBERVALUE(SUBSTITUTE(_xlfn.TEXTAFTER(mets2713[[#This Row],[pasted JSON metabolite keys and values from GSM biomass rxn]],":"),",",""))</f>
        <v>-0.1017</v>
      </c>
      <c r="G26" s="21" cm="1">
        <f t="array" ref="G26">_xlfn.LET(_xlpm.id,mets2713[[#This Row],[name w/o location]],IF(IsElementOfSet_DIY(_xlpm.id,{"atp","adp","h","pi","h2o"}),SIGN(mets2713[[#This Row],[raw (GSM) coefficient]])*(ABS(mets2713[[#This Row],[raw (GSM) coefficient]])-$J$2),mets2713[[#This Row],[raw (GSM) coefficient]]))</f>
        <v>-0.1017</v>
      </c>
      <c r="H26" s="21">
        <f>mets2713[[#This Row],[coeff. w/o GAM]]</f>
        <v>-0.1017</v>
      </c>
      <c r="I26" s="161">
        <f t="shared" si="0"/>
        <v>-9.8841227736883669E-2</v>
      </c>
      <c r="J26" s="21" cm="1">
        <f t="array" ref="J26">_xlfn.LET(_xlpm.id,mets2713[[#This Row],[name w/o location]],_xlpm.oldcoeff,mets2713[[#This Row],[normalized coeffs]],_xlpm.gam,$J$2-$G$2,_xlfn.IFS(IFERROR(MATCH(_xlpm.id,{"atp","h2o"},0),0)&gt;0,_xlpm.oldcoeff-_xlpm.gam,IFERROR(MATCH(_xlpm.id,{"adp","h","pi"},0),0)&gt;0,_xlpm.oldcoeff+_xlpm.gam,TRUE,_xlpm.oldcoeff))</f>
        <v>-9.8841227736883669E-2</v>
      </c>
      <c r="K26" t="str" cm="1">
        <f t="array" ref="K26">"BIOSYN-"&amp;_xlfn.IFS(IFERROR(MATCH(mets2713[[#This Row],[category]],{0,"0",""},0),0)&gt;0,mets2713[[#This Row],[name]],TRUE,mets2713[[#This Row],[category]]&amp;"-"&amp;mets2713[[#This Row],[name]])</f>
        <v>BIOSYN-PROT-asptrna_c</v>
      </c>
      <c r="L26" s="149" t="str" cm="1">
        <f t="array" ref="L26">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26" s="149" cm="1">
        <f t="array" ref="M2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-0.1008533500383499</v>
      </c>
      <c r="N26" s="149"/>
      <c r="O26" s="149"/>
      <c r="P26" s="149"/>
      <c r="Q26" s="149"/>
      <c r="R26" s="149"/>
      <c r="S26" s="149"/>
      <c r="T26" s="149"/>
      <c r="U26" s="149"/>
      <c r="V26" s="149"/>
      <c r="AB26" t="str">
        <v>BIOSYN-CARB-tre_c</v>
      </c>
      <c r="AC26" t="str">
        <v>MET-tre_c --&gt; 0.342296 BIO-tre_c</v>
      </c>
    </row>
    <row r="27" spans="1:29" ht="16" x14ac:dyDescent="0.2">
      <c r="A27" s="180" t="s">
        <v>1532</v>
      </c>
      <c r="B27" t="str">
        <f>SUBSTITUTE(_xlfn.TEXTBEFORE(mets2713[[#This Row],[pasted JSON metabolite keys and values from GSM biomass rxn]],":"),CHAR(34),"")</f>
        <v>cystrna_c</v>
      </c>
      <c r="C27" t="str">
        <f>_xlfn.TEXTBEFORE(mets2713[[#This Row],[name]],"_",-1)</f>
        <v>cystrna</v>
      </c>
      <c r="D27" t="str">
        <f>_xlfn.XLOOKUP(mets2713[[#This Row],[name w/o location]],metaboliteInfo[name w/o location],metaboliteInfo[suggested category],"")</f>
        <v>PROT</v>
      </c>
      <c r="E27" s="21">
        <f>IFERROR(_xlfn.XLOOKUP(mets2713[[#This Row],[name w/o location]],metaboliteInfo[name w/o location],metaboliteInfo[MW for biomass normalization (g/mol)],0),0)</f>
        <v>104.15084</v>
      </c>
      <c r="F27">
        <f>_xlfn.NUMBERVALUE(SUBSTITUTE(_xlfn.TEXTAFTER(mets2713[[#This Row],[pasted JSON metabolite keys and values from GSM biomass rxn]],":"),",",""))</f>
        <v>-1.8082000000000001E-2</v>
      </c>
      <c r="G27" s="21" cm="1">
        <f t="array" ref="G27">_xlfn.LET(_xlpm.id,mets2713[[#This Row],[name w/o location]],IF(IsElementOfSet_DIY(_xlpm.id,{"atp","adp","h","pi","h2o"}),SIGN(mets2713[[#This Row],[raw (GSM) coefficient]])*(ABS(mets2713[[#This Row],[raw (GSM) coefficient]])-$J$2),mets2713[[#This Row],[raw (GSM) coefficient]]))</f>
        <v>-1.8082000000000001E-2</v>
      </c>
      <c r="H27" s="21">
        <f>mets2713[[#This Row],[coeff. w/o GAM]]</f>
        <v>-1.8082000000000001E-2</v>
      </c>
      <c r="I27" s="161">
        <f t="shared" si="0"/>
        <v>-1.7573717600180241E-2</v>
      </c>
      <c r="J27" s="21" cm="1">
        <f t="array" ref="J27">_xlfn.LET(_xlpm.id,mets2713[[#This Row],[name w/o location]],_xlpm.oldcoeff,mets2713[[#This Row],[normalized coeffs]],_xlpm.gam,$J$2-$G$2,_xlfn.IFS(IFERROR(MATCH(_xlpm.id,{"atp","h2o"},0),0)&gt;0,_xlpm.oldcoeff-_xlpm.gam,IFERROR(MATCH(_xlpm.id,{"adp","h","pi"},0),0)&gt;0,_xlpm.oldcoeff+_xlpm.gam,TRUE,_xlpm.oldcoeff))</f>
        <v>-1.7573717600180241E-2</v>
      </c>
      <c r="K27" t="str" cm="1">
        <f t="array" ref="K27">"BIOSYN-"&amp;_xlfn.IFS(IFERROR(MATCH(mets2713[[#This Row],[category]],{0,"0",""},0),0)&gt;0,mets2713[[#This Row],[name]],TRUE,mets2713[[#This Row],[category]]&amp;"-"&amp;mets2713[[#This Row],[name]])</f>
        <v>BIOSYN-PROT-cystrna_c</v>
      </c>
      <c r="L27" s="149" t="str" cm="1">
        <f t="array" ref="L27">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27" s="149" cm="1">
        <f t="array" ref="M2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-1.7931467801312124E-2</v>
      </c>
      <c r="N27" s="149"/>
      <c r="O27" s="149"/>
      <c r="P27" s="149"/>
      <c r="Q27" s="149"/>
      <c r="R27" s="149"/>
      <c r="S27" s="149"/>
      <c r="T27" s="149"/>
      <c r="U27" s="149"/>
      <c r="V27" s="149"/>
      <c r="AB27" t="str">
        <v>BIOSYN-COFACTOR-caro_c</v>
      </c>
      <c r="AC27" t="str">
        <v>MET-caro_c --&gt; 0.536873 BIO-caro_c</v>
      </c>
    </row>
    <row r="28" spans="1:29" ht="16" x14ac:dyDescent="0.2">
      <c r="A28" s="180" t="s">
        <v>1533</v>
      </c>
      <c r="B28" t="str">
        <f>SUBSTITUTE(_xlfn.TEXTBEFORE(mets2713[[#This Row],[pasted JSON metabolite keys and values from GSM biomass rxn]],":"),CHAR(34),"")</f>
        <v>glntrna_c</v>
      </c>
      <c r="C28" t="str">
        <f>_xlfn.TEXTBEFORE(mets2713[[#This Row],[name]],"_",-1)</f>
        <v>glntrna</v>
      </c>
      <c r="D28" t="str">
        <f>_xlfn.XLOOKUP(mets2713[[#This Row],[name w/o location]],metaboliteInfo[name w/o location],metaboliteInfo[suggested category],"")</f>
        <v>PROT</v>
      </c>
      <c r="E28" s="21">
        <f>IFERROR(_xlfn.XLOOKUP(mets2713[[#This Row],[name w/o location]],metaboliteInfo[name w/o location],metaboliteInfo[MW for biomass normalization (g/mol)],0),0)</f>
        <v>129.13715999999999</v>
      </c>
      <c r="F28">
        <f>_xlfn.NUMBERVALUE(SUBSTITUTE(_xlfn.TEXTAFTER(mets2713[[#This Row],[pasted JSON metabolite keys and values from GSM biomass rxn]],":"),",",""))</f>
        <v>-6.6843E-2</v>
      </c>
      <c r="G28" s="21" cm="1">
        <f t="array" ref="G28">_xlfn.LET(_xlpm.id,mets2713[[#This Row],[name w/o location]],IF(IsElementOfSet_DIY(_xlpm.id,{"atp","adp","h","pi","h2o"}),SIGN(mets2713[[#This Row],[raw (GSM) coefficient]])*(ABS(mets2713[[#This Row],[raw (GSM) coefficient]])-$J$2),mets2713[[#This Row],[raw (GSM) coefficient]]))</f>
        <v>-6.6843E-2</v>
      </c>
      <c r="H28" s="21">
        <f>mets2713[[#This Row],[coeff. w/o GAM]]</f>
        <v>-6.6843E-2</v>
      </c>
      <c r="I28" s="161">
        <f t="shared" si="0"/>
        <v>-6.4964052955914606E-2</v>
      </c>
      <c r="J28" s="21" cm="1">
        <f t="array" ref="J28">_xlfn.LET(_xlpm.id,mets2713[[#This Row],[name w/o location]],_xlpm.oldcoeff,mets2713[[#This Row],[normalized coeffs]],_xlpm.gam,$J$2-$G$2,_xlfn.IFS(IFERROR(MATCH(_xlpm.id,{"atp","h2o"},0),0)&gt;0,_xlpm.oldcoeff-_xlpm.gam,IFERROR(MATCH(_xlpm.id,{"adp","h","pi"},0),0)&gt;0,_xlpm.oldcoeff+_xlpm.gam,TRUE,_xlpm.oldcoeff))</f>
        <v>-6.4964052955914606E-2</v>
      </c>
      <c r="K28" t="str" cm="1">
        <f t="array" ref="K28">"BIOSYN-"&amp;_xlfn.IFS(IFERROR(MATCH(mets2713[[#This Row],[category]],{0,"0",""},0),0)&gt;0,mets2713[[#This Row],[name]],TRUE,mets2713[[#This Row],[category]]&amp;"-"&amp;mets2713[[#This Row],[name]])</f>
        <v>BIOSYN-PROT-glntrna_c</v>
      </c>
      <c r="L28" s="149" t="str" cm="1">
        <f t="array" ref="L28">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28" s="149" cm="1">
        <f t="array" ref="M2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-6.6286533693347319E-2</v>
      </c>
      <c r="N28" s="149"/>
      <c r="O28" s="149"/>
      <c r="P28" s="149"/>
      <c r="Q28" s="149"/>
      <c r="R28" s="149"/>
      <c r="S28" s="149"/>
      <c r="T28" s="149"/>
      <c r="U28" s="149"/>
      <c r="V28" s="149"/>
      <c r="AB28" t="str">
        <v>BIOSYN-COFACTOR-gcaro_c</v>
      </c>
      <c r="AC28" t="str">
        <v>MET-gcaro_c --&gt; 0.536873 BIO-gcaro_c</v>
      </c>
    </row>
    <row r="29" spans="1:29" ht="16" x14ac:dyDescent="0.2">
      <c r="A29" s="180" t="s">
        <v>1534</v>
      </c>
      <c r="B29" t="str">
        <f>SUBSTITUTE(_xlfn.TEXTBEFORE(mets2713[[#This Row],[pasted JSON metabolite keys and values from GSM biomass rxn]],":"),CHAR(34),"")</f>
        <v>glutrna_c</v>
      </c>
      <c r="C29" t="str">
        <f>_xlfn.TEXTBEFORE(mets2713[[#This Row],[name]],"_",-1)</f>
        <v>glutrna</v>
      </c>
      <c r="D29" t="str">
        <f>_xlfn.XLOOKUP(mets2713[[#This Row],[name w/o location]],metaboliteInfo[name w/o location],metaboliteInfo[suggested category],"")</f>
        <v>PROT</v>
      </c>
      <c r="E29" s="21">
        <f>IFERROR(_xlfn.XLOOKUP(mets2713[[#This Row],[name w/o location]],metaboliteInfo[name w/o location],metaboliteInfo[MW for biomass normalization (g/mol)],0),0)</f>
        <v>129.11398</v>
      </c>
      <c r="F29">
        <f>_xlfn.NUMBERVALUE(SUBSTITUTE(_xlfn.TEXTAFTER(mets2713[[#This Row],[pasted JSON metabolite keys and values from GSM biomass rxn]],":"),",",""))</f>
        <v>-0.11823</v>
      </c>
      <c r="G29" s="21" cm="1">
        <f t="array" ref="G29">_xlfn.LET(_xlpm.id,mets2713[[#This Row],[name w/o location]],IF(IsElementOfSet_DIY(_xlpm.id,{"atp","adp","h","pi","h2o"}),SIGN(mets2713[[#This Row],[raw (GSM) coefficient]])*(ABS(mets2713[[#This Row],[raw (GSM) coefficient]])-$J$2),mets2713[[#This Row],[raw (GSM) coefficient]]))</f>
        <v>-0.11823</v>
      </c>
      <c r="H29" s="21">
        <f>mets2713[[#This Row],[coeff. w/o GAM]]</f>
        <v>-0.11823</v>
      </c>
      <c r="I29" s="161">
        <f t="shared" si="0"/>
        <v>-0.11490657183217065</v>
      </c>
      <c r="J29" s="21" cm="1">
        <f t="array" ref="J29">_xlfn.LET(_xlpm.id,mets2713[[#This Row],[name w/o location]],_xlpm.oldcoeff,mets2713[[#This Row],[normalized coeffs]],_xlpm.gam,$J$2-$G$2,_xlfn.IFS(IFERROR(MATCH(_xlpm.id,{"atp","h2o"},0),0)&gt;0,_xlpm.oldcoeff-_xlpm.gam,IFERROR(MATCH(_xlpm.id,{"adp","h","pi"},0),0)&gt;0,_xlpm.oldcoeff+_xlpm.gam,TRUE,_xlpm.oldcoeff))</f>
        <v>-0.11490657183217065</v>
      </c>
      <c r="K29" t="str" cm="1">
        <f t="array" ref="K29">"BIOSYN-"&amp;_xlfn.IFS(IFERROR(MATCH(mets2713[[#This Row],[category]],{0,"0",""},0),0)&gt;0,mets2713[[#This Row],[name]],TRUE,mets2713[[#This Row],[category]]&amp;"-"&amp;mets2713[[#This Row],[name]])</f>
        <v>BIOSYN-PROT-glutrna_c</v>
      </c>
      <c r="L29" s="149" t="str" cm="1">
        <f t="array" ref="L29">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29" s="149" cm="1">
        <f t="array" ref="M2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-0.11724573820092535</v>
      </c>
      <c r="N29" s="149"/>
      <c r="O29" s="149"/>
      <c r="P29" s="149"/>
      <c r="Q29" s="149"/>
      <c r="R29" s="149"/>
      <c r="S29" s="149"/>
      <c r="T29" s="149"/>
      <c r="U29" s="149"/>
      <c r="V29" s="149"/>
      <c r="AB29" t="str">
        <v>BIOSYN-COFACTOR-hemeA_c</v>
      </c>
      <c r="AC29" t="str">
        <v>MET-hemeA_c --&gt; 0.850821 BIO-hemeA_c</v>
      </c>
    </row>
    <row r="30" spans="1:29" ht="16" x14ac:dyDescent="0.2">
      <c r="A30" s="180" t="s">
        <v>1535</v>
      </c>
      <c r="B30" t="str">
        <f>SUBSTITUTE(_xlfn.TEXTBEFORE(mets2713[[#This Row],[pasted JSON metabolite keys and values from GSM biomass rxn]],":"),CHAR(34),"")</f>
        <v>glytrna_c</v>
      </c>
      <c r="C30" t="str">
        <f>_xlfn.TEXTBEFORE(mets2713[[#This Row],[name]],"_",-1)</f>
        <v>glytrna</v>
      </c>
      <c r="D30" t="str">
        <f>_xlfn.XLOOKUP(mets2713[[#This Row],[name w/o location]],metaboliteInfo[name w/o location],metaboliteInfo[suggested category],"")</f>
        <v>PROT</v>
      </c>
      <c r="E30" s="21">
        <f>IFERROR(_xlfn.XLOOKUP(mets2713[[#This Row],[name w/o location]],metaboliteInfo[name w/o location],metaboliteInfo[MW for biomass normalization (g/mol)],0),0)</f>
        <v>58.059260000000002</v>
      </c>
      <c r="F30">
        <f>_xlfn.NUMBERVALUE(SUBSTITUTE(_xlfn.TEXTAFTER(mets2713[[#This Row],[pasted JSON metabolite keys and values from GSM biomass rxn]],":"),",",""))</f>
        <v>-0.13209000000000001</v>
      </c>
      <c r="G30" s="21" cm="1">
        <f t="array" ref="G30">_xlfn.LET(_xlpm.id,mets2713[[#This Row],[name w/o location]],IF(IsElementOfSet_DIY(_xlpm.id,{"atp","adp","h","pi","h2o"}),SIGN(mets2713[[#This Row],[raw (GSM) coefficient]])*(ABS(mets2713[[#This Row],[raw (GSM) coefficient]])-$J$2),mets2713[[#This Row],[raw (GSM) coefficient]]))</f>
        <v>-0.13209000000000001</v>
      </c>
      <c r="H30" s="21">
        <f>mets2713[[#This Row],[coeff. w/o GAM]]</f>
        <v>-0.13209000000000001</v>
      </c>
      <c r="I30" s="161">
        <f t="shared" si="0"/>
        <v>-0.12837696924056013</v>
      </c>
      <c r="J30" s="21" cm="1">
        <f t="array" ref="J30">_xlfn.LET(_xlpm.id,mets2713[[#This Row],[name w/o location]],_xlpm.oldcoeff,mets2713[[#This Row],[normalized coeffs]],_xlpm.gam,$J$2-$G$2,_xlfn.IFS(IFERROR(MATCH(_xlpm.id,{"atp","h2o"},0),0)&gt;0,_xlpm.oldcoeff-_xlpm.gam,IFERROR(MATCH(_xlpm.id,{"adp","h","pi"},0),0)&gt;0,_xlpm.oldcoeff+_xlpm.gam,TRUE,_xlpm.oldcoeff))</f>
        <v>-0.12837696924056013</v>
      </c>
      <c r="K30" t="str" cm="1">
        <f t="array" ref="K30">"BIOSYN-"&amp;_xlfn.IFS(IFERROR(MATCH(mets2713[[#This Row],[category]],{0,"0",""},0),0)&gt;0,mets2713[[#This Row],[name]],TRUE,mets2713[[#This Row],[category]]&amp;"-"&amp;mets2713[[#This Row],[name]])</f>
        <v>BIOSYN-PROT-glytrna_c</v>
      </c>
      <c r="L30" s="149" t="str" cm="1">
        <f t="array" ref="L30">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0" s="149" cm="1">
        <f t="array" ref="M3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-0.1309903540468598</v>
      </c>
      <c r="N30" s="149"/>
      <c r="O30" s="149"/>
      <c r="P30" s="149"/>
      <c r="Q30" s="149"/>
      <c r="R30" s="149"/>
      <c r="S30" s="149"/>
      <c r="T30" s="149"/>
      <c r="U30" s="149"/>
      <c r="V30" s="149"/>
      <c r="AB30" t="str">
        <v>BIOSYN-COFACTOR-ribflv_c</v>
      </c>
      <c r="AC30" t="str">
        <v>MET-ribflv_c --&gt; 0.375356 BIO-ribflv_c</v>
      </c>
    </row>
    <row r="31" spans="1:29" ht="16" x14ac:dyDescent="0.2">
      <c r="A31" s="180" t="s">
        <v>1536</v>
      </c>
      <c r="B31" t="str">
        <f>SUBSTITUTE(_xlfn.TEXTBEFORE(mets2713[[#This Row],[pasted JSON metabolite keys and values from GSM biomass rxn]],":"),CHAR(34),"")</f>
        <v>histrna_c</v>
      </c>
      <c r="C31" t="str">
        <f>_xlfn.TEXTBEFORE(mets2713[[#This Row],[name]],"_",-1)</f>
        <v>histrna</v>
      </c>
      <c r="D31" t="str">
        <f>_xlfn.XLOOKUP(mets2713[[#This Row],[name w/o location]],metaboliteInfo[name w/o location],metaboliteInfo[suggested category],"")</f>
        <v>PROT</v>
      </c>
      <c r="E31" s="21">
        <f>IFERROR(_xlfn.XLOOKUP(mets2713[[#This Row],[name w/o location]],metaboliteInfo[name w/o location],metaboliteInfo[MW for biomass normalization (g/mol)],0),0)</f>
        <v>138.14722</v>
      </c>
      <c r="F31">
        <f>_xlfn.NUMBERVALUE(SUBSTITUTE(_xlfn.TEXTAFTER(mets2713[[#This Row],[pasted JSON metabolite keys and values from GSM biomass rxn]],":"),",",""))</f>
        <v>-4.0795999999999999E-2</v>
      </c>
      <c r="G31" s="21" cm="1">
        <f t="array" ref="G31">_xlfn.LET(_xlpm.id,mets2713[[#This Row],[name w/o location]],IF(IsElementOfSet_DIY(_xlpm.id,{"atp","adp","h","pi","h2o"}),SIGN(mets2713[[#This Row],[raw (GSM) coefficient]])*(ABS(mets2713[[#This Row],[raw (GSM) coefficient]])-$J$2),mets2713[[#This Row],[raw (GSM) coefficient]]))</f>
        <v>-4.0795999999999999E-2</v>
      </c>
      <c r="H31" s="21">
        <f>mets2713[[#This Row],[coeff. w/o GAM]]</f>
        <v>-4.0795999999999999E-2</v>
      </c>
      <c r="I31" s="161">
        <f t="shared" si="0"/>
        <v>-3.9649230351562495E-2</v>
      </c>
      <c r="J31" s="21" cm="1">
        <f t="array" ref="J31">_xlfn.LET(_xlpm.id,mets2713[[#This Row],[name w/o location]],_xlpm.oldcoeff,mets2713[[#This Row],[normalized coeffs]],_xlpm.gam,$J$2-$G$2,_xlfn.IFS(IFERROR(MATCH(_xlpm.id,{"atp","h2o"},0),0)&gt;0,_xlpm.oldcoeff-_xlpm.gam,IFERROR(MATCH(_xlpm.id,{"adp","h","pi"},0),0)&gt;0,_xlpm.oldcoeff+_xlpm.gam,TRUE,_xlpm.oldcoeff))</f>
        <v>-3.9649230351562495E-2</v>
      </c>
      <c r="K31" t="str" cm="1">
        <f t="array" ref="K31">"BIOSYN-"&amp;_xlfn.IFS(IFERROR(MATCH(mets2713[[#This Row],[category]],{0,"0",""},0),0)&gt;0,mets2713[[#This Row],[name]],TRUE,mets2713[[#This Row],[category]]&amp;"-"&amp;mets2713[[#This Row],[name]])</f>
        <v>BIOSYN-PROT-histrna_c</v>
      </c>
      <c r="L31" s="149" t="str" cm="1">
        <f t="array" ref="L31">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1" s="149" cm="1">
        <f t="array" ref="M3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-4.0456374318235219E-2</v>
      </c>
      <c r="N31" s="149"/>
      <c r="O31" s="149"/>
      <c r="P31" s="149"/>
      <c r="Q31" s="149"/>
      <c r="R31" s="149"/>
      <c r="S31" s="149"/>
      <c r="T31" s="149"/>
      <c r="U31" s="149"/>
      <c r="V31" s="149"/>
      <c r="AB31" t="str">
        <v>BIOSYN-COFACTOR-torularho_c</v>
      </c>
      <c r="AC31" t="str">
        <v>MET-torularho_c --&gt; 0.56484 BIO-torularho_c</v>
      </c>
    </row>
    <row r="32" spans="1:29" ht="16" x14ac:dyDescent="0.2">
      <c r="A32" s="180" t="s">
        <v>1537</v>
      </c>
      <c r="B32" t="str">
        <f>SUBSTITUTE(_xlfn.TEXTBEFORE(mets2713[[#This Row],[pasted JSON metabolite keys and values from GSM biomass rxn]],":"),CHAR(34),"")</f>
        <v>iletrna_c</v>
      </c>
      <c r="C32" t="str">
        <f>_xlfn.TEXTBEFORE(mets2713[[#This Row],[name]],"_",-1)</f>
        <v>iletrna</v>
      </c>
      <c r="D32" t="str">
        <f>_xlfn.XLOOKUP(mets2713[[#This Row],[name w/o location]],metaboliteInfo[name w/o location],metaboliteInfo[suggested category],"")</f>
        <v>PROT</v>
      </c>
      <c r="E32" s="21">
        <f>IFERROR(_xlfn.XLOOKUP(mets2713[[#This Row],[name w/o location]],metaboliteInfo[name w/o location],metaboliteInfo[MW for biomass normalization (g/mol)],0),0)</f>
        <v>114.16558000000001</v>
      </c>
      <c r="F32">
        <f>_xlfn.NUMBERVALUE(SUBSTITUTE(_xlfn.TEXTAFTER(mets2713[[#This Row],[pasted JSON metabolite keys and values from GSM biomass rxn]],":"),",",""))</f>
        <v>-6.5612000000000004E-2</v>
      </c>
      <c r="G32" s="21" cm="1">
        <f t="array" ref="G32">_xlfn.LET(_xlpm.id,mets2713[[#This Row],[name w/o location]],IF(IsElementOfSet_DIY(_xlpm.id,{"atp","adp","h","pi","h2o"}),SIGN(mets2713[[#This Row],[raw (GSM) coefficient]])*(ABS(mets2713[[#This Row],[raw (GSM) coefficient]])-$J$2),mets2713[[#This Row],[raw (GSM) coefficient]]))</f>
        <v>-6.5612000000000004E-2</v>
      </c>
      <c r="H32" s="21">
        <f>mets2713[[#This Row],[coeff. w/o GAM]]</f>
        <v>-6.5612000000000004E-2</v>
      </c>
      <c r="I32" s="161">
        <f t="shared" si="0"/>
        <v>-6.3767656187536007E-2</v>
      </c>
      <c r="J32" s="21" cm="1">
        <f t="array" ref="J32">_xlfn.LET(_xlpm.id,mets2713[[#This Row],[name w/o location]],_xlpm.oldcoeff,mets2713[[#This Row],[normalized coeffs]],_xlpm.gam,$J$2-$G$2,_xlfn.IFS(IFERROR(MATCH(_xlpm.id,{"atp","h2o"},0),0)&gt;0,_xlpm.oldcoeff-_xlpm.gam,IFERROR(MATCH(_xlpm.id,{"adp","h","pi"},0),0)&gt;0,_xlpm.oldcoeff+_xlpm.gam,TRUE,_xlpm.oldcoeff))</f>
        <v>-6.3767656187536007E-2</v>
      </c>
      <c r="K32" t="str" cm="1">
        <f t="array" ref="K32">"BIOSYN-"&amp;_xlfn.IFS(IFERROR(MATCH(mets2713[[#This Row],[category]],{0,"0",""},0),0)&gt;0,mets2713[[#This Row],[name]],TRUE,mets2713[[#This Row],[category]]&amp;"-"&amp;mets2713[[#This Row],[name]])</f>
        <v>BIOSYN-PROT-iletrna_c</v>
      </c>
      <c r="L32" s="149" t="str" cm="1">
        <f t="array" ref="L32">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2" s="149" cm="1">
        <f t="array" ref="M3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-6.5065781737622563E-2</v>
      </c>
      <c r="N32" s="149"/>
      <c r="O32" s="149"/>
      <c r="P32" s="149"/>
      <c r="Q32" s="149"/>
      <c r="R32" s="149"/>
      <c r="S32" s="149"/>
      <c r="T32" s="149"/>
      <c r="U32" s="149"/>
      <c r="V32" s="149"/>
      <c r="AB32" t="str">
        <v>BIOSYN-COFACTOR-toruln_c</v>
      </c>
      <c r="AC32" t="str">
        <v>MET-toruln_c --&gt; 0.534857 BIO-toruln_c</v>
      </c>
    </row>
    <row r="33" spans="1:29" ht="16" x14ac:dyDescent="0.2">
      <c r="A33" s="180" t="s">
        <v>1538</v>
      </c>
      <c r="B33" t="str">
        <f>SUBSTITUTE(_xlfn.TEXTBEFORE(mets2713[[#This Row],[pasted JSON metabolite keys and values from GSM biomass rxn]],":"),CHAR(34),"")</f>
        <v>leutrna_c</v>
      </c>
      <c r="C33" t="str">
        <f>_xlfn.TEXTBEFORE(mets2713[[#This Row],[name]],"_",-1)</f>
        <v>leutrna</v>
      </c>
      <c r="D33" t="str">
        <f>_xlfn.XLOOKUP(mets2713[[#This Row],[name w/o location]],metaboliteInfo[name w/o location],metaboliteInfo[suggested category],"")</f>
        <v>PROT</v>
      </c>
      <c r="E33" s="21">
        <f>IFERROR(_xlfn.XLOOKUP(mets2713[[#This Row],[name w/o location]],metaboliteInfo[name w/o location],metaboliteInfo[MW for biomass normalization (g/mol)],0),0)</f>
        <v>114.16558000000001</v>
      </c>
      <c r="F33">
        <f>_xlfn.NUMBERVALUE(SUBSTITUTE(_xlfn.TEXTAFTER(mets2713[[#This Row],[pasted JSON metabolite keys and values from GSM biomass rxn]],":"),",",""))</f>
        <v>-0.17174</v>
      </c>
      <c r="G33" s="21" cm="1">
        <f t="array" ref="G33">_xlfn.LET(_xlpm.id,mets2713[[#This Row],[name w/o location]],IF(IsElementOfSet_DIY(_xlpm.id,{"atp","adp","h","pi","h2o"}),SIGN(mets2713[[#This Row],[raw (GSM) coefficient]])*(ABS(mets2713[[#This Row],[raw (GSM) coefficient]])-$J$2),mets2713[[#This Row],[raw (GSM) coefficient]]))</f>
        <v>-0.17174</v>
      </c>
      <c r="H33" s="21">
        <f>mets2713[[#This Row],[coeff. w/o GAM]]</f>
        <v>-0.17174</v>
      </c>
      <c r="I33" s="161">
        <f t="shared" si="0"/>
        <v>-0.16691241348606098</v>
      </c>
      <c r="J33" s="21" cm="1">
        <f t="array" ref="J33">_xlfn.LET(_xlpm.id,mets2713[[#This Row],[name w/o location]],_xlpm.oldcoeff,mets2713[[#This Row],[normalized coeffs]],_xlpm.gam,$J$2-$G$2,_xlfn.IFS(IFERROR(MATCH(_xlpm.id,{"atp","h2o"},0),0)&gt;0,_xlpm.oldcoeff-_xlpm.gam,IFERROR(MATCH(_xlpm.id,{"adp","h","pi"},0),0)&gt;0,_xlpm.oldcoeff+_xlpm.gam,TRUE,_xlpm.oldcoeff))</f>
        <v>-0.16691241348606098</v>
      </c>
      <c r="K33" t="str" cm="1">
        <f t="array" ref="K33">"BIOSYN-"&amp;_xlfn.IFS(IFERROR(MATCH(mets2713[[#This Row],[category]],{0,"0",""},0),0)&gt;0,mets2713[[#This Row],[name]],TRUE,mets2713[[#This Row],[category]]&amp;"-"&amp;mets2713[[#This Row],[name]])</f>
        <v>BIOSYN-PROT-leutrna_c</v>
      </c>
      <c r="L33" s="149" t="str" cm="1">
        <f t="array" ref="L33">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3" s="149" cm="1">
        <f t="array" ref="M3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-0.17031026878649175</v>
      </c>
      <c r="N33" s="149"/>
      <c r="O33" s="149"/>
      <c r="P33" s="149"/>
      <c r="Q33" s="149"/>
      <c r="R33" s="149"/>
      <c r="S33" s="149"/>
      <c r="T33" s="149"/>
      <c r="U33" s="149"/>
      <c r="V33" s="149"/>
      <c r="AB33" t="str">
        <v>BIOSYN-DNA-datp_c</v>
      </c>
      <c r="AC33" t="str">
        <v>MET-datp_c --&gt; MET-ppi_c + 0.312199 BIO-datp_c</v>
      </c>
    </row>
    <row r="34" spans="1:29" ht="16" x14ac:dyDescent="0.2">
      <c r="A34" s="180" t="s">
        <v>1539</v>
      </c>
      <c r="B34" t="str">
        <f>SUBSTITUTE(_xlfn.TEXTBEFORE(mets2713[[#This Row],[pasted JSON metabolite keys and values from GSM biomass rxn]],":"),CHAR(34),"")</f>
        <v>lystrna_c</v>
      </c>
      <c r="C34" t="str">
        <f>_xlfn.TEXTBEFORE(mets2713[[#This Row],[name]],"_",-1)</f>
        <v>lystrna</v>
      </c>
      <c r="D34" t="str">
        <f>_xlfn.XLOOKUP(mets2713[[#This Row],[name w/o location]],metaboliteInfo[name w/o location],metaboliteInfo[suggested category],"")</f>
        <v>PROT</v>
      </c>
      <c r="E34" s="21">
        <f>IFERROR(_xlfn.XLOOKUP(mets2713[[#This Row],[name w/o location]],metaboliteInfo[name w/o location],metaboliteInfo[MW for biomass normalization (g/mol)],0),0)</f>
        <v>130.18816000000001</v>
      </c>
      <c r="F34">
        <f>_xlfn.NUMBERVALUE(SUBSTITUTE(_xlfn.TEXTAFTER(mets2713[[#This Row],[pasted JSON metabolite keys and values from GSM biomass rxn]],":"),",",""))</f>
        <v>-8.1016000000000005E-2</v>
      </c>
      <c r="G34" s="21" cm="1">
        <f t="array" ref="G34">_xlfn.LET(_xlpm.id,mets2713[[#This Row],[name w/o location]],IF(IsElementOfSet_DIY(_xlpm.id,{"atp","adp","h","pi","h2o"}),SIGN(mets2713[[#This Row],[raw (GSM) coefficient]])*(ABS(mets2713[[#This Row],[raw (GSM) coefficient]])-$J$2),mets2713[[#This Row],[raw (GSM) coefficient]]))</f>
        <v>-8.1016000000000005E-2</v>
      </c>
      <c r="H34" s="21">
        <f>mets2713[[#This Row],[coeff. w/o GAM]]</f>
        <v>-8.1016000000000005E-2</v>
      </c>
      <c r="I34" s="161">
        <f t="shared" si="0"/>
        <v>-7.8738651979659458E-2</v>
      </c>
      <c r="J34" s="21" cm="1">
        <f t="array" ref="J34">_xlfn.LET(_xlpm.id,mets2713[[#This Row],[name w/o location]],_xlpm.oldcoeff,mets2713[[#This Row],[normalized coeffs]],_xlpm.gam,$J$2-$G$2,_xlfn.IFS(IFERROR(MATCH(_xlpm.id,{"atp","h2o"},0),0)&gt;0,_xlpm.oldcoeff-_xlpm.gam,IFERROR(MATCH(_xlpm.id,{"adp","h","pi"},0),0)&gt;0,_xlpm.oldcoeff+_xlpm.gam,TRUE,_xlpm.oldcoeff))</f>
        <v>-7.8738651979659458E-2</v>
      </c>
      <c r="K34" t="str" cm="1">
        <f t="array" ref="K34">"BIOSYN-"&amp;_xlfn.IFS(IFERROR(MATCH(mets2713[[#This Row],[category]],{0,"0",""},0),0)&gt;0,mets2713[[#This Row],[name]],TRUE,mets2713[[#This Row],[category]]&amp;"-"&amp;mets2713[[#This Row],[name]])</f>
        <v>BIOSYN-PROT-lystrna_c</v>
      </c>
      <c r="L34" s="149" t="str" cm="1">
        <f t="array" ref="L34">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4" s="149" cm="1">
        <f t="array" ref="M34">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-8.034154382209395E-2</v>
      </c>
      <c r="N34" s="149"/>
      <c r="O34" s="149"/>
      <c r="P34" s="149"/>
      <c r="Q34" s="149"/>
      <c r="R34" s="149"/>
      <c r="S34" s="149"/>
      <c r="T34" s="149"/>
      <c r="U34" s="149"/>
      <c r="V34" s="149"/>
      <c r="AB34" t="str">
        <v>BIOSYN-DNA-dctp_c</v>
      </c>
      <c r="AC34" t="str">
        <v>MET-dctp_c --&gt; MET-ppi_c + 0.288174 BIO-dctp_c</v>
      </c>
    </row>
    <row r="35" spans="1:29" ht="16" x14ac:dyDescent="0.2">
      <c r="A35" s="180" t="s">
        <v>1540</v>
      </c>
      <c r="B35" t="str">
        <f>SUBSTITUTE(_xlfn.TEXTBEFORE(mets2713[[#This Row],[pasted JSON metabolite keys and values from GSM biomass rxn]],":"),CHAR(34),"")</f>
        <v>mettrna_c</v>
      </c>
      <c r="C35" t="str">
        <f>_xlfn.TEXTBEFORE(mets2713[[#This Row],[name]],"_",-1)</f>
        <v>mettrna</v>
      </c>
      <c r="D35" t="str">
        <f>_xlfn.XLOOKUP(mets2713[[#This Row],[name w/o location]],metaboliteInfo[name w/o location],metaboliteInfo[suggested category],"")</f>
        <v>PROT</v>
      </c>
      <c r="E35" s="21">
        <f>IFERROR(_xlfn.XLOOKUP(mets2713[[#This Row],[name w/o location]],metaboliteInfo[name w/o location],metaboliteInfo[MW for biomass normalization (g/mol)],0),0)</f>
        <v>132.20400000000001</v>
      </c>
      <c r="F35">
        <f>_xlfn.NUMBERVALUE(SUBSTITUTE(_xlfn.TEXTAFTER(mets2713[[#This Row],[pasted JSON metabolite keys and values from GSM biomass rxn]],":"),",",""))</f>
        <v>-3.0880000000000001E-2</v>
      </c>
      <c r="G35" s="21" cm="1">
        <f t="array" ref="G35">_xlfn.LET(_xlpm.id,mets2713[[#This Row],[name w/o location]],IF(IsElementOfSet_DIY(_xlpm.id,{"atp","adp","h","pi","h2o"}),SIGN(mets2713[[#This Row],[raw (GSM) coefficient]])*(ABS(mets2713[[#This Row],[raw (GSM) coefficient]])-$J$2),mets2713[[#This Row],[raw (GSM) coefficient]]))</f>
        <v>-3.0880000000000001E-2</v>
      </c>
      <c r="H35" s="21">
        <f>mets2713[[#This Row],[coeff. w/o GAM]]</f>
        <v>-3.0880000000000001E-2</v>
      </c>
      <c r="I35" s="161">
        <f t="shared" si="0"/>
        <v>-3.0011967674680114E-2</v>
      </c>
      <c r="J35" s="21" cm="1">
        <f t="array" ref="J35">_xlfn.LET(_xlpm.id,mets2713[[#This Row],[name w/o location]],_xlpm.oldcoeff,mets2713[[#This Row],[normalized coeffs]],_xlpm.gam,$J$2-$G$2,_xlfn.IFS(IFERROR(MATCH(_xlpm.id,{"atp","h2o"},0),0)&gt;0,_xlpm.oldcoeff-_xlpm.gam,IFERROR(MATCH(_xlpm.id,{"adp","h","pi"},0),0)&gt;0,_xlpm.oldcoeff+_xlpm.gam,TRUE,_xlpm.oldcoeff))</f>
        <v>-3.0011967674680114E-2</v>
      </c>
      <c r="K35" t="str" cm="1">
        <f t="array" ref="K35">"BIOSYN-"&amp;_xlfn.IFS(IFERROR(MATCH(mets2713[[#This Row],[category]],{0,"0",""},0),0)&gt;0,mets2713[[#This Row],[name]],TRUE,mets2713[[#This Row],[category]]&amp;"-"&amp;mets2713[[#This Row],[name]])</f>
        <v>BIOSYN-PROT-mettrna_c</v>
      </c>
      <c r="L35" s="149" t="str" cm="1">
        <f t="array" ref="L35">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5" s="149" cm="1">
        <f t="array" ref="M35">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-3.0622924770739871E-2</v>
      </c>
      <c r="N35" s="149"/>
      <c r="O35" s="149"/>
      <c r="P35" s="149"/>
      <c r="Q35" s="149"/>
      <c r="R35" s="149"/>
      <c r="S35" s="149"/>
      <c r="T35" s="149"/>
      <c r="U35" s="149"/>
      <c r="V35" s="149"/>
      <c r="AB35" t="str">
        <v>BIOSYN-DNA-dgtp_c</v>
      </c>
      <c r="AC35" t="str">
        <v>MET-dgtp_c --&gt; MET-ppi_c + 0.328198 BIO-dgtp_c</v>
      </c>
    </row>
    <row r="36" spans="1:29" ht="16" x14ac:dyDescent="0.2">
      <c r="A36" s="180" t="s">
        <v>1541</v>
      </c>
      <c r="B36" t="str">
        <f>SUBSTITUTE(_xlfn.TEXTBEFORE(mets2713[[#This Row],[pasted JSON metabolite keys and values from GSM biomass rxn]],":"),CHAR(34),"")</f>
        <v>phetrna_c</v>
      </c>
      <c r="C36" t="str">
        <f>_xlfn.TEXTBEFORE(mets2713[[#This Row],[name]],"_",-1)</f>
        <v>phetrna</v>
      </c>
      <c r="D36" t="str">
        <f>_xlfn.XLOOKUP(mets2713[[#This Row],[name w/o location]],metaboliteInfo[name w/o location],metaboliteInfo[suggested category],"")</f>
        <v>PROT</v>
      </c>
      <c r="E36" s="21">
        <f>IFERROR(_xlfn.XLOOKUP(mets2713[[#This Row],[name w/o location]],metaboliteInfo[name w/o location],metaboliteInfo[MW for biomass normalization (g/mol)],0),0)</f>
        <v>148.18180000000001</v>
      </c>
      <c r="F36">
        <f>_xlfn.NUMBERVALUE(SUBSTITUTE(_xlfn.TEXTAFTER(mets2713[[#This Row],[pasted JSON metabolite keys and values from GSM biomass rxn]],":"),",",""))</f>
        <v>-6.2094000000000003E-2</v>
      </c>
      <c r="G36" s="21" cm="1">
        <f t="array" ref="G36">_xlfn.LET(_xlpm.id,mets2713[[#This Row],[name w/o location]],IF(IsElementOfSet_DIY(_xlpm.id,{"atp","adp","h","pi","h2o"}),SIGN(mets2713[[#This Row],[raw (GSM) coefficient]])*(ABS(mets2713[[#This Row],[raw (GSM) coefficient]])-$J$2),mets2713[[#This Row],[raw (GSM) coefficient]]))</f>
        <v>-6.2094000000000003E-2</v>
      </c>
      <c r="H36" s="21">
        <f>mets2713[[#This Row],[coeff. w/o GAM]]</f>
        <v>-6.2094000000000003E-2</v>
      </c>
      <c r="I36" s="161">
        <f t="shared" si="0"/>
        <v>-6.0348546657758649E-2</v>
      </c>
      <c r="J36" s="21" cm="1">
        <f t="array" ref="J36">_xlfn.LET(_xlpm.id,mets2713[[#This Row],[name w/o location]],_xlpm.oldcoeff,mets2713[[#This Row],[normalized coeffs]],_xlpm.gam,$J$2-$G$2,_xlfn.IFS(IFERROR(MATCH(_xlpm.id,{"atp","h2o"},0),0)&gt;0,_xlpm.oldcoeff-_xlpm.gam,IFERROR(MATCH(_xlpm.id,{"adp","h","pi"},0),0)&gt;0,_xlpm.oldcoeff+_xlpm.gam,TRUE,_xlpm.oldcoeff))</f>
        <v>-6.0348546657758649E-2</v>
      </c>
      <c r="K36" t="str" cm="1">
        <f t="array" ref="K36">"BIOSYN-"&amp;_xlfn.IFS(IFERROR(MATCH(mets2713[[#This Row],[category]],{0,"0",""},0),0)&gt;0,mets2713[[#This Row],[name]],TRUE,mets2713[[#This Row],[category]]&amp;"-"&amp;mets2713[[#This Row],[name]])</f>
        <v>BIOSYN-PROT-phetrna_c</v>
      </c>
      <c r="L36" s="149" t="str" cm="1">
        <f t="array" ref="L36">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6" s="149" cm="1">
        <f t="array" ref="M3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-6.1577068999816111E-2</v>
      </c>
      <c r="N36" s="149"/>
      <c r="O36" s="149"/>
      <c r="P36" s="149"/>
      <c r="Q36" s="149"/>
      <c r="R36" s="149"/>
      <c r="S36" s="149"/>
      <c r="T36" s="149"/>
      <c r="U36" s="149"/>
      <c r="V36" s="149"/>
      <c r="AB36" t="str">
        <v>BIOSYN-DNA-dttp_c</v>
      </c>
      <c r="AC36" t="str">
        <v>MET-dttp_c --&gt; MET-ppi_c + 0.303185 BIO-dttp_c</v>
      </c>
    </row>
    <row r="37" spans="1:29" ht="16" x14ac:dyDescent="0.2">
      <c r="A37" s="180" t="s">
        <v>1542</v>
      </c>
      <c r="B37" t="str">
        <f>SUBSTITUTE(_xlfn.TEXTBEFORE(mets2713[[#This Row],[pasted JSON metabolite keys and values from GSM biomass rxn]],":"),CHAR(34),"")</f>
        <v>protrna_c</v>
      </c>
      <c r="C37" t="str">
        <f>_xlfn.TEXTBEFORE(mets2713[[#This Row],[name]],"_",-1)</f>
        <v>protrna</v>
      </c>
      <c r="D37" t="str">
        <f>_xlfn.XLOOKUP(mets2713[[#This Row],[name w/o location]],metaboliteInfo[name w/o location],metaboliteInfo[suggested category],"")</f>
        <v>PROT</v>
      </c>
      <c r="E37" s="21">
        <f>IFERROR(_xlfn.XLOOKUP(mets2713[[#This Row],[name w/o location]],metaboliteInfo[name w/o location],metaboliteInfo[MW for biomass normalization (g/mol)],0),0)</f>
        <v>97.115179999999995</v>
      </c>
      <c r="F37">
        <f>_xlfn.NUMBERVALUE(SUBSTITUTE(_xlfn.TEXTAFTER(mets2713[[#This Row],[pasted JSON metabolite keys and values from GSM biomass rxn]],":"),",",""))</f>
        <v>-0.13317000000000001</v>
      </c>
      <c r="G37" s="21" cm="1">
        <f t="array" ref="G37">_xlfn.LET(_xlpm.id,mets2713[[#This Row],[name w/o location]],IF(IsElementOfSet_DIY(_xlpm.id,{"atp","adp","h","pi","h2o"}),SIGN(mets2713[[#This Row],[raw (GSM) coefficient]])*(ABS(mets2713[[#This Row],[raw (GSM) coefficient]])-$J$2),mets2713[[#This Row],[raw (GSM) coefficient]]))</f>
        <v>-0.13317000000000001</v>
      </c>
      <c r="H37" s="21">
        <f>mets2713[[#This Row],[coeff. w/o GAM]]</f>
        <v>-0.13317000000000001</v>
      </c>
      <c r="I37" s="161">
        <f t="shared" si="0"/>
        <v>-0.12942661059705801</v>
      </c>
      <c r="J37" s="21" cm="1">
        <f t="array" ref="J37">_xlfn.LET(_xlpm.id,mets2713[[#This Row],[name w/o location]],_xlpm.oldcoeff,mets2713[[#This Row],[normalized coeffs]],_xlpm.gam,$J$2-$G$2,_xlfn.IFS(IFERROR(MATCH(_xlpm.id,{"atp","h2o"},0),0)&gt;0,_xlpm.oldcoeff-_xlpm.gam,IFERROR(MATCH(_xlpm.id,{"adp","h","pi"},0),0)&gt;0,_xlpm.oldcoeff+_xlpm.gam,TRUE,_xlpm.oldcoeff))</f>
        <v>-0.12942661059705801</v>
      </c>
      <c r="K37" t="str" cm="1">
        <f t="array" ref="K37">"BIOSYN-"&amp;_xlfn.IFS(IFERROR(MATCH(mets2713[[#This Row],[category]],{0,"0",""},0),0)&gt;0,mets2713[[#This Row],[name]],TRUE,mets2713[[#This Row],[category]]&amp;"-"&amp;mets2713[[#This Row],[name]])</f>
        <v>BIOSYN-PROT-protrna_c</v>
      </c>
      <c r="L37" s="149" t="str" cm="1">
        <f t="array" ref="L37">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7" s="149" cm="1">
        <f t="array" ref="M3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-0.13206136307381572</v>
      </c>
      <c r="N37" s="149"/>
      <c r="O37" s="149"/>
      <c r="P37" s="149"/>
      <c r="Q37" s="149"/>
      <c r="R37" s="149"/>
      <c r="S37" s="149"/>
      <c r="T37" s="149"/>
      <c r="U37" s="149"/>
      <c r="V37" s="149"/>
      <c r="AB37" t="str">
        <v>BIOSYN-LIPID-1mag_m</v>
      </c>
      <c r="AC37" t="str">
        <v>MET-1mag_m --&gt; 0.318086 BIO-1mag_m</v>
      </c>
    </row>
    <row r="38" spans="1:29" ht="16" x14ac:dyDescent="0.2">
      <c r="A38" s="180" t="s">
        <v>1543</v>
      </c>
      <c r="B38" t="str">
        <f>SUBSTITUTE(_xlfn.TEXTBEFORE(mets2713[[#This Row],[pasted JSON metabolite keys and values from GSM biomass rxn]],":"),CHAR(34),"")</f>
        <v>sertrna_c</v>
      </c>
      <c r="C38" t="str">
        <f>_xlfn.TEXTBEFORE(mets2713[[#This Row],[name]],"_",-1)</f>
        <v>sertrna</v>
      </c>
      <c r="D38" t="str">
        <f>_xlfn.XLOOKUP(mets2713[[#This Row],[name w/o location]],metaboliteInfo[name w/o location],metaboliteInfo[suggested category],"")</f>
        <v>PROT</v>
      </c>
      <c r="E38" s="21">
        <f>IFERROR(_xlfn.XLOOKUP(mets2713[[#This Row],[name w/o location]],metaboliteInfo[name w/o location],metaboliteInfo[MW for biomass normalization (g/mol)],0),0)</f>
        <v>88.085239999999999</v>
      </c>
      <c r="F38">
        <f>_xlfn.NUMBERVALUE(SUBSTITUTE(_xlfn.TEXTAFTER(mets2713[[#This Row],[pasted JSON metabolite keys and values from GSM biomass rxn]],":"),",",""))</f>
        <v>-0.16808999999999999</v>
      </c>
      <c r="G38" s="21" cm="1">
        <f t="array" ref="G38">_xlfn.LET(_xlpm.id,mets2713[[#This Row],[name w/o location]],IF(IsElementOfSet_DIY(_xlpm.id,{"atp","adp","h","pi","h2o"}),SIGN(mets2713[[#This Row],[raw (GSM) coefficient]])*(ABS(mets2713[[#This Row],[raw (GSM) coefficient]])-$J$2),mets2713[[#This Row],[raw (GSM) coefficient]]))</f>
        <v>-0.16808999999999999</v>
      </c>
      <c r="H38" s="21">
        <f>mets2713[[#This Row],[coeff. w/o GAM]]</f>
        <v>-0.16808999999999999</v>
      </c>
      <c r="I38" s="161">
        <f t="shared" ref="I38:I69" si="3">H38/($H$3)</f>
        <v>-0.16336501445715609</v>
      </c>
      <c r="J38" s="21" cm="1">
        <f t="array" ref="J38">_xlfn.LET(_xlpm.id,mets2713[[#This Row],[name w/o location]],_xlpm.oldcoeff,mets2713[[#This Row],[normalized coeffs]],_xlpm.gam,$J$2-$G$2,_xlfn.IFS(IFERROR(MATCH(_xlpm.id,{"atp","h2o"},0),0)&gt;0,_xlpm.oldcoeff-_xlpm.gam,IFERROR(MATCH(_xlpm.id,{"adp","h","pi"},0),0)&gt;0,_xlpm.oldcoeff+_xlpm.gam,TRUE,_xlpm.oldcoeff))</f>
        <v>-0.16336501445715609</v>
      </c>
      <c r="K38" t="str" cm="1">
        <f t="array" ref="K38">"BIOSYN-"&amp;_xlfn.IFS(IFERROR(MATCH(mets2713[[#This Row],[category]],{0,"0",""},0),0)&gt;0,mets2713[[#This Row],[name]],TRUE,mets2713[[#This Row],[category]]&amp;"-"&amp;mets2713[[#This Row],[name]])</f>
        <v>BIOSYN-PROT-sertrna_c</v>
      </c>
      <c r="L38" s="149" t="str" cm="1">
        <f t="array" ref="L38">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8" s="149" cm="1">
        <f t="array" ref="M3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-0.1666906549453907</v>
      </c>
      <c r="N38" s="149"/>
      <c r="O38" s="149"/>
      <c r="P38" s="149"/>
      <c r="Q38" s="149"/>
      <c r="R38" s="149"/>
      <c r="S38" s="149"/>
      <c r="T38" s="149"/>
      <c r="U38" s="149"/>
      <c r="V38" s="149"/>
      <c r="AB38" t="str">
        <v>BIOSYN-LIPID-clpn_mm</v>
      </c>
      <c r="AC38" t="str">
        <v>MET-clpn_mm --&gt; 144.97099 BIO-clpn_mm</v>
      </c>
    </row>
    <row r="39" spans="1:29" ht="16" x14ac:dyDescent="0.2">
      <c r="A39" s="180" t="s">
        <v>1544</v>
      </c>
      <c r="B39" t="str">
        <f>SUBSTITUTE(_xlfn.TEXTBEFORE(mets2713[[#This Row],[pasted JSON metabolite keys and values from GSM biomass rxn]],":"),CHAR(34),"")</f>
        <v>thrtrna_c</v>
      </c>
      <c r="C39" t="str">
        <f>_xlfn.TEXTBEFORE(mets2713[[#This Row],[name]],"_",-1)</f>
        <v>thrtrna</v>
      </c>
      <c r="D39" t="str">
        <f>_xlfn.XLOOKUP(mets2713[[#This Row],[name w/o location]],metaboliteInfo[name w/o location],metaboliteInfo[suggested category],"")</f>
        <v>PROT</v>
      </c>
      <c r="E39" s="21">
        <f>IFERROR(_xlfn.XLOOKUP(mets2713[[#This Row],[name w/o location]],metaboliteInfo[name w/o location],metaboliteInfo[MW for biomass normalization (g/mol)],0),0)</f>
        <v>102.11181999999999</v>
      </c>
      <c r="F39">
        <f>_xlfn.NUMBERVALUE(SUBSTITUTE(_xlfn.TEXTAFTER(mets2713[[#This Row],[pasted JSON metabolite keys and values from GSM biomass rxn]],":"),",",""))</f>
        <v>-0.1057</v>
      </c>
      <c r="G39" s="21" cm="1">
        <f t="array" ref="G39">_xlfn.LET(_xlpm.id,mets2713[[#This Row],[name w/o location]],IF(IsElementOfSet_DIY(_xlpm.id,{"atp","adp","h","pi","h2o"}),SIGN(mets2713[[#This Row],[raw (GSM) coefficient]])*(ABS(mets2713[[#This Row],[raw (GSM) coefficient]])-$J$2),mets2713[[#This Row],[raw (GSM) coefficient]]))</f>
        <v>-0.1057</v>
      </c>
      <c r="H39" s="21">
        <f>mets2713[[#This Row],[coeff. w/o GAM]]</f>
        <v>-0.1057</v>
      </c>
      <c r="I39" s="161">
        <f t="shared" si="3"/>
        <v>-0.10272878831650545</v>
      </c>
      <c r="J39" s="21" cm="1">
        <f t="array" ref="J39">_xlfn.LET(_xlpm.id,mets2713[[#This Row],[name w/o location]],_xlpm.oldcoeff,mets2713[[#This Row],[normalized coeffs]],_xlpm.gam,$J$2-$G$2,_xlfn.IFS(IFERROR(MATCH(_xlpm.id,{"atp","h2o"},0),0)&gt;0,_xlpm.oldcoeff-_xlpm.gam,IFERROR(MATCH(_xlpm.id,{"adp","h","pi"},0),0)&gt;0,_xlpm.oldcoeff+_xlpm.gam,TRUE,_xlpm.oldcoeff))</f>
        <v>-0.10272878831650545</v>
      </c>
      <c r="K39" t="str" cm="1">
        <f t="array" ref="K39">"BIOSYN-"&amp;_xlfn.IFS(IFERROR(MATCH(mets2713[[#This Row],[category]],{0,"0",""},0),0)&gt;0,mets2713[[#This Row],[name]],TRUE,mets2713[[#This Row],[category]]&amp;"-"&amp;mets2713[[#This Row],[name]])</f>
        <v>BIOSYN-PROT-thrtrna_c</v>
      </c>
      <c r="L39" s="149" t="str" cm="1">
        <f t="array" ref="L39">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39" s="149" cm="1">
        <f t="array" ref="M3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-0.10482005013818667</v>
      </c>
      <c r="N39" s="149"/>
      <c r="O39" s="149"/>
      <c r="P39" s="149"/>
      <c r="Q39" s="149"/>
      <c r="R39" s="149"/>
      <c r="S39" s="149"/>
      <c r="T39" s="149"/>
      <c r="U39" s="149"/>
      <c r="V39" s="149"/>
      <c r="AB39" t="str">
        <v>BIOSYN-LIPID-dag_c</v>
      </c>
      <c r="AC39" t="str">
        <v>MET-dag_c --&gt; 0.317078 BIO-dag_c</v>
      </c>
    </row>
    <row r="40" spans="1:29" ht="16" x14ac:dyDescent="0.2">
      <c r="A40" s="180" t="s">
        <v>1545</v>
      </c>
      <c r="B40" t="str">
        <f>SUBSTITUTE(_xlfn.TEXTBEFORE(mets2713[[#This Row],[pasted JSON metabolite keys and values from GSM biomass rxn]],":"),CHAR(34),"")</f>
        <v>trptrna_c</v>
      </c>
      <c r="C40" t="str">
        <f>_xlfn.TEXTBEFORE(mets2713[[#This Row],[name]],"_",-1)</f>
        <v>trptrna</v>
      </c>
      <c r="D40" t="str">
        <f>_xlfn.XLOOKUP(mets2713[[#This Row],[name w/o location]],metaboliteInfo[name w/o location],metaboliteInfo[suggested category],"")</f>
        <v>PROT</v>
      </c>
      <c r="E40" s="21">
        <f>IFERROR(_xlfn.XLOOKUP(mets2713[[#This Row],[name w/o location]],metaboliteInfo[name w/o location],metaboliteInfo[MW for biomass normalization (g/mol)],0),0)</f>
        <v>187.21784</v>
      </c>
      <c r="F40">
        <f>_xlfn.NUMBERVALUE(SUBSTITUTE(_xlfn.TEXTAFTER(mets2713[[#This Row],[pasted JSON metabolite keys and values from GSM biomass rxn]],":"),",",""))</f>
        <v>-2.3816E-2</v>
      </c>
      <c r="G40" s="21" cm="1">
        <f t="array" ref="G40">_xlfn.LET(_xlpm.id,mets2713[[#This Row],[name w/o location]],IF(IsElementOfSet_DIY(_xlpm.id,{"atp","adp","h","pi","h2o"}),SIGN(mets2713[[#This Row],[raw (GSM) coefficient]])*(ABS(mets2713[[#This Row],[raw (GSM) coefficient]])-$J$2),mets2713[[#This Row],[raw (GSM) coefficient]]))</f>
        <v>-2.3816E-2</v>
      </c>
      <c r="H40" s="21">
        <f>mets2713[[#This Row],[coeff. w/o GAM]]</f>
        <v>-2.3816E-2</v>
      </c>
      <c r="I40" s="161">
        <f t="shared" si="3"/>
        <v>-2.3146535691068056E-2</v>
      </c>
      <c r="J40" s="21" cm="1">
        <f t="array" ref="J40">_xlfn.LET(_xlpm.id,mets2713[[#This Row],[name w/o location]],_xlpm.oldcoeff,mets2713[[#This Row],[normalized coeffs]],_xlpm.gam,$J$2-$G$2,_xlfn.IFS(IFERROR(MATCH(_xlpm.id,{"atp","h2o"},0),0)&gt;0,_xlpm.oldcoeff-_xlpm.gam,IFERROR(MATCH(_xlpm.id,{"adp","h","pi"},0),0)&gt;0,_xlpm.oldcoeff+_xlpm.gam,TRUE,_xlpm.oldcoeff))</f>
        <v>-2.3146535691068056E-2</v>
      </c>
      <c r="K40" t="str" cm="1">
        <f t="array" ref="K40">"BIOSYN-"&amp;_xlfn.IFS(IFERROR(MATCH(mets2713[[#This Row],[category]],{0,"0",""},0),0)&gt;0,mets2713[[#This Row],[name]],TRUE,mets2713[[#This Row],[category]]&amp;"-"&amp;mets2713[[#This Row],[name]])</f>
        <v>BIOSYN-PROT-trptrna_c</v>
      </c>
      <c r="L40" s="149" t="str" cm="1">
        <f t="array" ref="L40">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0" s="149" cm="1">
        <f t="array" ref="M4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-2.3617732394428131E-2</v>
      </c>
      <c r="N40" s="149"/>
      <c r="O40" s="149"/>
      <c r="P40" s="149"/>
      <c r="Q40" s="149"/>
      <c r="R40" s="149"/>
      <c r="S40" s="149"/>
      <c r="T40" s="149"/>
      <c r="U40" s="149"/>
      <c r="V40" s="149"/>
      <c r="AB40" t="str">
        <v>BIOSYN-LIPID-ergst_c</v>
      </c>
      <c r="AC40" t="str">
        <v>MET-ergst_c --&gt; 0.396648 BIO-ergst_c</v>
      </c>
    </row>
    <row r="41" spans="1:29" ht="16" x14ac:dyDescent="0.2">
      <c r="A41" s="180" t="s">
        <v>1546</v>
      </c>
      <c r="B41" t="str">
        <f>SUBSTITUTE(_xlfn.TEXTBEFORE(mets2713[[#This Row],[pasted JSON metabolite keys and values from GSM biomass rxn]],":"),CHAR(34),"")</f>
        <v>tyrtrna_c</v>
      </c>
      <c r="C41" t="str">
        <f>_xlfn.TEXTBEFORE(mets2713[[#This Row],[name]],"_",-1)</f>
        <v>tyrtrna</v>
      </c>
      <c r="D41" t="str">
        <f>_xlfn.XLOOKUP(mets2713[[#This Row],[name w/o location]],metaboliteInfo[name w/o location],metaboliteInfo[suggested category],"")</f>
        <v>PROT</v>
      </c>
      <c r="E41" s="21">
        <f>IFERROR(_xlfn.XLOOKUP(mets2713[[#This Row],[name w/o location]],metaboliteInfo[name w/o location],metaboliteInfo[MW for biomass normalization (g/mol)],0),0)</f>
        <v>164.18119999999999</v>
      </c>
      <c r="F41">
        <f>_xlfn.NUMBERVALUE(SUBSTITUTE(_xlfn.TEXTAFTER(mets2713[[#This Row],[pasted JSON metabolite keys and values from GSM biomass rxn]],":"),",",""))</f>
        <v>-4.1565999999999999E-2</v>
      </c>
      <c r="G41" s="21" cm="1">
        <f t="array" ref="G41">_xlfn.LET(_xlpm.id,mets2713[[#This Row],[name w/o location]],IF(IsElementOfSet_DIY(_xlpm.id,{"atp","adp","h","pi","h2o"}),SIGN(mets2713[[#This Row],[raw (GSM) coefficient]])*(ABS(mets2713[[#This Row],[raw (GSM) coefficient]])-$J$2),mets2713[[#This Row],[raw (GSM) coefficient]]))</f>
        <v>-4.1565999999999999E-2</v>
      </c>
      <c r="H41" s="21">
        <f>mets2713[[#This Row],[coeff. w/o GAM]]</f>
        <v>-4.1565999999999999E-2</v>
      </c>
      <c r="I41" s="161">
        <f t="shared" si="3"/>
        <v>-4.039758576313969E-2</v>
      </c>
      <c r="J41" s="21" cm="1">
        <f t="array" ref="J41">_xlfn.LET(_xlpm.id,mets2713[[#This Row],[name w/o location]],_xlpm.oldcoeff,mets2713[[#This Row],[normalized coeffs]],_xlpm.gam,$J$2-$G$2,_xlfn.IFS(IFERROR(MATCH(_xlpm.id,{"atp","h2o"},0),0)&gt;0,_xlpm.oldcoeff-_xlpm.gam,IFERROR(MATCH(_xlpm.id,{"adp","h","pi"},0),0)&gt;0,_xlpm.oldcoeff+_xlpm.gam,TRUE,_xlpm.oldcoeff))</f>
        <v>-4.039758576313969E-2</v>
      </c>
      <c r="K41" t="str" cm="1">
        <f t="array" ref="K41">"BIOSYN-"&amp;_xlfn.IFS(IFERROR(MATCH(mets2713[[#This Row],[category]],{0,"0",""},0),0)&gt;0,mets2713[[#This Row],[name]],TRUE,mets2713[[#This Row],[category]]&amp;"-"&amp;mets2713[[#This Row],[name]])</f>
        <v>BIOSYN-PROT-tyrtrna_c</v>
      </c>
      <c r="L41" s="149" t="str" cm="1">
        <f t="array" ref="L41">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1" s="149" cm="1">
        <f t="array" ref="M4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-4.1219964087453806E-2</v>
      </c>
      <c r="N41" s="149"/>
      <c r="O41" s="149"/>
      <c r="P41" s="149"/>
      <c r="Q41" s="149"/>
      <c r="R41" s="149"/>
      <c r="S41" s="149"/>
      <c r="T41" s="149"/>
      <c r="U41" s="149"/>
      <c r="V41" s="149"/>
      <c r="AB41" t="str">
        <v>BIOSYN-LIPID-hdca_c</v>
      </c>
      <c r="AC41" t="str">
        <v>MET-hdca_c --&gt; 0.255415 BIO-hdca_c</v>
      </c>
    </row>
    <row r="42" spans="1:29" ht="16" x14ac:dyDescent="0.2">
      <c r="A42" s="180" t="s">
        <v>1547</v>
      </c>
      <c r="B42" t="str">
        <f>SUBSTITUTE(_xlfn.TEXTBEFORE(mets2713[[#This Row],[pasted JSON metabolite keys and values from GSM biomass rxn]],":"),CHAR(34),"")</f>
        <v>valtrna_c</v>
      </c>
      <c r="C42" t="str">
        <f>_xlfn.TEXTBEFORE(mets2713[[#This Row],[name]],"_",-1)</f>
        <v>valtrna</v>
      </c>
      <c r="D42" t="str">
        <f>_xlfn.XLOOKUP(mets2713[[#This Row],[name w/o location]],metaboliteInfo[name w/o location],metaboliteInfo[suggested category],"")</f>
        <v>PROT</v>
      </c>
      <c r="E42" s="21">
        <f>IFERROR(_xlfn.XLOOKUP(mets2713[[#This Row],[name w/o location]],metaboliteInfo[name w/o location],metaboliteInfo[MW for biomass normalization (g/mol)],0),0)</f>
        <v>100.139</v>
      </c>
      <c r="F42">
        <f>_xlfn.NUMBERVALUE(SUBSTITUTE(_xlfn.TEXTAFTER(mets2713[[#This Row],[pasted JSON metabolite keys and values from GSM biomass rxn]],":"),",",""))</f>
        <v>-0.11452</v>
      </c>
      <c r="G42" s="21" cm="1">
        <f t="array" ref="G42">_xlfn.LET(_xlpm.id,mets2713[[#This Row],[name w/o location]],IF(IsElementOfSet_DIY(_xlpm.id,{"atp","adp","h","pi","h2o"}),SIGN(mets2713[[#This Row],[raw (GSM) coefficient]])*(ABS(mets2713[[#This Row],[raw (GSM) coefficient]])-$J$2),mets2713[[#This Row],[raw (GSM) coefficient]]))</f>
        <v>-0.11452</v>
      </c>
      <c r="H42" s="21">
        <f>mets2713[[#This Row],[coeff. w/o GAM]]</f>
        <v>-0.11452</v>
      </c>
      <c r="I42" s="161">
        <f t="shared" si="3"/>
        <v>-0.11130085939457145</v>
      </c>
      <c r="J42" s="21" cm="1">
        <f t="array" ref="J42">_xlfn.LET(_xlpm.id,mets2713[[#This Row],[name w/o location]],_xlpm.oldcoeff,mets2713[[#This Row],[normalized coeffs]],_xlpm.gam,$J$2-$G$2,_xlfn.IFS(IFERROR(MATCH(_xlpm.id,{"atp","h2o"},0),0)&gt;0,_xlpm.oldcoeff-_xlpm.gam,IFERROR(MATCH(_xlpm.id,{"adp","h","pi"},0),0)&gt;0,_xlpm.oldcoeff+_xlpm.gam,TRUE,_xlpm.oldcoeff))</f>
        <v>-0.11130085939457145</v>
      </c>
      <c r="K42" t="str" cm="1">
        <f t="array" ref="K42">"BIOSYN-"&amp;_xlfn.IFS(IFERROR(MATCH(mets2713[[#This Row],[category]],{0,"0",""},0),0)&gt;0,mets2713[[#This Row],[name]],TRUE,mets2713[[#This Row],[category]]&amp;"-"&amp;mets2713[[#This Row],[name]])</f>
        <v>BIOSYN-PROT-valtrna_c</v>
      </c>
      <c r="L42" s="149" t="str" cm="1">
        <f t="array" ref="L42">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2" s="149" cm="1">
        <f t="array" ref="M4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-0.11356662385832673</v>
      </c>
      <c r="N42" s="149"/>
      <c r="O42" s="149"/>
      <c r="P42" s="149"/>
      <c r="Q42" s="149"/>
      <c r="R42" s="149"/>
      <c r="S42" s="149"/>
      <c r="T42" s="149"/>
      <c r="U42" s="149"/>
      <c r="V42" s="149"/>
      <c r="AB42" t="str">
        <v>BIOSYN-LIPID-linoea_c</v>
      </c>
      <c r="AC42" t="str">
        <v>MET-linoea_c --&gt; 0.279437 BIO-linoea_c</v>
      </c>
    </row>
    <row r="43" spans="1:29" ht="16" x14ac:dyDescent="0.2">
      <c r="A43" s="180" t="s">
        <v>1548</v>
      </c>
      <c r="B43" t="str">
        <f>SUBSTITUTE(_xlfn.TEXTBEFORE(mets2713[[#This Row],[pasted JSON metabolite keys and values from GSM biomass rxn]],":"),CHAR(34),"")</f>
        <v>trnaala_c</v>
      </c>
      <c r="C43" t="str">
        <f>_xlfn.TEXTBEFORE(mets2713[[#This Row],[name]],"_",-1)</f>
        <v>trnaala</v>
      </c>
      <c r="D43" t="str">
        <f>_xlfn.XLOOKUP(mets2713[[#This Row],[name w/o location]],metaboliteInfo[name w/o location],metaboliteInfo[suggested category],"")</f>
        <v>ignore</v>
      </c>
      <c r="E43" s="21">
        <f>IFERROR(_xlfn.XLOOKUP(mets2713[[#This Row],[name w/o location]],metaboliteInfo[name w/o location],metaboliteInfo[MW for biomass normalization (g/mol)],0),0)</f>
        <v>0</v>
      </c>
      <c r="F43">
        <f>_xlfn.NUMBERVALUE(SUBSTITUTE(_xlfn.TEXTAFTER(mets2713[[#This Row],[pasted JSON metabolite keys and values from GSM biomass rxn]],":"),",",""))</f>
        <v>0.1986</v>
      </c>
      <c r="G43" s="21" cm="1">
        <f t="array" ref="G43">_xlfn.LET(_xlpm.id,mets2713[[#This Row],[name w/o location]],IF(IsElementOfSet_DIY(_xlpm.id,{"atp","adp","h","pi","h2o"}),SIGN(mets2713[[#This Row],[raw (GSM) coefficient]])*(ABS(mets2713[[#This Row],[raw (GSM) coefficient]])-$J$2),mets2713[[#This Row],[raw (GSM) coefficient]]))</f>
        <v>0.1986</v>
      </c>
      <c r="H43" s="21">
        <f>mets2713[[#This Row],[coeff. w/o GAM]]</f>
        <v>0.1986</v>
      </c>
      <c r="I43" s="161">
        <f t="shared" si="3"/>
        <v>0.1930173827782212</v>
      </c>
      <c r="J43" s="21" cm="1">
        <f t="array" ref="J43">_xlfn.LET(_xlpm.id,mets2713[[#This Row],[name w/o location]],_xlpm.oldcoeff,mets2713[[#This Row],[normalized coeffs]],_xlpm.gam,$J$2-$G$2,_xlfn.IFS(IFERROR(MATCH(_xlpm.id,{"atp","h2o"},0),0)&gt;0,_xlpm.oldcoeff-_xlpm.gam,IFERROR(MATCH(_xlpm.id,{"adp","h","pi"},0),0)&gt;0,_xlpm.oldcoeff+_xlpm.gam,TRUE,_xlpm.oldcoeff))</f>
        <v>0.1930173827782212</v>
      </c>
      <c r="K43" t="str" cm="1">
        <f t="array" ref="K43">"BIOSYN-"&amp;_xlfn.IFS(IFERROR(MATCH(mets2713[[#This Row],[category]],{0,"0",""},0),0)&gt;0,mets2713[[#This Row],[name]],TRUE,mets2713[[#This Row],[category]]&amp;"-"&amp;mets2713[[#This Row],[name]])</f>
        <v>BIOSYN-ignore-trnaala_c</v>
      </c>
      <c r="L43" s="149" t="str" cm="1">
        <f t="array" ref="L43">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3" s="149" cm="1">
        <f t="array" ref="M4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0.19694665995689567</v>
      </c>
      <c r="N43" s="149"/>
      <c r="O43" s="149"/>
      <c r="P43" s="149"/>
      <c r="Q43" s="149"/>
      <c r="R43" s="149"/>
      <c r="S43" s="149"/>
      <c r="T43" s="149"/>
      <c r="U43" s="149"/>
      <c r="V43" s="149"/>
      <c r="AB43" t="str">
        <v>BIOSYN-LIPID-linolen_c</v>
      </c>
      <c r="AC43" t="str">
        <v>MET-linolen_c --&gt; 0.277421 BIO-linolen_c</v>
      </c>
    </row>
    <row r="44" spans="1:29" ht="16" x14ac:dyDescent="0.2">
      <c r="A44" s="180" t="s">
        <v>1549</v>
      </c>
      <c r="B44" t="str">
        <f>SUBSTITUTE(_xlfn.TEXTBEFORE(mets2713[[#This Row],[pasted JSON metabolite keys and values from GSM biomass rxn]],":"),CHAR(34),"")</f>
        <v>trnaarg_c</v>
      </c>
      <c r="C44" t="str">
        <f>_xlfn.TEXTBEFORE(mets2713[[#This Row],[name]],"_",-1)</f>
        <v>trnaarg</v>
      </c>
      <c r="D44" t="str">
        <f>_xlfn.XLOOKUP(mets2713[[#This Row],[name w/o location]],metaboliteInfo[name w/o location],metaboliteInfo[suggested category],"")</f>
        <v>ignore</v>
      </c>
      <c r="E44" s="21">
        <f>IFERROR(_xlfn.XLOOKUP(mets2713[[#This Row],[name w/o location]],metaboliteInfo[name w/o location],metaboliteInfo[MW for biomass normalization (g/mol)],0),0)</f>
        <v>0</v>
      </c>
      <c r="F44">
        <f>_xlfn.NUMBERVALUE(SUBSTITUTE(_xlfn.TEXTAFTER(mets2713[[#This Row],[pasted JSON metabolite keys and values from GSM biomass rxn]],":"),",",""))</f>
        <v>0.12642</v>
      </c>
      <c r="G44" s="21" cm="1">
        <f t="array" ref="G44">_xlfn.LET(_xlpm.id,mets2713[[#This Row],[name w/o location]],IF(IsElementOfSet_DIY(_xlpm.id,{"atp","adp","h","pi","h2o"}),SIGN(mets2713[[#This Row],[raw (GSM) coefficient]])*(ABS(mets2713[[#This Row],[raw (GSM) coefficient]])-$J$2),mets2713[[#This Row],[raw (GSM) coefficient]]))</f>
        <v>0.12642</v>
      </c>
      <c r="H44" s="21">
        <f>mets2713[[#This Row],[coeff. w/o GAM]]</f>
        <v>0.12642</v>
      </c>
      <c r="I44" s="161">
        <f t="shared" si="3"/>
        <v>0.12286635211894624</v>
      </c>
      <c r="J44" s="21" cm="1">
        <f t="array" ref="J44">_xlfn.LET(_xlpm.id,mets2713[[#This Row],[name w/o location]],_xlpm.oldcoeff,mets2713[[#This Row],[normalized coeffs]],_xlpm.gam,$J$2-$G$2,_xlfn.IFS(IFERROR(MATCH(_xlpm.id,{"atp","h2o"},0),0)&gt;0,_xlpm.oldcoeff-_xlpm.gam,IFERROR(MATCH(_xlpm.id,{"adp","h","pi"},0),0)&gt;0,_xlpm.oldcoeff+_xlpm.gam,TRUE,_xlpm.oldcoeff))</f>
        <v>0.12286635211894624</v>
      </c>
      <c r="K44" t="str" cm="1">
        <f t="array" ref="K44">"BIOSYN-"&amp;_xlfn.IFS(IFERROR(MATCH(mets2713[[#This Row],[category]],{0,"0",""},0),0)&gt;0,mets2713[[#This Row],[name]],TRUE,mets2713[[#This Row],[category]]&amp;"-"&amp;mets2713[[#This Row],[name]])</f>
        <v>BIOSYN-ignore-trnaarg_c</v>
      </c>
      <c r="L44" s="149" t="str" cm="1">
        <f t="array" ref="L44">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4" s="149" cm="1">
        <f t="array" ref="M44">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0.12536755665534113</v>
      </c>
      <c r="N44" s="149"/>
      <c r="O44" s="149"/>
      <c r="P44" s="149"/>
      <c r="Q44" s="149"/>
      <c r="R44" s="149"/>
      <c r="S44" s="149"/>
      <c r="T44" s="149"/>
      <c r="U44" s="149"/>
      <c r="V44" s="149"/>
      <c r="AB44" t="str">
        <v>BIOSYN-LIPID-ocdca_c</v>
      </c>
      <c r="AC44" t="str">
        <v>MET-ocdca_c --&gt; 0.283469 BIO-ocdca_c</v>
      </c>
    </row>
    <row r="45" spans="1:29" ht="16" x14ac:dyDescent="0.2">
      <c r="A45" s="180" t="s">
        <v>1550</v>
      </c>
      <c r="B45" t="str">
        <f>SUBSTITUTE(_xlfn.TEXTBEFORE(mets2713[[#This Row],[pasted JSON metabolite keys and values from GSM biomass rxn]],":"),CHAR(34),"")</f>
        <v>trnaasn_c</v>
      </c>
      <c r="C45" t="str">
        <f>_xlfn.TEXTBEFORE(mets2713[[#This Row],[name]],"_",-1)</f>
        <v>trnaasn</v>
      </c>
      <c r="D45" t="str">
        <f>_xlfn.XLOOKUP(mets2713[[#This Row],[name w/o location]],metaboliteInfo[name w/o location],metaboliteInfo[suggested category],"")</f>
        <v>ignore</v>
      </c>
      <c r="E45" s="21">
        <f>IFERROR(_xlfn.XLOOKUP(mets2713[[#This Row],[name w/o location]],metaboliteInfo[name w/o location],metaboliteInfo[MW for biomass normalization (g/mol)],0),0)</f>
        <v>0</v>
      </c>
      <c r="F45">
        <f>_xlfn.NUMBERVALUE(SUBSTITUTE(_xlfn.TEXTAFTER(mets2713[[#This Row],[pasted JSON metabolite keys and values from GSM biomass rxn]],":"),",",""))</f>
        <v>4.6649999999999997E-2</v>
      </c>
      <c r="G45" s="21" cm="1">
        <f t="array" ref="G45">_xlfn.LET(_xlpm.id,mets2713[[#This Row],[name w/o location]],IF(IsElementOfSet_DIY(_xlpm.id,{"atp","adp","h","pi","h2o"}),SIGN(mets2713[[#This Row],[raw (GSM) coefficient]])*(ABS(mets2713[[#This Row],[raw (GSM) coefficient]])-$J$2),mets2713[[#This Row],[raw (GSM) coefficient]]))</f>
        <v>4.6649999999999997E-2</v>
      </c>
      <c r="H45" s="21">
        <f>mets2713[[#This Row],[coeff. w/o GAM]]</f>
        <v>4.6649999999999997E-2</v>
      </c>
      <c r="I45" s="161">
        <f t="shared" si="3"/>
        <v>4.5338675259838965E-2</v>
      </c>
      <c r="J45" s="21" cm="1">
        <f t="array" ref="J45">_xlfn.LET(_xlpm.id,mets2713[[#This Row],[name w/o location]],_xlpm.oldcoeff,mets2713[[#This Row],[normalized coeffs]],_xlpm.gam,$J$2-$G$2,_xlfn.IFS(IFERROR(MATCH(_xlpm.id,{"atp","h2o"},0),0)&gt;0,_xlpm.oldcoeff-_xlpm.gam,IFERROR(MATCH(_xlpm.id,{"adp","h","pi"},0),0)&gt;0,_xlpm.oldcoeff+_xlpm.gam,TRUE,_xlpm.oldcoeff))</f>
        <v>4.5338675259838965E-2</v>
      </c>
      <c r="K45" t="str" cm="1">
        <f t="array" ref="K45">"BIOSYN-"&amp;_xlfn.IFS(IFERROR(MATCH(mets2713[[#This Row],[category]],{0,"0",""},0),0)&gt;0,mets2713[[#This Row],[name]],TRUE,mets2713[[#This Row],[category]]&amp;"-"&amp;mets2713[[#This Row],[name]])</f>
        <v>BIOSYN-ignore-trnaasn_c</v>
      </c>
      <c r="L45" s="149" t="str" cm="1">
        <f t="array" ref="L45">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5" s="149" cm="1">
        <f t="array" ref="M45">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4.6261639914346335E-2</v>
      </c>
      <c r="N45" s="149"/>
      <c r="O45" s="149"/>
      <c r="P45" s="149"/>
      <c r="Q45" s="149"/>
      <c r="R45" s="149"/>
      <c r="S45" s="149"/>
      <c r="T45" s="149"/>
      <c r="U45" s="149"/>
      <c r="V45" s="149"/>
      <c r="AB45" t="str">
        <v>BIOSYN-LIPID-ocdcea_c</v>
      </c>
      <c r="AC45" t="str">
        <v>MET-ocdcea_c --&gt; 0.281453 BIO-ocdcea_c</v>
      </c>
    </row>
    <row r="46" spans="1:29" ht="16" x14ac:dyDescent="0.2">
      <c r="A46" s="180" t="s">
        <v>1551</v>
      </c>
      <c r="B46" t="str">
        <f>SUBSTITUTE(_xlfn.TEXTBEFORE(mets2713[[#This Row],[pasted JSON metabolite keys and values from GSM biomass rxn]],":"),CHAR(34),"")</f>
        <v>trnaasp_c</v>
      </c>
      <c r="C46" t="str">
        <f>_xlfn.TEXTBEFORE(mets2713[[#This Row],[name]],"_",-1)</f>
        <v>trnaasp</v>
      </c>
      <c r="D46" t="str">
        <f>_xlfn.XLOOKUP(mets2713[[#This Row],[name w/o location]],metaboliteInfo[name w/o location],metaboliteInfo[suggested category],"")</f>
        <v>ignore</v>
      </c>
      <c r="E46" s="21">
        <f>IFERROR(_xlfn.XLOOKUP(mets2713[[#This Row],[name w/o location]],metaboliteInfo[name w/o location],metaboliteInfo[MW for biomass normalization (g/mol)],0),0)</f>
        <v>0</v>
      </c>
      <c r="F46">
        <f>_xlfn.NUMBERVALUE(SUBSTITUTE(_xlfn.TEXTAFTER(mets2713[[#This Row],[pasted JSON metabolite keys and values from GSM biomass rxn]],":"),",",""))</f>
        <v>0.1017</v>
      </c>
      <c r="G46" s="21" cm="1">
        <f t="array" ref="G46">_xlfn.LET(_xlpm.id,mets2713[[#This Row],[name w/o location]],IF(IsElementOfSet_DIY(_xlpm.id,{"atp","adp","h","pi","h2o"}),SIGN(mets2713[[#This Row],[raw (GSM) coefficient]])*(ABS(mets2713[[#This Row],[raw (GSM) coefficient]])-$J$2),mets2713[[#This Row],[raw (GSM) coefficient]]))</f>
        <v>0.1017</v>
      </c>
      <c r="H46" s="21">
        <f>mets2713[[#This Row],[coeff. w/o GAM]]</f>
        <v>0.1017</v>
      </c>
      <c r="I46" s="161">
        <f t="shared" si="3"/>
        <v>9.8841227736883669E-2</v>
      </c>
      <c r="J46" s="21" cm="1">
        <f t="array" ref="J46">_xlfn.LET(_xlpm.id,mets2713[[#This Row],[name w/o location]],_xlpm.oldcoeff,mets2713[[#This Row],[normalized coeffs]],_xlpm.gam,$J$2-$G$2,_xlfn.IFS(IFERROR(MATCH(_xlpm.id,{"atp","h2o"},0),0)&gt;0,_xlpm.oldcoeff-_xlpm.gam,IFERROR(MATCH(_xlpm.id,{"adp","h","pi"},0),0)&gt;0,_xlpm.oldcoeff+_xlpm.gam,TRUE,_xlpm.oldcoeff))</f>
        <v>9.8841227736883669E-2</v>
      </c>
      <c r="K46" t="str" cm="1">
        <f t="array" ref="K46">"BIOSYN-"&amp;_xlfn.IFS(IFERROR(MATCH(mets2713[[#This Row],[category]],{0,"0",""},0),0)&gt;0,mets2713[[#This Row],[name]],TRUE,mets2713[[#This Row],[category]]&amp;"-"&amp;mets2713[[#This Row],[name]])</f>
        <v>BIOSYN-ignore-trnaasp_c</v>
      </c>
      <c r="L46" s="149" t="str" cm="1">
        <f t="array" ref="L46">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6" s="149" cm="1">
        <f t="array" ref="M4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0.1008533500383499</v>
      </c>
      <c r="N46" s="149"/>
      <c r="O46" s="149"/>
      <c r="P46" s="149"/>
      <c r="Q46" s="149"/>
      <c r="R46" s="149"/>
      <c r="S46" s="149"/>
      <c r="T46" s="149"/>
      <c r="U46" s="149"/>
      <c r="V46" s="149"/>
      <c r="AB46" t="str">
        <v>BIOSYN-LIPID-pail_c</v>
      </c>
      <c r="AC46" t="str">
        <v>MET-pail_c --&gt; 0.862149 BIO-pail_c</v>
      </c>
    </row>
    <row r="47" spans="1:29" ht="16" x14ac:dyDescent="0.2">
      <c r="A47" s="180" t="s">
        <v>1552</v>
      </c>
      <c r="B47" t="str">
        <f>SUBSTITUTE(_xlfn.TEXTBEFORE(mets2713[[#This Row],[pasted JSON metabolite keys and values from GSM biomass rxn]],":"),CHAR(34),"")</f>
        <v>trnacys_c</v>
      </c>
      <c r="C47" t="str">
        <f>_xlfn.TEXTBEFORE(mets2713[[#This Row],[name]],"_",-1)</f>
        <v>trnacys</v>
      </c>
      <c r="D47" t="str">
        <f>_xlfn.XLOOKUP(mets2713[[#This Row],[name w/o location]],metaboliteInfo[name w/o location],metaboliteInfo[suggested category],"")</f>
        <v>ignore</v>
      </c>
      <c r="E47" s="21">
        <f>IFERROR(_xlfn.XLOOKUP(mets2713[[#This Row],[name w/o location]],metaboliteInfo[name w/o location],metaboliteInfo[MW for biomass normalization (g/mol)],0),0)</f>
        <v>0</v>
      </c>
      <c r="F47">
        <f>_xlfn.NUMBERVALUE(SUBSTITUTE(_xlfn.TEXTAFTER(mets2713[[#This Row],[pasted JSON metabolite keys and values from GSM biomass rxn]],":"),",",""))</f>
        <v>1.8082000000000001E-2</v>
      </c>
      <c r="G47" s="21" cm="1">
        <f t="array" ref="G47">_xlfn.LET(_xlpm.id,mets2713[[#This Row],[name w/o location]],IF(IsElementOfSet_DIY(_xlpm.id,{"atp","adp","h","pi","h2o"}),SIGN(mets2713[[#This Row],[raw (GSM) coefficient]])*(ABS(mets2713[[#This Row],[raw (GSM) coefficient]])-$J$2),mets2713[[#This Row],[raw (GSM) coefficient]]))</f>
        <v>1.8082000000000001E-2</v>
      </c>
      <c r="H47" s="21">
        <f>mets2713[[#This Row],[coeff. w/o GAM]]</f>
        <v>1.8082000000000001E-2</v>
      </c>
      <c r="I47" s="161">
        <f t="shared" si="3"/>
        <v>1.7573717600180241E-2</v>
      </c>
      <c r="J47" s="21" cm="1">
        <f t="array" ref="J47">_xlfn.LET(_xlpm.id,mets2713[[#This Row],[name w/o location]],_xlpm.oldcoeff,mets2713[[#This Row],[normalized coeffs]],_xlpm.gam,$J$2-$G$2,_xlfn.IFS(IFERROR(MATCH(_xlpm.id,{"atp","h2o"},0),0)&gt;0,_xlpm.oldcoeff-_xlpm.gam,IFERROR(MATCH(_xlpm.id,{"adp","h","pi"},0),0)&gt;0,_xlpm.oldcoeff+_xlpm.gam,TRUE,_xlpm.oldcoeff))</f>
        <v>1.7573717600180241E-2</v>
      </c>
      <c r="K47" t="str" cm="1">
        <f t="array" ref="K47">"BIOSYN-"&amp;_xlfn.IFS(IFERROR(MATCH(mets2713[[#This Row],[category]],{0,"0",""},0),0)&gt;0,mets2713[[#This Row],[name]],TRUE,mets2713[[#This Row],[category]]&amp;"-"&amp;mets2713[[#This Row],[name]])</f>
        <v>BIOSYN-ignore-trnacys_c</v>
      </c>
      <c r="L47" s="149" t="str" cm="1">
        <f t="array" ref="L47">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7" s="149" cm="1">
        <f t="array" ref="M4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1.7931467801312124E-2</v>
      </c>
      <c r="N47" s="149"/>
      <c r="O47" s="149"/>
      <c r="P47" s="149"/>
      <c r="Q47" s="149"/>
      <c r="R47" s="149"/>
      <c r="S47" s="149"/>
      <c r="T47" s="149"/>
      <c r="U47" s="149"/>
      <c r="V47" s="149"/>
      <c r="AB47" t="str">
        <v>BIOSYN-LIPID-pc_c</v>
      </c>
      <c r="AC47" t="str">
        <v>MET-pc_c --&gt; 0.786166 BIO-pc_c</v>
      </c>
    </row>
    <row r="48" spans="1:29" ht="16" x14ac:dyDescent="0.2">
      <c r="A48" s="180" t="s">
        <v>1553</v>
      </c>
      <c r="B48" t="str">
        <f>SUBSTITUTE(_xlfn.TEXTBEFORE(mets2713[[#This Row],[pasted JSON metabolite keys and values from GSM biomass rxn]],":"),CHAR(34),"")</f>
        <v>trnagln_c</v>
      </c>
      <c r="C48" t="str">
        <f>_xlfn.TEXTBEFORE(mets2713[[#This Row],[name]],"_",-1)</f>
        <v>trnagln</v>
      </c>
      <c r="D48" t="str">
        <f>_xlfn.XLOOKUP(mets2713[[#This Row],[name w/o location]],metaboliteInfo[name w/o location],metaboliteInfo[suggested category],"")</f>
        <v>ignore</v>
      </c>
      <c r="E48" s="21">
        <f>IFERROR(_xlfn.XLOOKUP(mets2713[[#This Row],[name w/o location]],metaboliteInfo[name w/o location],metaboliteInfo[MW for biomass normalization (g/mol)],0),0)</f>
        <v>0</v>
      </c>
      <c r="F48">
        <f>_xlfn.NUMBERVALUE(SUBSTITUTE(_xlfn.TEXTAFTER(mets2713[[#This Row],[pasted JSON metabolite keys and values from GSM biomass rxn]],":"),",",""))</f>
        <v>6.6843E-2</v>
      </c>
      <c r="G48" s="21" cm="1">
        <f t="array" ref="G48">_xlfn.LET(_xlpm.id,mets2713[[#This Row],[name w/o location]],IF(IsElementOfSet_DIY(_xlpm.id,{"atp","adp","h","pi","h2o"}),SIGN(mets2713[[#This Row],[raw (GSM) coefficient]])*(ABS(mets2713[[#This Row],[raw (GSM) coefficient]])-$J$2),mets2713[[#This Row],[raw (GSM) coefficient]]))</f>
        <v>6.6843E-2</v>
      </c>
      <c r="H48" s="21">
        <f>mets2713[[#This Row],[coeff. w/o GAM]]</f>
        <v>6.6843E-2</v>
      </c>
      <c r="I48" s="161">
        <f t="shared" si="3"/>
        <v>6.4964052955914606E-2</v>
      </c>
      <c r="J48" s="21" cm="1">
        <f t="array" ref="J48">_xlfn.LET(_xlpm.id,mets2713[[#This Row],[name w/o location]],_xlpm.oldcoeff,mets2713[[#This Row],[normalized coeffs]],_xlpm.gam,$J$2-$G$2,_xlfn.IFS(IFERROR(MATCH(_xlpm.id,{"atp","h2o"},0),0)&gt;0,_xlpm.oldcoeff-_xlpm.gam,IFERROR(MATCH(_xlpm.id,{"adp","h","pi"},0),0)&gt;0,_xlpm.oldcoeff+_xlpm.gam,TRUE,_xlpm.oldcoeff))</f>
        <v>6.4964052955914606E-2</v>
      </c>
      <c r="K48" t="str" cm="1">
        <f t="array" ref="K48">"BIOSYN-"&amp;_xlfn.IFS(IFERROR(MATCH(mets2713[[#This Row],[category]],{0,"0",""},0),0)&gt;0,mets2713[[#This Row],[name]],TRUE,mets2713[[#This Row],[category]]&amp;"-"&amp;mets2713[[#This Row],[name]])</f>
        <v>BIOSYN-ignore-trnagln_c</v>
      </c>
      <c r="L48" s="149" t="str" cm="1">
        <f t="array" ref="L48">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8" s="149" cm="1">
        <f t="array" ref="M4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6.6286533693347319E-2</v>
      </c>
      <c r="N48" s="149"/>
      <c r="O48" s="149"/>
      <c r="P48" s="149"/>
      <c r="Q48" s="149"/>
      <c r="R48" s="149"/>
      <c r="S48" s="149"/>
      <c r="T48" s="149"/>
      <c r="U48" s="149"/>
      <c r="V48" s="149"/>
      <c r="AB48" t="str">
        <v>BIOSYN-LIPID-pe_c</v>
      </c>
      <c r="AC48" t="str">
        <v>MET-pe_c --&gt; 0.744086 BIO-pe_c</v>
      </c>
    </row>
    <row r="49" spans="1:29" ht="16" x14ac:dyDescent="0.2">
      <c r="A49" s="180" t="s">
        <v>1554</v>
      </c>
      <c r="B49" t="str">
        <f>SUBSTITUTE(_xlfn.TEXTBEFORE(mets2713[[#This Row],[pasted JSON metabolite keys and values from GSM biomass rxn]],":"),CHAR(34),"")</f>
        <v>trnaglu_c</v>
      </c>
      <c r="C49" t="str">
        <f>_xlfn.TEXTBEFORE(mets2713[[#This Row],[name]],"_",-1)</f>
        <v>trnaglu</v>
      </c>
      <c r="D49" t="str">
        <f>_xlfn.XLOOKUP(mets2713[[#This Row],[name w/o location]],metaboliteInfo[name w/o location],metaboliteInfo[suggested category],"")</f>
        <v>ignore</v>
      </c>
      <c r="E49" s="21">
        <f>IFERROR(_xlfn.XLOOKUP(mets2713[[#This Row],[name w/o location]],metaboliteInfo[name w/o location],metaboliteInfo[MW for biomass normalization (g/mol)],0),0)</f>
        <v>0</v>
      </c>
      <c r="F49">
        <f>_xlfn.NUMBERVALUE(SUBSTITUTE(_xlfn.TEXTAFTER(mets2713[[#This Row],[pasted JSON metabolite keys and values from GSM biomass rxn]],":"),",",""))</f>
        <v>0.11823</v>
      </c>
      <c r="G49" s="21" cm="1">
        <f t="array" ref="G49">_xlfn.LET(_xlpm.id,mets2713[[#This Row],[name w/o location]],IF(IsElementOfSet_DIY(_xlpm.id,{"atp","adp","h","pi","h2o"}),SIGN(mets2713[[#This Row],[raw (GSM) coefficient]])*(ABS(mets2713[[#This Row],[raw (GSM) coefficient]])-$J$2),mets2713[[#This Row],[raw (GSM) coefficient]]))</f>
        <v>0.11823</v>
      </c>
      <c r="H49" s="21">
        <f>mets2713[[#This Row],[coeff. w/o GAM]]</f>
        <v>0.11823</v>
      </c>
      <c r="I49" s="161">
        <f t="shared" si="3"/>
        <v>0.11490657183217065</v>
      </c>
      <c r="J49" s="21" cm="1">
        <f t="array" ref="J49">_xlfn.LET(_xlpm.id,mets2713[[#This Row],[name w/o location]],_xlpm.oldcoeff,mets2713[[#This Row],[normalized coeffs]],_xlpm.gam,$J$2-$G$2,_xlfn.IFS(IFERROR(MATCH(_xlpm.id,{"atp","h2o"},0),0)&gt;0,_xlpm.oldcoeff-_xlpm.gam,IFERROR(MATCH(_xlpm.id,{"adp","h","pi"},0),0)&gt;0,_xlpm.oldcoeff+_xlpm.gam,TRUE,_xlpm.oldcoeff))</f>
        <v>0.11490657183217065</v>
      </c>
      <c r="K49" t="str" cm="1">
        <f t="array" ref="K49">"BIOSYN-"&amp;_xlfn.IFS(IFERROR(MATCH(mets2713[[#This Row],[category]],{0,"0",""},0),0)&gt;0,mets2713[[#This Row],[name]],TRUE,mets2713[[#This Row],[category]]&amp;"-"&amp;mets2713[[#This Row],[name]])</f>
        <v>BIOSYN-ignore-trnaglu_c</v>
      </c>
      <c r="L49" s="149" t="str" cm="1">
        <f t="array" ref="L49">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49" s="149" cm="1">
        <f t="array" ref="M4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0.11724573820092535</v>
      </c>
      <c r="N49" s="149"/>
      <c r="O49" s="149"/>
      <c r="P49" s="149"/>
      <c r="Q49" s="149"/>
      <c r="R49" s="149"/>
      <c r="S49" s="149"/>
      <c r="T49" s="149"/>
      <c r="U49" s="149"/>
      <c r="V49" s="149"/>
      <c r="AB49" t="str">
        <v>BIOSYN-LIPID-ps_c</v>
      </c>
      <c r="AC49" t="str">
        <v>MET-ps_c --&gt; 0.786079 BIO-ps_c</v>
      </c>
    </row>
    <row r="50" spans="1:29" ht="16" x14ac:dyDescent="0.2">
      <c r="A50" s="180" t="s">
        <v>1555</v>
      </c>
      <c r="B50" t="str">
        <f>SUBSTITUTE(_xlfn.TEXTBEFORE(mets2713[[#This Row],[pasted JSON metabolite keys and values from GSM biomass rxn]],":"),CHAR(34),"")</f>
        <v>trnagly_c</v>
      </c>
      <c r="C50" t="str">
        <f>_xlfn.TEXTBEFORE(mets2713[[#This Row],[name]],"_",-1)</f>
        <v>trnagly</v>
      </c>
      <c r="D50" t="str">
        <f>_xlfn.XLOOKUP(mets2713[[#This Row],[name w/o location]],metaboliteInfo[name w/o location],metaboliteInfo[suggested category],"")</f>
        <v>ignore</v>
      </c>
      <c r="E50" s="21">
        <f>IFERROR(_xlfn.XLOOKUP(mets2713[[#This Row],[name w/o location]],metaboliteInfo[name w/o location],metaboliteInfo[MW for biomass normalization (g/mol)],0),0)</f>
        <v>0</v>
      </c>
      <c r="F50">
        <f>_xlfn.NUMBERVALUE(SUBSTITUTE(_xlfn.TEXTAFTER(mets2713[[#This Row],[pasted JSON metabolite keys and values from GSM biomass rxn]],":"),",",""))</f>
        <v>0.13209000000000001</v>
      </c>
      <c r="G50" s="21" cm="1">
        <f t="array" ref="G50">_xlfn.LET(_xlpm.id,mets2713[[#This Row],[name w/o location]],IF(IsElementOfSet_DIY(_xlpm.id,{"atp","adp","h","pi","h2o"}),SIGN(mets2713[[#This Row],[raw (GSM) coefficient]])*(ABS(mets2713[[#This Row],[raw (GSM) coefficient]])-$J$2),mets2713[[#This Row],[raw (GSM) coefficient]]))</f>
        <v>0.13209000000000001</v>
      </c>
      <c r="H50" s="21">
        <f>mets2713[[#This Row],[coeff. w/o GAM]]</f>
        <v>0.13209000000000001</v>
      </c>
      <c r="I50" s="161">
        <f t="shared" si="3"/>
        <v>0.12837696924056013</v>
      </c>
      <c r="J50" s="21" cm="1">
        <f t="array" ref="J50">_xlfn.LET(_xlpm.id,mets2713[[#This Row],[name w/o location]],_xlpm.oldcoeff,mets2713[[#This Row],[normalized coeffs]],_xlpm.gam,$J$2-$G$2,_xlfn.IFS(IFERROR(MATCH(_xlpm.id,{"atp","h2o"},0),0)&gt;0,_xlpm.oldcoeff-_xlpm.gam,IFERROR(MATCH(_xlpm.id,{"adp","h","pi"},0),0)&gt;0,_xlpm.oldcoeff+_xlpm.gam,TRUE,_xlpm.oldcoeff))</f>
        <v>0.12837696924056013</v>
      </c>
      <c r="K50" t="str" cm="1">
        <f t="array" ref="K50">"BIOSYN-"&amp;_xlfn.IFS(IFERROR(MATCH(mets2713[[#This Row],[category]],{0,"0",""},0),0)&gt;0,mets2713[[#This Row],[name]],TRUE,mets2713[[#This Row],[category]]&amp;"-"&amp;mets2713[[#This Row],[name]])</f>
        <v>BIOSYN-ignore-trnagly_c</v>
      </c>
      <c r="L50" s="149" t="str" cm="1">
        <f t="array" ref="L50">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0" s="149" cm="1">
        <f t="array" ref="M5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0.1309903540468598</v>
      </c>
      <c r="N50" s="149"/>
      <c r="O50" s="149"/>
      <c r="P50" s="149"/>
      <c r="Q50" s="149"/>
      <c r="R50" s="149"/>
      <c r="S50" s="149"/>
      <c r="T50" s="149"/>
      <c r="U50" s="149"/>
      <c r="V50" s="149"/>
      <c r="AB50" t="str">
        <v>BIOSYN-LIPID-tag_c</v>
      </c>
      <c r="AC50" t="str">
        <v>MET-tag_c --&gt; 0.885513 BIO-tag_c</v>
      </c>
    </row>
    <row r="51" spans="1:29" ht="16" x14ac:dyDescent="0.2">
      <c r="A51" s="180" t="s">
        <v>1556</v>
      </c>
      <c r="B51" t="str">
        <f>SUBSTITUTE(_xlfn.TEXTBEFORE(mets2713[[#This Row],[pasted JSON metabolite keys and values from GSM biomass rxn]],":"),CHAR(34),"")</f>
        <v>trnahis_c</v>
      </c>
      <c r="C51" t="str">
        <f>_xlfn.TEXTBEFORE(mets2713[[#This Row],[name]],"_",-1)</f>
        <v>trnahis</v>
      </c>
      <c r="D51" t="str">
        <f>_xlfn.XLOOKUP(mets2713[[#This Row],[name w/o location]],metaboliteInfo[name w/o location],metaboliteInfo[suggested category],"")</f>
        <v>ignore</v>
      </c>
      <c r="E51" s="21">
        <f>IFERROR(_xlfn.XLOOKUP(mets2713[[#This Row],[name w/o location]],metaboliteInfo[name w/o location],metaboliteInfo[MW for biomass normalization (g/mol)],0),0)</f>
        <v>0</v>
      </c>
      <c r="F51">
        <f>_xlfn.NUMBERVALUE(SUBSTITUTE(_xlfn.TEXTAFTER(mets2713[[#This Row],[pasted JSON metabolite keys and values from GSM biomass rxn]],":"),",",""))</f>
        <v>4.0795999999999999E-2</v>
      </c>
      <c r="G51" s="21" cm="1">
        <f t="array" ref="G51">_xlfn.LET(_xlpm.id,mets2713[[#This Row],[name w/o location]],IF(IsElementOfSet_DIY(_xlpm.id,{"atp","adp","h","pi","h2o"}),SIGN(mets2713[[#This Row],[raw (GSM) coefficient]])*(ABS(mets2713[[#This Row],[raw (GSM) coefficient]])-$J$2),mets2713[[#This Row],[raw (GSM) coefficient]]))</f>
        <v>4.0795999999999999E-2</v>
      </c>
      <c r="H51" s="21">
        <f>mets2713[[#This Row],[coeff. w/o GAM]]</f>
        <v>4.0795999999999999E-2</v>
      </c>
      <c r="I51" s="161">
        <f t="shared" si="3"/>
        <v>3.9649230351562495E-2</v>
      </c>
      <c r="J51" s="21" cm="1">
        <f t="array" ref="J51">_xlfn.LET(_xlpm.id,mets2713[[#This Row],[name w/o location]],_xlpm.oldcoeff,mets2713[[#This Row],[normalized coeffs]],_xlpm.gam,$J$2-$G$2,_xlfn.IFS(IFERROR(MATCH(_xlpm.id,{"atp","h2o"},0),0)&gt;0,_xlpm.oldcoeff-_xlpm.gam,IFERROR(MATCH(_xlpm.id,{"adp","h","pi"},0),0)&gt;0,_xlpm.oldcoeff+_xlpm.gam,TRUE,_xlpm.oldcoeff))</f>
        <v>3.9649230351562495E-2</v>
      </c>
      <c r="K51" t="str" cm="1">
        <f t="array" ref="K51">"BIOSYN-"&amp;_xlfn.IFS(IFERROR(MATCH(mets2713[[#This Row],[category]],{0,"0",""},0),0)&gt;0,mets2713[[#This Row],[name]],TRUE,mets2713[[#This Row],[category]]&amp;"-"&amp;mets2713[[#This Row],[name]])</f>
        <v>BIOSYN-ignore-trnahis_c</v>
      </c>
      <c r="L51" s="149" t="str" cm="1">
        <f t="array" ref="L51">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1" s="149" cm="1">
        <f t="array" ref="M5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4.0456374318235219E-2</v>
      </c>
      <c r="N51" s="149"/>
      <c r="O51" s="149"/>
      <c r="P51" s="149"/>
      <c r="Q51" s="149"/>
      <c r="R51" s="149"/>
      <c r="S51" s="149"/>
      <c r="T51" s="149"/>
      <c r="U51" s="149"/>
      <c r="V51" s="149"/>
      <c r="AB51" t="str">
        <v>BIOSYN-RNA-atp_c</v>
      </c>
      <c r="AC51" t="str">
        <v>MET-atp_c --&gt; MET-ppi_c + 0.328198 BIO-atp_c</v>
      </c>
    </row>
    <row r="52" spans="1:29" ht="16" x14ac:dyDescent="0.2">
      <c r="A52" s="180" t="s">
        <v>1557</v>
      </c>
      <c r="B52" t="str">
        <f>SUBSTITUTE(_xlfn.TEXTBEFORE(mets2713[[#This Row],[pasted JSON metabolite keys and values from GSM biomass rxn]],":"),CHAR(34),"")</f>
        <v>trnaile_c</v>
      </c>
      <c r="C52" t="str">
        <f>_xlfn.TEXTBEFORE(mets2713[[#This Row],[name]],"_",-1)</f>
        <v>trnaile</v>
      </c>
      <c r="D52" t="str">
        <f>_xlfn.XLOOKUP(mets2713[[#This Row],[name w/o location]],metaboliteInfo[name w/o location],metaboliteInfo[suggested category],"")</f>
        <v>ignore</v>
      </c>
      <c r="E52" s="21">
        <f>IFERROR(_xlfn.XLOOKUP(mets2713[[#This Row],[name w/o location]],metaboliteInfo[name w/o location],metaboliteInfo[MW for biomass normalization (g/mol)],0),0)</f>
        <v>0</v>
      </c>
      <c r="F52">
        <f>_xlfn.NUMBERVALUE(SUBSTITUTE(_xlfn.TEXTAFTER(mets2713[[#This Row],[pasted JSON metabolite keys and values from GSM biomass rxn]],":"),",",""))</f>
        <v>6.5612000000000004E-2</v>
      </c>
      <c r="G52" s="21" cm="1">
        <f t="array" ref="G52">_xlfn.LET(_xlpm.id,mets2713[[#This Row],[name w/o location]],IF(IsElementOfSet_DIY(_xlpm.id,{"atp","adp","h","pi","h2o"}),SIGN(mets2713[[#This Row],[raw (GSM) coefficient]])*(ABS(mets2713[[#This Row],[raw (GSM) coefficient]])-$J$2),mets2713[[#This Row],[raw (GSM) coefficient]]))</f>
        <v>6.5612000000000004E-2</v>
      </c>
      <c r="H52" s="21">
        <f>mets2713[[#This Row],[coeff. w/o GAM]]</f>
        <v>6.5612000000000004E-2</v>
      </c>
      <c r="I52" s="161">
        <f t="shared" si="3"/>
        <v>6.3767656187536007E-2</v>
      </c>
      <c r="J52" s="21" cm="1">
        <f t="array" ref="J52">_xlfn.LET(_xlpm.id,mets2713[[#This Row],[name w/o location]],_xlpm.oldcoeff,mets2713[[#This Row],[normalized coeffs]],_xlpm.gam,$J$2-$G$2,_xlfn.IFS(IFERROR(MATCH(_xlpm.id,{"atp","h2o"},0),0)&gt;0,_xlpm.oldcoeff-_xlpm.gam,IFERROR(MATCH(_xlpm.id,{"adp","h","pi"},0),0)&gt;0,_xlpm.oldcoeff+_xlpm.gam,TRUE,_xlpm.oldcoeff))</f>
        <v>6.3767656187536007E-2</v>
      </c>
      <c r="K52" t="str" cm="1">
        <f t="array" ref="K52">"BIOSYN-"&amp;_xlfn.IFS(IFERROR(MATCH(mets2713[[#This Row],[category]],{0,"0",""},0),0)&gt;0,mets2713[[#This Row],[name]],TRUE,mets2713[[#This Row],[category]]&amp;"-"&amp;mets2713[[#This Row],[name]])</f>
        <v>BIOSYN-ignore-trnaile_c</v>
      </c>
      <c r="L52" s="149" t="str" cm="1">
        <f t="array" ref="L52">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2" s="149" cm="1">
        <f t="array" ref="M5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6.5065781737622563E-2</v>
      </c>
      <c r="N52" s="149"/>
      <c r="O52" s="149"/>
      <c r="P52" s="149"/>
      <c r="Q52" s="149"/>
      <c r="R52" s="149"/>
      <c r="S52" s="149"/>
      <c r="T52" s="149"/>
      <c r="U52" s="149"/>
      <c r="V52" s="149"/>
      <c r="AB52" t="str">
        <v>BIOSYN-RNA-ctp_c</v>
      </c>
      <c r="AC52" t="str">
        <v>MET-ctp_c --&gt; MET-ppi_c + 0.304173 BIO-ctp_c</v>
      </c>
    </row>
    <row r="53" spans="1:29" ht="16" x14ac:dyDescent="0.2">
      <c r="A53" s="180" t="s">
        <v>1558</v>
      </c>
      <c r="B53" t="str">
        <f>SUBSTITUTE(_xlfn.TEXTBEFORE(mets2713[[#This Row],[pasted JSON metabolite keys and values from GSM biomass rxn]],":"),CHAR(34),"")</f>
        <v>trnaleu_c</v>
      </c>
      <c r="C53" t="str">
        <f>_xlfn.TEXTBEFORE(mets2713[[#This Row],[name]],"_",-1)</f>
        <v>trnaleu</v>
      </c>
      <c r="D53" t="str">
        <f>_xlfn.XLOOKUP(mets2713[[#This Row],[name w/o location]],metaboliteInfo[name w/o location],metaboliteInfo[suggested category],"")</f>
        <v>ignore</v>
      </c>
      <c r="E53" s="21">
        <f>IFERROR(_xlfn.XLOOKUP(mets2713[[#This Row],[name w/o location]],metaboliteInfo[name w/o location],metaboliteInfo[MW for biomass normalization (g/mol)],0),0)</f>
        <v>0</v>
      </c>
      <c r="F53">
        <f>_xlfn.NUMBERVALUE(SUBSTITUTE(_xlfn.TEXTAFTER(mets2713[[#This Row],[pasted JSON metabolite keys and values from GSM biomass rxn]],":"),",",""))</f>
        <v>0.17174</v>
      </c>
      <c r="G53" s="21" cm="1">
        <f t="array" ref="G53">_xlfn.LET(_xlpm.id,mets2713[[#This Row],[name w/o location]],IF(IsElementOfSet_DIY(_xlpm.id,{"atp","adp","h","pi","h2o"}),SIGN(mets2713[[#This Row],[raw (GSM) coefficient]])*(ABS(mets2713[[#This Row],[raw (GSM) coefficient]])-$J$2),mets2713[[#This Row],[raw (GSM) coefficient]]))</f>
        <v>0.17174</v>
      </c>
      <c r="H53" s="21">
        <f>mets2713[[#This Row],[coeff. w/o GAM]]</f>
        <v>0.17174</v>
      </c>
      <c r="I53" s="161">
        <f t="shared" si="3"/>
        <v>0.16691241348606098</v>
      </c>
      <c r="J53" s="21" cm="1">
        <f t="array" ref="J53">_xlfn.LET(_xlpm.id,mets2713[[#This Row],[name w/o location]],_xlpm.oldcoeff,mets2713[[#This Row],[normalized coeffs]],_xlpm.gam,$J$2-$G$2,_xlfn.IFS(IFERROR(MATCH(_xlpm.id,{"atp","h2o"},0),0)&gt;0,_xlpm.oldcoeff-_xlpm.gam,IFERROR(MATCH(_xlpm.id,{"adp","h","pi"},0),0)&gt;0,_xlpm.oldcoeff+_xlpm.gam,TRUE,_xlpm.oldcoeff))</f>
        <v>0.16691241348606098</v>
      </c>
      <c r="K53" t="str" cm="1">
        <f t="array" ref="K53">"BIOSYN-"&amp;_xlfn.IFS(IFERROR(MATCH(mets2713[[#This Row],[category]],{0,"0",""},0),0)&gt;0,mets2713[[#This Row],[name]],TRUE,mets2713[[#This Row],[category]]&amp;"-"&amp;mets2713[[#This Row],[name]])</f>
        <v>BIOSYN-ignore-trnaleu_c</v>
      </c>
      <c r="L53" s="149" t="str" cm="1">
        <f t="array" ref="L53">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3" s="149" cm="1">
        <f t="array" ref="M5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0.17031026878649175</v>
      </c>
      <c r="N53" s="149"/>
      <c r="O53" s="149"/>
      <c r="P53" s="149"/>
      <c r="Q53" s="149"/>
      <c r="R53" s="149"/>
      <c r="S53" s="149"/>
      <c r="T53" s="149"/>
      <c r="U53" s="149"/>
      <c r="V53" s="149"/>
      <c r="AB53" t="str">
        <v>BIOSYN-RNA-gtp_c</v>
      </c>
      <c r="AC53" t="str">
        <v>MET-gtp_c --&gt; MET-ppi_c + 0.344197 BIO-gtp_c</v>
      </c>
    </row>
    <row r="54" spans="1:29" ht="16" x14ac:dyDescent="0.2">
      <c r="A54" s="180" t="s">
        <v>1559</v>
      </c>
      <c r="B54" t="str">
        <f>SUBSTITUTE(_xlfn.TEXTBEFORE(mets2713[[#This Row],[pasted JSON metabolite keys and values from GSM biomass rxn]],":"),CHAR(34),"")</f>
        <v>trnalys_c</v>
      </c>
      <c r="C54" t="str">
        <f>_xlfn.TEXTBEFORE(mets2713[[#This Row],[name]],"_",-1)</f>
        <v>trnalys</v>
      </c>
      <c r="D54" t="str">
        <f>_xlfn.XLOOKUP(mets2713[[#This Row],[name w/o location]],metaboliteInfo[name w/o location],metaboliteInfo[suggested category],"")</f>
        <v>ignore</v>
      </c>
      <c r="E54" s="21">
        <f>IFERROR(_xlfn.XLOOKUP(mets2713[[#This Row],[name w/o location]],metaboliteInfo[name w/o location],metaboliteInfo[MW for biomass normalization (g/mol)],0),0)</f>
        <v>0</v>
      </c>
      <c r="F54">
        <f>_xlfn.NUMBERVALUE(SUBSTITUTE(_xlfn.TEXTAFTER(mets2713[[#This Row],[pasted JSON metabolite keys and values from GSM biomass rxn]],":"),",",""))</f>
        <v>8.1016000000000005E-2</v>
      </c>
      <c r="G54" s="21" cm="1">
        <f t="array" ref="G54">_xlfn.LET(_xlpm.id,mets2713[[#This Row],[name w/o location]],IF(IsElementOfSet_DIY(_xlpm.id,{"atp","adp","h","pi","h2o"}),SIGN(mets2713[[#This Row],[raw (GSM) coefficient]])*(ABS(mets2713[[#This Row],[raw (GSM) coefficient]])-$J$2),mets2713[[#This Row],[raw (GSM) coefficient]]))</f>
        <v>8.1016000000000005E-2</v>
      </c>
      <c r="H54" s="21">
        <f>mets2713[[#This Row],[coeff. w/o GAM]]</f>
        <v>8.1016000000000005E-2</v>
      </c>
      <c r="I54" s="161">
        <f t="shared" si="3"/>
        <v>7.8738651979659458E-2</v>
      </c>
      <c r="J54" s="21" cm="1">
        <f t="array" ref="J54">_xlfn.LET(_xlpm.id,mets2713[[#This Row],[name w/o location]],_xlpm.oldcoeff,mets2713[[#This Row],[normalized coeffs]],_xlpm.gam,$J$2-$G$2,_xlfn.IFS(IFERROR(MATCH(_xlpm.id,{"atp","h2o"},0),0)&gt;0,_xlpm.oldcoeff-_xlpm.gam,IFERROR(MATCH(_xlpm.id,{"adp","h","pi"},0),0)&gt;0,_xlpm.oldcoeff+_xlpm.gam,TRUE,_xlpm.oldcoeff))</f>
        <v>7.8738651979659458E-2</v>
      </c>
      <c r="K54" t="str" cm="1">
        <f t="array" ref="K54">"BIOSYN-"&amp;_xlfn.IFS(IFERROR(MATCH(mets2713[[#This Row],[category]],{0,"0",""},0),0)&gt;0,mets2713[[#This Row],[name]],TRUE,mets2713[[#This Row],[category]]&amp;"-"&amp;mets2713[[#This Row],[name]])</f>
        <v>BIOSYN-ignore-trnalys_c</v>
      </c>
      <c r="L54" s="149" t="str" cm="1">
        <f t="array" ref="L54">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4" s="149" cm="1">
        <f t="array" ref="M54">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8.034154382209395E-2</v>
      </c>
      <c r="N54" s="149"/>
      <c r="O54" s="149"/>
      <c r="P54" s="149"/>
      <c r="Q54" s="149"/>
      <c r="R54" s="149"/>
      <c r="S54" s="149"/>
      <c r="T54" s="149"/>
      <c r="U54" s="149"/>
      <c r="V54" s="149"/>
      <c r="AB54" t="str">
        <v>BIOSYN-RNA-utp_c</v>
      </c>
      <c r="AC54" t="str">
        <v>MET-utp_c --&gt; MET-ppi_c + 0.305158 BIO-utp_c</v>
      </c>
    </row>
    <row r="55" spans="1:29" ht="16" x14ac:dyDescent="0.2">
      <c r="A55" s="180" t="s">
        <v>1560</v>
      </c>
      <c r="B55" t="str">
        <f>SUBSTITUTE(_xlfn.TEXTBEFORE(mets2713[[#This Row],[pasted JSON metabolite keys and values from GSM biomass rxn]],":"),CHAR(34),"")</f>
        <v>trnamet_c</v>
      </c>
      <c r="C55" t="str">
        <f>_xlfn.TEXTBEFORE(mets2713[[#This Row],[name]],"_",-1)</f>
        <v>trnamet</v>
      </c>
      <c r="D55" t="str">
        <f>_xlfn.XLOOKUP(mets2713[[#This Row],[name w/o location]],metaboliteInfo[name w/o location],metaboliteInfo[suggested category],"")</f>
        <v>ignore</v>
      </c>
      <c r="E55" s="21">
        <f>IFERROR(_xlfn.XLOOKUP(mets2713[[#This Row],[name w/o location]],metaboliteInfo[name w/o location],metaboliteInfo[MW for biomass normalization (g/mol)],0),0)</f>
        <v>0</v>
      </c>
      <c r="F55">
        <f>_xlfn.NUMBERVALUE(SUBSTITUTE(_xlfn.TEXTAFTER(mets2713[[#This Row],[pasted JSON metabolite keys and values from GSM biomass rxn]],":"),",",""))</f>
        <v>3.0880000000000001E-2</v>
      </c>
      <c r="G55" s="21" cm="1">
        <f t="array" ref="G55">_xlfn.LET(_xlpm.id,mets2713[[#This Row],[name w/o location]],IF(IsElementOfSet_DIY(_xlpm.id,{"atp","adp","h","pi","h2o"}),SIGN(mets2713[[#This Row],[raw (GSM) coefficient]])*(ABS(mets2713[[#This Row],[raw (GSM) coefficient]])-$J$2),mets2713[[#This Row],[raw (GSM) coefficient]]))</f>
        <v>3.0880000000000001E-2</v>
      </c>
      <c r="H55" s="21">
        <f>mets2713[[#This Row],[coeff. w/o GAM]]</f>
        <v>3.0880000000000001E-2</v>
      </c>
      <c r="I55" s="161">
        <f t="shared" si="3"/>
        <v>3.0011967674680114E-2</v>
      </c>
      <c r="J55" s="21" cm="1">
        <f t="array" ref="J55">_xlfn.LET(_xlpm.id,mets2713[[#This Row],[name w/o location]],_xlpm.oldcoeff,mets2713[[#This Row],[normalized coeffs]],_xlpm.gam,$J$2-$G$2,_xlfn.IFS(IFERROR(MATCH(_xlpm.id,{"atp","h2o"},0),0)&gt;0,_xlpm.oldcoeff-_xlpm.gam,IFERROR(MATCH(_xlpm.id,{"adp","h","pi"},0),0)&gt;0,_xlpm.oldcoeff+_xlpm.gam,TRUE,_xlpm.oldcoeff))</f>
        <v>3.0011967674680114E-2</v>
      </c>
      <c r="K55" t="str" cm="1">
        <f t="array" ref="K55">"BIOSYN-"&amp;_xlfn.IFS(IFERROR(MATCH(mets2713[[#This Row],[category]],{0,"0",""},0),0)&gt;0,mets2713[[#This Row],[name]],TRUE,mets2713[[#This Row],[category]]&amp;"-"&amp;mets2713[[#This Row],[name]])</f>
        <v>BIOSYN-ignore-trnamet_c</v>
      </c>
      <c r="L55" s="149" t="str" cm="1">
        <f t="array" ref="L55">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5" s="149" cm="1">
        <f t="array" ref="M55">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3.0622924770739871E-2</v>
      </c>
      <c r="N55" s="149"/>
      <c r="O55" s="149"/>
      <c r="P55" s="149"/>
      <c r="Q55" s="149"/>
      <c r="R55" s="149"/>
      <c r="S55" s="149"/>
      <c r="T55" s="149"/>
      <c r="U55" s="149"/>
      <c r="V55" s="149"/>
      <c r="AB55" t="str">
        <v>BIOSYN-SO4-so4_c</v>
      </c>
      <c r="AC55" t="str">
        <v>MET-so4_c --&gt; 0.096063 BIO-so4_c</v>
      </c>
    </row>
    <row r="56" spans="1:29" ht="16" x14ac:dyDescent="0.2">
      <c r="A56" s="180" t="s">
        <v>1561</v>
      </c>
      <c r="B56" t="str">
        <f>SUBSTITUTE(_xlfn.TEXTBEFORE(mets2713[[#This Row],[pasted JSON metabolite keys and values from GSM biomass rxn]],":"),CHAR(34),"")</f>
        <v>trnaphe_c</v>
      </c>
      <c r="C56" t="str">
        <f>_xlfn.TEXTBEFORE(mets2713[[#This Row],[name]],"_",-1)</f>
        <v>trnaphe</v>
      </c>
      <c r="D56" t="str">
        <f>_xlfn.XLOOKUP(mets2713[[#This Row],[name w/o location]],metaboliteInfo[name w/o location],metaboliteInfo[suggested category],"")</f>
        <v>ignore</v>
      </c>
      <c r="E56" s="21">
        <f>IFERROR(_xlfn.XLOOKUP(mets2713[[#This Row],[name w/o location]],metaboliteInfo[name w/o location],metaboliteInfo[MW for biomass normalization (g/mol)],0),0)</f>
        <v>0</v>
      </c>
      <c r="F56">
        <f>_xlfn.NUMBERVALUE(SUBSTITUTE(_xlfn.TEXTAFTER(mets2713[[#This Row],[pasted JSON metabolite keys and values from GSM biomass rxn]],":"),",",""))</f>
        <v>6.2094000000000003E-2</v>
      </c>
      <c r="G56" s="21" cm="1">
        <f t="array" ref="G56">_xlfn.LET(_xlpm.id,mets2713[[#This Row],[name w/o location]],IF(IsElementOfSet_DIY(_xlpm.id,{"atp","adp","h","pi","h2o"}),SIGN(mets2713[[#This Row],[raw (GSM) coefficient]])*(ABS(mets2713[[#This Row],[raw (GSM) coefficient]])-$J$2),mets2713[[#This Row],[raw (GSM) coefficient]]))</f>
        <v>6.2094000000000003E-2</v>
      </c>
      <c r="H56" s="21">
        <f>mets2713[[#This Row],[coeff. w/o GAM]]</f>
        <v>6.2094000000000003E-2</v>
      </c>
      <c r="I56" s="161">
        <f t="shared" si="3"/>
        <v>6.0348546657758649E-2</v>
      </c>
      <c r="J56" s="21" cm="1">
        <f t="array" ref="J56">_xlfn.LET(_xlpm.id,mets2713[[#This Row],[name w/o location]],_xlpm.oldcoeff,mets2713[[#This Row],[normalized coeffs]],_xlpm.gam,$J$2-$G$2,_xlfn.IFS(IFERROR(MATCH(_xlpm.id,{"atp","h2o"},0),0)&gt;0,_xlpm.oldcoeff-_xlpm.gam,IFERROR(MATCH(_xlpm.id,{"adp","h","pi"},0),0)&gt;0,_xlpm.oldcoeff+_xlpm.gam,TRUE,_xlpm.oldcoeff))</f>
        <v>6.0348546657758649E-2</v>
      </c>
      <c r="K56" t="str" cm="1">
        <f t="array" ref="K56">"BIOSYN-"&amp;_xlfn.IFS(IFERROR(MATCH(mets2713[[#This Row],[category]],{0,"0",""},0),0)&gt;0,mets2713[[#This Row],[name]],TRUE,mets2713[[#This Row],[category]]&amp;"-"&amp;mets2713[[#This Row],[name]])</f>
        <v>BIOSYN-ignore-trnaphe_c</v>
      </c>
      <c r="L56" s="149" t="str" cm="1">
        <f t="array" ref="L56">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6" s="149" cm="1">
        <f t="array" ref="M5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6.1577068999816111E-2</v>
      </c>
      <c r="N56" s="149"/>
      <c r="O56" s="149"/>
      <c r="P56" s="149"/>
      <c r="Q56" s="149"/>
      <c r="R56" s="149"/>
      <c r="S56" s="149"/>
      <c r="T56" s="149"/>
      <c r="U56" s="149"/>
      <c r="V56" s="149"/>
    </row>
    <row r="57" spans="1:29" ht="16" x14ac:dyDescent="0.2">
      <c r="A57" s="180" t="s">
        <v>1562</v>
      </c>
      <c r="B57" t="str">
        <f>SUBSTITUTE(_xlfn.TEXTBEFORE(mets2713[[#This Row],[pasted JSON metabolite keys and values from GSM biomass rxn]],":"),CHAR(34),"")</f>
        <v>trnapro_c</v>
      </c>
      <c r="C57" t="str">
        <f>_xlfn.TEXTBEFORE(mets2713[[#This Row],[name]],"_",-1)</f>
        <v>trnapro</v>
      </c>
      <c r="D57" t="str">
        <f>_xlfn.XLOOKUP(mets2713[[#This Row],[name w/o location]],metaboliteInfo[name w/o location],metaboliteInfo[suggested category],"")</f>
        <v>ignore</v>
      </c>
      <c r="E57" s="21">
        <f>IFERROR(_xlfn.XLOOKUP(mets2713[[#This Row],[name w/o location]],metaboliteInfo[name w/o location],metaboliteInfo[MW for biomass normalization (g/mol)],0),0)</f>
        <v>0</v>
      </c>
      <c r="F57">
        <f>_xlfn.NUMBERVALUE(SUBSTITUTE(_xlfn.TEXTAFTER(mets2713[[#This Row],[pasted JSON metabolite keys and values from GSM biomass rxn]],":"),",",""))</f>
        <v>0.13317000000000001</v>
      </c>
      <c r="G57" s="21" cm="1">
        <f t="array" ref="G57">_xlfn.LET(_xlpm.id,mets2713[[#This Row],[name w/o location]],IF(IsElementOfSet_DIY(_xlpm.id,{"atp","adp","h","pi","h2o"}),SIGN(mets2713[[#This Row],[raw (GSM) coefficient]])*(ABS(mets2713[[#This Row],[raw (GSM) coefficient]])-$J$2),mets2713[[#This Row],[raw (GSM) coefficient]]))</f>
        <v>0.13317000000000001</v>
      </c>
      <c r="H57" s="21">
        <f>mets2713[[#This Row],[coeff. w/o GAM]]</f>
        <v>0.13317000000000001</v>
      </c>
      <c r="I57" s="161">
        <f t="shared" si="3"/>
        <v>0.12942661059705801</v>
      </c>
      <c r="J57" s="21" cm="1">
        <f t="array" ref="J57">_xlfn.LET(_xlpm.id,mets2713[[#This Row],[name w/o location]],_xlpm.oldcoeff,mets2713[[#This Row],[normalized coeffs]],_xlpm.gam,$J$2-$G$2,_xlfn.IFS(IFERROR(MATCH(_xlpm.id,{"atp","h2o"},0),0)&gt;0,_xlpm.oldcoeff-_xlpm.gam,IFERROR(MATCH(_xlpm.id,{"adp","h","pi"},0),0)&gt;0,_xlpm.oldcoeff+_xlpm.gam,TRUE,_xlpm.oldcoeff))</f>
        <v>0.12942661059705801</v>
      </c>
      <c r="K57" t="str" cm="1">
        <f t="array" ref="K57">"BIOSYN-"&amp;_xlfn.IFS(IFERROR(MATCH(mets2713[[#This Row],[category]],{0,"0",""},0),0)&gt;0,mets2713[[#This Row],[name]],TRUE,mets2713[[#This Row],[category]]&amp;"-"&amp;mets2713[[#This Row],[name]])</f>
        <v>BIOSYN-ignore-trnapro_c</v>
      </c>
      <c r="L57" s="149" t="str" cm="1">
        <f t="array" ref="L57">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7" s="149" cm="1">
        <f t="array" ref="M5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0.13206136307381572</v>
      </c>
      <c r="N57" s="149"/>
      <c r="O57" s="149"/>
      <c r="P57" s="149"/>
      <c r="Q57" s="149"/>
      <c r="R57" s="149"/>
      <c r="S57" s="149"/>
      <c r="T57" s="149"/>
      <c r="U57" s="149"/>
      <c r="V57" s="149"/>
    </row>
    <row r="58" spans="1:29" ht="16" x14ac:dyDescent="0.2">
      <c r="A58" s="180" t="s">
        <v>1563</v>
      </c>
      <c r="B58" t="str">
        <f>SUBSTITUTE(_xlfn.TEXTBEFORE(mets2713[[#This Row],[pasted JSON metabolite keys and values from GSM biomass rxn]],":"),CHAR(34),"")</f>
        <v>trnaser_c</v>
      </c>
      <c r="C58" t="str">
        <f>_xlfn.TEXTBEFORE(mets2713[[#This Row],[name]],"_",-1)</f>
        <v>trnaser</v>
      </c>
      <c r="D58" t="str">
        <f>_xlfn.XLOOKUP(mets2713[[#This Row],[name w/o location]],metaboliteInfo[name w/o location],metaboliteInfo[suggested category],"")</f>
        <v>ignore</v>
      </c>
      <c r="E58" s="21">
        <f>IFERROR(_xlfn.XLOOKUP(mets2713[[#This Row],[name w/o location]],metaboliteInfo[name w/o location],metaboliteInfo[MW for biomass normalization (g/mol)],0),0)</f>
        <v>0</v>
      </c>
      <c r="F58">
        <f>_xlfn.NUMBERVALUE(SUBSTITUTE(_xlfn.TEXTAFTER(mets2713[[#This Row],[pasted JSON metabolite keys and values from GSM biomass rxn]],":"),",",""))</f>
        <v>0.16808999999999999</v>
      </c>
      <c r="G58" s="21" cm="1">
        <f t="array" ref="G58">_xlfn.LET(_xlpm.id,mets2713[[#This Row],[name w/o location]],IF(IsElementOfSet_DIY(_xlpm.id,{"atp","adp","h","pi","h2o"}),SIGN(mets2713[[#This Row],[raw (GSM) coefficient]])*(ABS(mets2713[[#This Row],[raw (GSM) coefficient]])-$J$2),mets2713[[#This Row],[raw (GSM) coefficient]]))</f>
        <v>0.16808999999999999</v>
      </c>
      <c r="H58" s="21">
        <f>mets2713[[#This Row],[coeff. w/o GAM]]</f>
        <v>0.16808999999999999</v>
      </c>
      <c r="I58" s="161">
        <f t="shared" si="3"/>
        <v>0.16336501445715609</v>
      </c>
      <c r="J58" s="21" cm="1">
        <f t="array" ref="J58">_xlfn.LET(_xlpm.id,mets2713[[#This Row],[name w/o location]],_xlpm.oldcoeff,mets2713[[#This Row],[normalized coeffs]],_xlpm.gam,$J$2-$G$2,_xlfn.IFS(IFERROR(MATCH(_xlpm.id,{"atp","h2o"},0),0)&gt;0,_xlpm.oldcoeff-_xlpm.gam,IFERROR(MATCH(_xlpm.id,{"adp","h","pi"},0),0)&gt;0,_xlpm.oldcoeff+_xlpm.gam,TRUE,_xlpm.oldcoeff))</f>
        <v>0.16336501445715609</v>
      </c>
      <c r="K58" t="str" cm="1">
        <f t="array" ref="K58">"BIOSYN-"&amp;_xlfn.IFS(IFERROR(MATCH(mets2713[[#This Row],[category]],{0,"0",""},0),0)&gt;0,mets2713[[#This Row],[name]],TRUE,mets2713[[#This Row],[category]]&amp;"-"&amp;mets2713[[#This Row],[name]])</f>
        <v>BIOSYN-ignore-trnaser_c</v>
      </c>
      <c r="L58" s="149" t="str" cm="1">
        <f t="array" ref="L58">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8" s="149" cm="1">
        <f t="array" ref="M5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0.1666906549453907</v>
      </c>
      <c r="N58" s="149"/>
      <c r="O58" s="149"/>
      <c r="P58" s="149"/>
      <c r="Q58" s="149"/>
      <c r="R58" s="149"/>
      <c r="S58" s="149"/>
      <c r="T58" s="149"/>
      <c r="U58" s="149"/>
      <c r="V58" s="149"/>
    </row>
    <row r="59" spans="1:29" ht="16" x14ac:dyDescent="0.2">
      <c r="A59" s="180" t="s">
        <v>1564</v>
      </c>
      <c r="B59" t="str">
        <f>SUBSTITUTE(_xlfn.TEXTBEFORE(mets2713[[#This Row],[pasted JSON metabolite keys and values from GSM biomass rxn]],":"),CHAR(34),"")</f>
        <v>trnathr_c</v>
      </c>
      <c r="C59" t="str">
        <f>_xlfn.TEXTBEFORE(mets2713[[#This Row],[name]],"_",-1)</f>
        <v>trnathr</v>
      </c>
      <c r="D59" t="str">
        <f>_xlfn.XLOOKUP(mets2713[[#This Row],[name w/o location]],metaboliteInfo[name w/o location],metaboliteInfo[suggested category],"")</f>
        <v>ignore</v>
      </c>
      <c r="E59" s="21">
        <f>IFERROR(_xlfn.XLOOKUP(mets2713[[#This Row],[name w/o location]],metaboliteInfo[name w/o location],metaboliteInfo[MW for biomass normalization (g/mol)],0),0)</f>
        <v>0</v>
      </c>
      <c r="F59">
        <f>_xlfn.NUMBERVALUE(SUBSTITUTE(_xlfn.TEXTAFTER(mets2713[[#This Row],[pasted JSON metabolite keys and values from GSM biomass rxn]],":"),",",""))</f>
        <v>0.1057</v>
      </c>
      <c r="G59" s="21" cm="1">
        <f t="array" ref="G59">_xlfn.LET(_xlpm.id,mets2713[[#This Row],[name w/o location]],IF(IsElementOfSet_DIY(_xlpm.id,{"atp","adp","h","pi","h2o"}),SIGN(mets2713[[#This Row],[raw (GSM) coefficient]])*(ABS(mets2713[[#This Row],[raw (GSM) coefficient]])-$J$2),mets2713[[#This Row],[raw (GSM) coefficient]]))</f>
        <v>0.1057</v>
      </c>
      <c r="H59" s="21">
        <f>mets2713[[#This Row],[coeff. w/o GAM]]</f>
        <v>0.1057</v>
      </c>
      <c r="I59" s="161">
        <f t="shared" si="3"/>
        <v>0.10272878831650545</v>
      </c>
      <c r="J59" s="21" cm="1">
        <f t="array" ref="J59">_xlfn.LET(_xlpm.id,mets2713[[#This Row],[name w/o location]],_xlpm.oldcoeff,mets2713[[#This Row],[normalized coeffs]],_xlpm.gam,$J$2-$G$2,_xlfn.IFS(IFERROR(MATCH(_xlpm.id,{"atp","h2o"},0),0)&gt;0,_xlpm.oldcoeff-_xlpm.gam,IFERROR(MATCH(_xlpm.id,{"adp","h","pi"},0),0)&gt;0,_xlpm.oldcoeff+_xlpm.gam,TRUE,_xlpm.oldcoeff))</f>
        <v>0.10272878831650545</v>
      </c>
      <c r="K59" t="str" cm="1">
        <f t="array" ref="K59">"BIOSYN-"&amp;_xlfn.IFS(IFERROR(MATCH(mets2713[[#This Row],[category]],{0,"0",""},0),0)&gt;0,mets2713[[#This Row],[name]],TRUE,mets2713[[#This Row],[category]]&amp;"-"&amp;mets2713[[#This Row],[name]])</f>
        <v>BIOSYN-ignore-trnathr_c</v>
      </c>
      <c r="L59" s="149" t="str" cm="1">
        <f t="array" ref="L59">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59" s="149" cm="1">
        <f t="array" ref="M5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0.10482005013818667</v>
      </c>
      <c r="N59" s="149"/>
      <c r="O59" s="149"/>
      <c r="P59" s="149"/>
      <c r="Q59" s="149"/>
      <c r="R59" s="149"/>
      <c r="S59" s="149"/>
      <c r="T59" s="149"/>
      <c r="U59" s="149"/>
      <c r="V59" s="149"/>
    </row>
    <row r="60" spans="1:29" ht="16" x14ac:dyDescent="0.2">
      <c r="A60" s="180" t="s">
        <v>1565</v>
      </c>
      <c r="B60" t="str">
        <f>SUBSTITUTE(_xlfn.TEXTBEFORE(mets2713[[#This Row],[pasted JSON metabolite keys and values from GSM biomass rxn]],":"),CHAR(34),"")</f>
        <v>trnatrp_c</v>
      </c>
      <c r="C60" t="str">
        <f>_xlfn.TEXTBEFORE(mets2713[[#This Row],[name]],"_",-1)</f>
        <v>trnatrp</v>
      </c>
      <c r="D60" t="str">
        <f>_xlfn.XLOOKUP(mets2713[[#This Row],[name w/o location]],metaboliteInfo[name w/o location],metaboliteInfo[suggested category],"")</f>
        <v>ignore</v>
      </c>
      <c r="E60" s="21">
        <f>IFERROR(_xlfn.XLOOKUP(mets2713[[#This Row],[name w/o location]],metaboliteInfo[name w/o location],metaboliteInfo[MW for biomass normalization (g/mol)],0),0)</f>
        <v>0</v>
      </c>
      <c r="F60">
        <f>_xlfn.NUMBERVALUE(SUBSTITUTE(_xlfn.TEXTAFTER(mets2713[[#This Row],[pasted JSON metabolite keys and values from GSM biomass rxn]],":"),",",""))</f>
        <v>2.3816E-2</v>
      </c>
      <c r="G60" s="21" cm="1">
        <f t="array" ref="G60">_xlfn.LET(_xlpm.id,mets2713[[#This Row],[name w/o location]],IF(IsElementOfSet_DIY(_xlpm.id,{"atp","adp","h","pi","h2o"}),SIGN(mets2713[[#This Row],[raw (GSM) coefficient]])*(ABS(mets2713[[#This Row],[raw (GSM) coefficient]])-$J$2),mets2713[[#This Row],[raw (GSM) coefficient]]))</f>
        <v>2.3816E-2</v>
      </c>
      <c r="H60" s="21">
        <f>mets2713[[#This Row],[coeff. w/o GAM]]</f>
        <v>2.3816E-2</v>
      </c>
      <c r="I60" s="161">
        <f t="shared" si="3"/>
        <v>2.3146535691068056E-2</v>
      </c>
      <c r="J60" s="21" cm="1">
        <f t="array" ref="J60">_xlfn.LET(_xlpm.id,mets2713[[#This Row],[name w/o location]],_xlpm.oldcoeff,mets2713[[#This Row],[normalized coeffs]],_xlpm.gam,$J$2-$G$2,_xlfn.IFS(IFERROR(MATCH(_xlpm.id,{"atp","h2o"},0),0)&gt;0,_xlpm.oldcoeff-_xlpm.gam,IFERROR(MATCH(_xlpm.id,{"adp","h","pi"},0),0)&gt;0,_xlpm.oldcoeff+_xlpm.gam,TRUE,_xlpm.oldcoeff))</f>
        <v>2.3146535691068056E-2</v>
      </c>
      <c r="K60" t="str" cm="1">
        <f t="array" ref="K60">"BIOSYN-"&amp;_xlfn.IFS(IFERROR(MATCH(mets2713[[#This Row],[category]],{0,"0",""},0),0)&gt;0,mets2713[[#This Row],[name]],TRUE,mets2713[[#This Row],[category]]&amp;"-"&amp;mets2713[[#This Row],[name]])</f>
        <v>BIOSYN-ignore-trnatrp_c</v>
      </c>
      <c r="L60" s="149" t="str" cm="1">
        <f t="array" ref="L60">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60" s="149" cm="1">
        <f t="array" ref="M6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2.3617732394428131E-2</v>
      </c>
      <c r="N60" s="149"/>
      <c r="O60" s="149"/>
      <c r="P60" s="149"/>
      <c r="Q60" s="149"/>
      <c r="R60" s="149"/>
      <c r="S60" s="149"/>
      <c r="T60" s="149"/>
      <c r="U60" s="149"/>
      <c r="V60" s="149"/>
    </row>
    <row r="61" spans="1:29" ht="16" x14ac:dyDescent="0.2">
      <c r="A61" s="180" t="s">
        <v>1566</v>
      </c>
      <c r="B61" t="str">
        <f>SUBSTITUTE(_xlfn.TEXTBEFORE(mets2713[[#This Row],[pasted JSON metabolite keys and values from GSM biomass rxn]],":"),CHAR(34),"")</f>
        <v>trnatyr_c</v>
      </c>
      <c r="C61" t="str">
        <f>_xlfn.TEXTBEFORE(mets2713[[#This Row],[name]],"_",-1)</f>
        <v>trnatyr</v>
      </c>
      <c r="D61" t="str">
        <f>_xlfn.XLOOKUP(mets2713[[#This Row],[name w/o location]],metaboliteInfo[name w/o location],metaboliteInfo[suggested category],"")</f>
        <v>ignore</v>
      </c>
      <c r="E61" s="21">
        <f>IFERROR(_xlfn.XLOOKUP(mets2713[[#This Row],[name w/o location]],metaboliteInfo[name w/o location],metaboliteInfo[MW for biomass normalization (g/mol)],0),0)</f>
        <v>0</v>
      </c>
      <c r="F61">
        <f>_xlfn.NUMBERVALUE(SUBSTITUTE(_xlfn.TEXTAFTER(mets2713[[#This Row],[pasted JSON metabolite keys and values from GSM biomass rxn]],":"),",",""))</f>
        <v>4.1565999999999999E-2</v>
      </c>
      <c r="G61" s="21" cm="1">
        <f t="array" ref="G61">_xlfn.LET(_xlpm.id,mets2713[[#This Row],[name w/o location]],IF(IsElementOfSet_DIY(_xlpm.id,{"atp","adp","h","pi","h2o"}),SIGN(mets2713[[#This Row],[raw (GSM) coefficient]])*(ABS(mets2713[[#This Row],[raw (GSM) coefficient]])-$J$2),mets2713[[#This Row],[raw (GSM) coefficient]]))</f>
        <v>4.1565999999999999E-2</v>
      </c>
      <c r="H61" s="21">
        <f>mets2713[[#This Row],[coeff. w/o GAM]]</f>
        <v>4.1565999999999999E-2</v>
      </c>
      <c r="I61" s="161">
        <f t="shared" si="3"/>
        <v>4.039758576313969E-2</v>
      </c>
      <c r="J61" s="21" cm="1">
        <f t="array" ref="J61">_xlfn.LET(_xlpm.id,mets2713[[#This Row],[name w/o location]],_xlpm.oldcoeff,mets2713[[#This Row],[normalized coeffs]],_xlpm.gam,$J$2-$G$2,_xlfn.IFS(IFERROR(MATCH(_xlpm.id,{"atp","h2o"},0),0)&gt;0,_xlpm.oldcoeff-_xlpm.gam,IFERROR(MATCH(_xlpm.id,{"adp","h","pi"},0),0)&gt;0,_xlpm.oldcoeff+_xlpm.gam,TRUE,_xlpm.oldcoeff))</f>
        <v>4.039758576313969E-2</v>
      </c>
      <c r="K61" t="str" cm="1">
        <f t="array" ref="K61">"BIOSYN-"&amp;_xlfn.IFS(IFERROR(MATCH(mets2713[[#This Row],[category]],{0,"0",""},0),0)&gt;0,mets2713[[#This Row],[name]],TRUE,mets2713[[#This Row],[category]]&amp;"-"&amp;mets2713[[#This Row],[name]])</f>
        <v>BIOSYN-ignore-trnatyr_c</v>
      </c>
      <c r="L61" s="149" t="str" cm="1">
        <f t="array" ref="L61">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61" s="149" cm="1">
        <f t="array" ref="M6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4.1219964087453806E-2</v>
      </c>
      <c r="N61" s="149"/>
      <c r="O61" s="149"/>
      <c r="P61" s="149"/>
      <c r="Q61" s="149"/>
      <c r="R61" s="149"/>
      <c r="S61" s="149"/>
      <c r="T61" s="149"/>
      <c r="U61" s="149"/>
      <c r="V61" s="149"/>
    </row>
    <row r="62" spans="1:29" ht="16" x14ac:dyDescent="0.2">
      <c r="A62" s="180" t="s">
        <v>1567</v>
      </c>
      <c r="B62" t="str">
        <f>SUBSTITUTE(_xlfn.TEXTBEFORE(mets2713[[#This Row],[pasted JSON metabolite keys and values from GSM biomass rxn]],":"),CHAR(34),"")</f>
        <v>trnaval_c</v>
      </c>
      <c r="C62" t="str">
        <f>_xlfn.TEXTBEFORE(mets2713[[#This Row],[name]],"_",-1)</f>
        <v>trnaval</v>
      </c>
      <c r="D62" t="str">
        <f>_xlfn.XLOOKUP(mets2713[[#This Row],[name w/o location]],metaboliteInfo[name w/o location],metaboliteInfo[suggested category],"")</f>
        <v>ignore</v>
      </c>
      <c r="E62" s="21">
        <f>IFERROR(_xlfn.XLOOKUP(mets2713[[#This Row],[name w/o location]],metaboliteInfo[name w/o location],metaboliteInfo[MW for biomass normalization (g/mol)],0),0)</f>
        <v>0</v>
      </c>
      <c r="F62">
        <f>_xlfn.NUMBERVALUE(SUBSTITUTE(_xlfn.TEXTAFTER(mets2713[[#This Row],[pasted JSON metabolite keys and values from GSM biomass rxn]],":"),",",""))</f>
        <v>0.11452</v>
      </c>
      <c r="G62" s="21" cm="1">
        <f t="array" ref="G62">_xlfn.LET(_xlpm.id,mets2713[[#This Row],[name w/o location]],IF(IsElementOfSet_DIY(_xlpm.id,{"atp","adp","h","pi","h2o"}),SIGN(mets2713[[#This Row],[raw (GSM) coefficient]])*(ABS(mets2713[[#This Row],[raw (GSM) coefficient]])-$J$2),mets2713[[#This Row],[raw (GSM) coefficient]]))</f>
        <v>0.11452</v>
      </c>
      <c r="H62" s="21">
        <f>mets2713[[#This Row],[coeff. w/o GAM]]</f>
        <v>0.11452</v>
      </c>
      <c r="I62" s="161">
        <f t="shared" si="3"/>
        <v>0.11130085939457145</v>
      </c>
      <c r="J62" s="21" cm="1">
        <f t="array" ref="J62">_xlfn.LET(_xlpm.id,mets2713[[#This Row],[name w/o location]],_xlpm.oldcoeff,mets2713[[#This Row],[normalized coeffs]],_xlpm.gam,$J$2-$G$2,_xlfn.IFS(IFERROR(MATCH(_xlpm.id,{"atp","h2o"},0),0)&gt;0,_xlpm.oldcoeff-_xlpm.gam,IFERROR(MATCH(_xlpm.id,{"adp","h","pi"},0),0)&gt;0,_xlpm.oldcoeff+_xlpm.gam,TRUE,_xlpm.oldcoeff))</f>
        <v>0.11130085939457145</v>
      </c>
      <c r="K62" t="str" cm="1">
        <f t="array" ref="K62">"BIOSYN-"&amp;_xlfn.IFS(IFERROR(MATCH(mets2713[[#This Row],[category]],{0,"0",""},0),0)&gt;0,mets2713[[#This Row],[name]],TRUE,mets2713[[#This Row],[category]]&amp;"-"&amp;mets2713[[#This Row],[name]])</f>
        <v>BIOSYN-ignore-trnaval_c</v>
      </c>
      <c r="L62" s="149" t="str" cm="1">
        <f t="array" ref="L62">IF(IsElementOfSet_DIY(mets2713[[#This Row],[category]],{"ignore","PROT"}),"",_xlfn.LET(_xlpm.mw,mets2713[[#This Row],[MW for biomass normalization (g/mol)]],"MET-"&amp;mets2713[[#This Row],[name]]&amp;" --&gt; "&amp;IF((mets2713[[#This Row],[category]]="DNA")+(mets2713[[#This Row],[category]]="RNA"),"MET-ppi_c + ","")&amp;ROUND(ABS(_xlpm.mw/1000),6)&amp;" BIO-"&amp;mets2713[[#This Row],[name]]))</f>
        <v/>
      </c>
      <c r="M62" s="149" cm="1">
        <f t="array" ref="M6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0.11356662385832673</v>
      </c>
      <c r="N62" s="149"/>
      <c r="O62" s="149"/>
      <c r="P62" s="149"/>
      <c r="Q62" s="149"/>
      <c r="R62" s="149"/>
      <c r="S62" s="149"/>
      <c r="T62" s="149"/>
      <c r="U62" s="149"/>
      <c r="V62" s="149"/>
    </row>
    <row r="63" spans="1:29" ht="16" x14ac:dyDescent="0.2">
      <c r="A63" s="180" t="s">
        <v>1593</v>
      </c>
      <c r="B63" t="str">
        <f>SUBSTITUTE(_xlfn.TEXTBEFORE(mets2713[[#This Row],[pasted JSON metabolite keys and values from GSM biomass rxn]],":"),CHAR(34),"")</f>
        <v>linoea_c</v>
      </c>
      <c r="C63" t="str">
        <f>_xlfn.TEXTBEFORE(mets2713[[#This Row],[name]],"_",-1)</f>
        <v>linoea</v>
      </c>
      <c r="D63" t="str">
        <f>_xlfn.XLOOKUP(mets2713[[#This Row],[name w/o location]],metaboliteInfo[name w/o location],metaboliteInfo[suggested category],"")</f>
        <v>LIPID</v>
      </c>
      <c r="E63" s="21">
        <f>IFERROR(_xlfn.XLOOKUP(mets2713[[#This Row],[name w/o location]],metaboliteInfo[name w/o location],metaboliteInfo[MW for biomass normalization (g/mol)],0),0)</f>
        <v>279.43673999999999</v>
      </c>
      <c r="F63">
        <f>_xlfn.NUMBERVALUE(SUBSTITUTE(_xlfn.TEXTAFTER(mets2713[[#This Row],[pasted JSON metabolite keys and values from GSM biomass rxn]],":"),",",""))</f>
        <v>-3.5387000000000002E-2</v>
      </c>
      <c r="G63" s="21" cm="1">
        <f t="array" ref="G63">_xlfn.LET(_xlpm.id,mets2713[[#This Row],[name w/o location]],IF(IsElementOfSet_DIY(_xlpm.id,{"atp","adp","h","pi","h2o"}),SIGN(mets2713[[#This Row],[raw (GSM) coefficient]])*(ABS(mets2713[[#This Row],[raw (GSM) coefficient]])-$J$2),mets2713[[#This Row],[raw (GSM) coefficient]]))</f>
        <v>-3.5387000000000002E-2</v>
      </c>
      <c r="H63" s="21">
        <f>mets2713[[#This Row],[coeff. w/o GAM]]</f>
        <v>-3.5387000000000002E-2</v>
      </c>
      <c r="I63" s="161">
        <f t="shared" si="3"/>
        <v>-3.4392276557768948E-2</v>
      </c>
      <c r="J63" s="21" cm="1">
        <f t="array" ref="J63">_xlfn.LET(_xlpm.id,mets2713[[#This Row],[name w/o location]],_xlpm.oldcoeff,mets2713[[#This Row],[normalized coeffs]],_xlpm.gam,$J$2-$G$2,_xlfn.IFS(IFERROR(MATCH(_xlpm.id,{"atp","h2o"},0),0)&gt;0,_xlpm.oldcoeff-_xlpm.gam,IFERROR(MATCH(_xlpm.id,{"adp","h","pi"},0),0)&gt;0,_xlpm.oldcoeff+_xlpm.gam,TRUE,_xlpm.oldcoeff))</f>
        <v>-3.4392276557768948E-2</v>
      </c>
      <c r="K63" t="str" cm="1">
        <f t="array" ref="K63">"BIOSYN-"&amp;_xlfn.IFS(IFERROR(MATCH(mets2713[[#This Row],[category]],{0,"0",""},0),0)&gt;0,mets2713[[#This Row],[name]],TRUE,mets2713[[#This Row],[category]]&amp;"-"&amp;mets2713[[#This Row],[name]])</f>
        <v>BIOSYN-LIPID-linoea_c</v>
      </c>
      <c r="L63" s="149" t="str" cm="1">
        <f t="array" ref="L63">IF(IsElementOfSet_DIY(mets2713[[#This Row],[category]],{"ignore","PROT"}),"",_xlfn.LET(_xlpm.mw,mets2713[[#This Row],[MW for biomass normalization (g/mol)]],"MET-"&amp;mets2713[[#This Row],[name]]&amp;" --&gt; "&amp;IF((mets2713[[#This Row],[category]]="DNA")+(mets2713[[#This Row],[category]]="RNA"),"MET-ppi_c + ","")&amp;ROUND(ABS(_xlpm.mw/1000),6)&amp;" BIO-"&amp;mets2713[[#This Row],[name]]))</f>
        <v>MET-linoea_c --&gt; 0.279437 BIO-linoea_c</v>
      </c>
      <c r="M63" s="149" cm="1">
        <f t="array" ref="M6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-3.1303651856231865E-2</v>
      </c>
      <c r="N63" s="149"/>
      <c r="O63" s="149"/>
      <c r="P63" s="149"/>
      <c r="Q63" s="149"/>
      <c r="R63" s="149"/>
      <c r="S63" s="149"/>
      <c r="T63" s="149"/>
      <c r="U63" s="149"/>
      <c r="V63" s="149"/>
    </row>
    <row r="64" spans="1:29" ht="16" x14ac:dyDescent="0.2">
      <c r="A64" s="180" t="s">
        <v>1594</v>
      </c>
      <c r="B64" t="str">
        <f>SUBSTITUTE(_xlfn.TEXTBEFORE(mets2713[[#This Row],[pasted JSON metabolite keys and values from GSM biomass rxn]],":"),CHAR(34),"")</f>
        <v>linolen_c</v>
      </c>
      <c r="C64" t="str">
        <f>_xlfn.TEXTBEFORE(mets2713[[#This Row],[name]],"_",-1)</f>
        <v>linolen</v>
      </c>
      <c r="D64" t="str">
        <f>_xlfn.XLOOKUP(mets2713[[#This Row],[name w/o location]],metaboliteInfo[name w/o location],metaboliteInfo[suggested category],"")</f>
        <v>LIPID</v>
      </c>
      <c r="E64" s="21">
        <f>IFERROR(_xlfn.XLOOKUP(mets2713[[#This Row],[name w/o location]],metaboliteInfo[name w/o location],metaboliteInfo[MW for biomass normalization (g/mol)],0),0)</f>
        <v>277.42086</v>
      </c>
      <c r="F64">
        <f>_xlfn.NUMBERVALUE(SUBSTITUTE(_xlfn.TEXTAFTER(mets2713[[#This Row],[pasted JSON metabolite keys and values from GSM biomass rxn]],":"),",",""))</f>
        <v>-1.7831E-2</v>
      </c>
      <c r="G64" s="21" cm="1">
        <f t="array" ref="G64">_xlfn.LET(_xlpm.id,mets2713[[#This Row],[name w/o location]],IF(IsElementOfSet_DIY(_xlpm.id,{"atp","adp","h","pi","h2o"}),SIGN(mets2713[[#This Row],[raw (GSM) coefficient]])*(ABS(mets2713[[#This Row],[raw (GSM) coefficient]])-$J$2),mets2713[[#This Row],[raw (GSM) coefficient]]))</f>
        <v>-1.7831E-2</v>
      </c>
      <c r="H64" s="21">
        <f>mets2713[[#This Row],[coeff. w/o GAM]]</f>
        <v>-1.7831E-2</v>
      </c>
      <c r="I64" s="161">
        <f t="shared" si="3"/>
        <v>-1.7329773173808974E-2</v>
      </c>
      <c r="J64" s="21" cm="1">
        <f t="array" ref="J64">_xlfn.LET(_xlpm.id,mets2713[[#This Row],[name w/o location]],_xlpm.oldcoeff,mets2713[[#This Row],[normalized coeffs]],_xlpm.gam,$J$2-$G$2,_xlfn.IFS(IFERROR(MATCH(_xlpm.id,{"atp","h2o"},0),0)&gt;0,_xlpm.oldcoeff-_xlpm.gam,IFERROR(MATCH(_xlpm.id,{"adp","h","pi"},0),0)&gt;0,_xlpm.oldcoeff+_xlpm.gam,TRUE,_xlpm.oldcoeff))</f>
        <v>-1.7329773173808974E-2</v>
      </c>
      <c r="K64" t="str" cm="1">
        <f t="array" ref="K64">"BIOSYN-"&amp;_xlfn.IFS(IFERROR(MATCH(mets2713[[#This Row],[category]],{0,"0",""},0),0)&gt;0,mets2713[[#This Row],[name]],TRUE,mets2713[[#This Row],[category]]&amp;"-"&amp;mets2713[[#This Row],[name]])</f>
        <v>BIOSYN-LIPID-linolen_c</v>
      </c>
      <c r="L64" s="149" t="str" cm="1">
        <f t="array" ref="L64">IF(IsElementOfSet_DIY(mets2713[[#This Row],[category]],{"ignore","PROT"}),"",_xlfn.LET(_xlpm.mw,mets2713[[#This Row],[MW for biomass normalization (g/mol)]],"MET-"&amp;mets2713[[#This Row],[name]]&amp;" --&gt; "&amp;IF((mets2713[[#This Row],[category]]="DNA")+(mets2713[[#This Row],[category]]="RNA"),"MET-ppi_c + ","")&amp;ROUND(ABS(_xlpm.mw/1000),6)&amp;" BIO-"&amp;mets2713[[#This Row],[name]]))</f>
        <v>MET-linolen_c --&gt; 0.277421 BIO-linolen_c</v>
      </c>
      <c r="M64" s="149" cm="1">
        <f t="array" ref="M64">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-1.5773459639089792E-2</v>
      </c>
      <c r="N64" s="149"/>
      <c r="O64" s="149"/>
      <c r="P64" s="149"/>
      <c r="Q64" s="149"/>
      <c r="R64" s="149"/>
      <c r="S64" s="149"/>
      <c r="T64" s="149"/>
      <c r="U64" s="149"/>
      <c r="V64" s="149"/>
    </row>
    <row r="65" spans="1:22" ht="16" x14ac:dyDescent="0.2">
      <c r="A65" s="180" t="s">
        <v>1595</v>
      </c>
      <c r="B65" t="str">
        <f>SUBSTITUTE(_xlfn.TEXTBEFORE(mets2713[[#This Row],[pasted JSON metabolite keys and values from GSM biomass rxn]],":"),CHAR(34),"")</f>
        <v>hdca_c</v>
      </c>
      <c r="C65" t="str">
        <f>_xlfn.TEXTBEFORE(mets2713[[#This Row],[name]],"_",-1)</f>
        <v>hdca</v>
      </c>
      <c r="D65" t="str">
        <f>_xlfn.XLOOKUP(mets2713[[#This Row],[name w/o location]],metaboliteInfo[name w/o location],metaboliteInfo[suggested category],"")</f>
        <v>LIPID</v>
      </c>
      <c r="E65" s="21">
        <f>IFERROR(_xlfn.XLOOKUP(mets2713[[#This Row],[name w/o location]],metaboliteInfo[name w/o location],metaboliteInfo[MW for biomass normalization (g/mol)],0),0)</f>
        <v>255.41533999999999</v>
      </c>
      <c r="F65">
        <f>_xlfn.NUMBERVALUE(SUBSTITUTE(_xlfn.TEXTAFTER(mets2713[[#This Row],[pasted JSON metabolite keys and values from GSM biomass rxn]],":"),",",""))</f>
        <v>-2.5055000000000001E-2</v>
      </c>
      <c r="G65" s="21" cm="1">
        <f t="array" ref="G65">_xlfn.LET(_xlpm.id,mets2713[[#This Row],[name w/o location]],IF(IsElementOfSet_DIY(_xlpm.id,{"atp","adp","h","pi","h2o"}),SIGN(mets2713[[#This Row],[raw (GSM) coefficient]])*(ABS(mets2713[[#This Row],[raw (GSM) coefficient]])-$J$2),mets2713[[#This Row],[raw (GSM) coefficient]]))</f>
        <v>-2.5055000000000001E-2</v>
      </c>
      <c r="H65" s="21">
        <f>mets2713[[#This Row],[coeff. w/o GAM]]</f>
        <v>-2.5055000000000001E-2</v>
      </c>
      <c r="I65" s="161">
        <f t="shared" si="3"/>
        <v>-2.4350707580605903E-2</v>
      </c>
      <c r="J65" s="21" cm="1">
        <f t="array" ref="J65">_xlfn.LET(_xlpm.id,mets2713[[#This Row],[name w/o location]],_xlpm.oldcoeff,mets2713[[#This Row],[normalized coeffs]],_xlpm.gam,$J$2-$G$2,_xlfn.IFS(IFERROR(MATCH(_xlpm.id,{"atp","h2o"},0),0)&gt;0,_xlpm.oldcoeff-_xlpm.gam,IFERROR(MATCH(_xlpm.id,{"adp","h","pi"},0),0)&gt;0,_xlpm.oldcoeff+_xlpm.gam,TRUE,_xlpm.oldcoeff))</f>
        <v>-2.4350707580605903E-2</v>
      </c>
      <c r="K65" t="str" cm="1">
        <f t="array" ref="K65">"BIOSYN-"&amp;_xlfn.IFS(IFERROR(MATCH(mets2713[[#This Row],[category]],{0,"0",""},0),0)&gt;0,mets2713[[#This Row],[name]],TRUE,mets2713[[#This Row],[category]]&amp;"-"&amp;mets2713[[#This Row],[name]])</f>
        <v>BIOSYN-LIPID-hdca_c</v>
      </c>
      <c r="L65" s="149" t="str" cm="1">
        <f t="array" ref="L65">IF(IsElementOfSet_DIY(mets2713[[#This Row],[category]],{"ignore","PROT"}),"",_xlfn.LET(_xlpm.mw,mets2713[[#This Row],[MW for biomass normalization (g/mol)]],"MET-"&amp;mets2713[[#This Row],[name]]&amp;" --&gt; "&amp;IF((mets2713[[#This Row],[category]]="DNA")+(mets2713[[#This Row],[category]]="RNA"),"MET-ppi_c + ","")&amp;ROUND(ABS(_xlpm.mw/1000),6)&amp;" BIO-"&amp;mets2713[[#This Row],[name]]))</f>
        <v>MET-hdca_c --&gt; 0.255415 BIO-hdca_c</v>
      </c>
      <c r="M65" s="149" cm="1">
        <f t="array" ref="M65">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-2.2163873661454475E-2</v>
      </c>
      <c r="N65" s="149"/>
      <c r="O65" s="149"/>
      <c r="P65" s="149"/>
      <c r="Q65" s="149"/>
      <c r="R65" s="149"/>
      <c r="S65" s="149"/>
      <c r="T65" s="149"/>
      <c r="U65" s="149"/>
      <c r="V65" s="149"/>
    </row>
    <row r="66" spans="1:22" ht="16" x14ac:dyDescent="0.2">
      <c r="A66" s="180" t="s">
        <v>1596</v>
      </c>
      <c r="B66" t="str">
        <f>SUBSTITUTE(_xlfn.TEXTBEFORE(mets2713[[#This Row],[pasted JSON metabolite keys and values from GSM biomass rxn]],":"),CHAR(34),"")</f>
        <v>ocdca_c</v>
      </c>
      <c r="C66" t="str">
        <f>_xlfn.TEXTBEFORE(mets2713[[#This Row],[name]],"_",-1)</f>
        <v>ocdca</v>
      </c>
      <c r="D66" t="str">
        <f>_xlfn.XLOOKUP(mets2713[[#This Row],[name w/o location]],metaboliteInfo[name w/o location],metaboliteInfo[suggested category],"")</f>
        <v>LIPID</v>
      </c>
      <c r="E66" s="21">
        <f>IFERROR(_xlfn.XLOOKUP(mets2713[[#This Row],[name w/o location]],metaboliteInfo[name w/o location],metaboliteInfo[MW for biomass normalization (g/mol)],0),0)</f>
        <v>283.46850000000001</v>
      </c>
      <c r="F66">
        <f>_xlfn.NUMBERVALUE(SUBSTITUTE(_xlfn.TEXTAFTER(mets2713[[#This Row],[pasted JSON metabolite keys and values from GSM biomass rxn]],":"),",",""))</f>
        <v>-1.1809999999999999E-2</v>
      </c>
      <c r="G66" s="21" cm="1">
        <f t="array" ref="G66">_xlfn.LET(_xlpm.id,mets2713[[#This Row],[name w/o location]],IF(IsElementOfSet_DIY(_xlpm.id,{"atp","adp","h","pi","h2o"}),SIGN(mets2713[[#This Row],[raw (GSM) coefficient]])*(ABS(mets2713[[#This Row],[raw (GSM) coefficient]])-$J$2),mets2713[[#This Row],[raw (GSM) coefficient]]))</f>
        <v>-1.1809999999999999E-2</v>
      </c>
      <c r="H66" s="21">
        <f>mets2713[[#This Row],[coeff. w/o GAM]]</f>
        <v>-1.1809999999999999E-2</v>
      </c>
      <c r="I66" s="161">
        <f t="shared" si="3"/>
        <v>-1.1478022611333294E-2</v>
      </c>
      <c r="J66" s="21" cm="1">
        <f t="array" ref="J66">_xlfn.LET(_xlpm.id,mets2713[[#This Row],[name w/o location]],_xlpm.oldcoeff,mets2713[[#This Row],[normalized coeffs]],_xlpm.gam,$J$2-$G$2,_xlfn.IFS(IFERROR(MATCH(_xlpm.id,{"atp","h2o"},0),0)&gt;0,_xlpm.oldcoeff-_xlpm.gam,IFERROR(MATCH(_xlpm.id,{"adp","h","pi"},0),0)&gt;0,_xlpm.oldcoeff+_xlpm.gam,TRUE,_xlpm.oldcoeff))</f>
        <v>-1.1478022611333294E-2</v>
      </c>
      <c r="K66" t="str" cm="1">
        <f t="array" ref="K66">"BIOSYN-"&amp;_xlfn.IFS(IFERROR(MATCH(mets2713[[#This Row],[category]],{0,"0",""},0),0)&gt;0,mets2713[[#This Row],[name]],TRUE,mets2713[[#This Row],[category]]&amp;"-"&amp;mets2713[[#This Row],[name]])</f>
        <v>BIOSYN-LIPID-ocdca_c</v>
      </c>
      <c r="L66" s="149" t="str" cm="1">
        <f t="array" ref="L66">IF(IsElementOfSet_DIY(mets2713[[#This Row],[category]],{"ignore","PROT"}),"",_xlfn.LET(_xlpm.mw,mets2713[[#This Row],[MW for biomass normalization (g/mol)]],"MET-"&amp;mets2713[[#This Row],[name]]&amp;" --&gt; "&amp;IF((mets2713[[#This Row],[category]]="DNA")+(mets2713[[#This Row],[category]]="RNA"),"MET-ppi_c + ","")&amp;ROUND(ABS(_xlpm.mw/1000),6)&amp;" BIO-"&amp;mets2713[[#This Row],[name]]))</f>
        <v>MET-ocdca_c --&gt; 0.283469 BIO-ocdca_c</v>
      </c>
      <c r="M66" s="149" cm="1">
        <f t="array" ref="M6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-1.0447230011645473E-2</v>
      </c>
      <c r="N66" s="149"/>
      <c r="O66" s="149"/>
      <c r="P66" s="149"/>
      <c r="Q66" s="149"/>
      <c r="R66" s="149"/>
      <c r="S66" s="149"/>
      <c r="T66" s="149"/>
      <c r="U66" s="149"/>
      <c r="V66" s="149"/>
    </row>
    <row r="67" spans="1:22" ht="16" x14ac:dyDescent="0.2">
      <c r="A67" s="180" t="s">
        <v>1597</v>
      </c>
      <c r="B67" t="str">
        <f>SUBSTITUTE(_xlfn.TEXTBEFORE(mets2713[[#This Row],[pasted JSON metabolite keys and values from GSM biomass rxn]],":"),CHAR(34),"")</f>
        <v>ocdcea_c</v>
      </c>
      <c r="C67" t="str">
        <f>_xlfn.TEXTBEFORE(mets2713[[#This Row],[name]],"_",-1)</f>
        <v>ocdcea</v>
      </c>
      <c r="D67" t="str">
        <f>_xlfn.XLOOKUP(mets2713[[#This Row],[name w/o location]],metaboliteInfo[name w/o location],metaboliteInfo[suggested category],"")</f>
        <v>LIPID</v>
      </c>
      <c r="E67" s="21">
        <f>IFERROR(_xlfn.XLOOKUP(mets2713[[#This Row],[name w/o location]],metaboliteInfo[name w/o location],metaboliteInfo[MW for biomass normalization (g/mol)],0),0)</f>
        <v>281.45262000000002</v>
      </c>
      <c r="F67">
        <f>_xlfn.NUMBERVALUE(SUBSTITUTE(_xlfn.TEXTAFTER(mets2713[[#This Row],[pasted JSON metabolite keys and values from GSM biomass rxn]],":"),",",""))</f>
        <v>-5.586E-2</v>
      </c>
      <c r="G67" s="21" cm="1">
        <f t="array" ref="G67">_xlfn.LET(_xlpm.id,mets2713[[#This Row],[name w/o location]],IF(IsElementOfSet_DIY(_xlpm.id,{"atp","adp","h","pi","h2o"}),SIGN(mets2713[[#This Row],[raw (GSM) coefficient]])*(ABS(mets2713[[#This Row],[raw (GSM) coefficient]])-$J$2),mets2713[[#This Row],[raw (GSM) coefficient]]))</f>
        <v>-5.586E-2</v>
      </c>
      <c r="H67" s="21">
        <f>mets2713[[#This Row],[coeff. w/o GAM]]</f>
        <v>-5.586E-2</v>
      </c>
      <c r="I67" s="161">
        <f t="shared" si="3"/>
        <v>-5.4289783494418105E-2</v>
      </c>
      <c r="J67" s="21" cm="1">
        <f t="array" ref="J67">_xlfn.LET(_xlpm.id,mets2713[[#This Row],[name w/o location]],_xlpm.oldcoeff,mets2713[[#This Row],[normalized coeffs]],_xlpm.gam,$J$2-$G$2,_xlfn.IFS(IFERROR(MATCH(_xlpm.id,{"atp","h2o"},0),0)&gt;0,_xlpm.oldcoeff-_xlpm.gam,IFERROR(MATCH(_xlpm.id,{"adp","h","pi"},0),0)&gt;0,_xlpm.oldcoeff+_xlpm.gam,TRUE,_xlpm.oldcoeff))</f>
        <v>-5.4289783494418105E-2</v>
      </c>
      <c r="K67" t="str" cm="1">
        <f t="array" ref="K67">"BIOSYN-"&amp;_xlfn.IFS(IFERROR(MATCH(mets2713[[#This Row],[category]],{0,"0",""},0),0)&gt;0,mets2713[[#This Row],[name]],TRUE,mets2713[[#This Row],[category]]&amp;"-"&amp;mets2713[[#This Row],[name]])</f>
        <v>BIOSYN-LIPID-ocdcea_c</v>
      </c>
      <c r="L67" s="149" t="str" cm="1">
        <f t="array" ref="L67">IF(IsElementOfSet_DIY(mets2713[[#This Row],[category]],{"ignore","PROT"}),"",_xlfn.LET(_xlpm.mw,mets2713[[#This Row],[MW for biomass normalization (g/mol)]],"MET-"&amp;mets2713[[#This Row],[name]]&amp;" --&gt; "&amp;IF((mets2713[[#This Row],[category]]="DNA")+(mets2713[[#This Row],[category]]="RNA"),"MET-ppi_c + ","")&amp;ROUND(ABS(_xlpm.mw/1000),6)&amp;" BIO-"&amp;mets2713[[#This Row],[name]]))</f>
        <v>MET-ocdcea_c --&gt; 0.281453 BIO-ocdcea_c</v>
      </c>
      <c r="M67" s="149" cm="1">
        <f t="array" ref="M6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-4.9414247963633882E-2</v>
      </c>
      <c r="N67" s="149"/>
      <c r="O67" s="149"/>
      <c r="P67" s="149"/>
      <c r="Q67" s="149"/>
      <c r="R67" s="149"/>
      <c r="S67" s="149"/>
      <c r="T67" s="149"/>
      <c r="U67" s="149"/>
      <c r="V67" s="149"/>
    </row>
    <row r="68" spans="1:22" ht="16" x14ac:dyDescent="0.2">
      <c r="A68" s="180" t="s">
        <v>1568</v>
      </c>
      <c r="B68" t="str">
        <f>SUBSTITUTE(_xlfn.TEXTBEFORE(mets2713[[#This Row],[pasted JSON metabolite keys and values from GSM biomass rxn]],":"),CHAR(34),"")</f>
        <v>1mag_m</v>
      </c>
      <c r="C68" t="str">
        <f>_xlfn.TEXTBEFORE(mets2713[[#This Row],[name]],"_",-1)</f>
        <v>1mag</v>
      </c>
      <c r="D68" t="str">
        <f>_xlfn.XLOOKUP(mets2713[[#This Row],[name w/o location]],metaboliteInfo[name w/o location],metaboliteInfo[suggested category],"")</f>
        <v>LIPID</v>
      </c>
      <c r="E68" s="21">
        <f>IFERROR(_xlfn.XLOOKUP(mets2713[[#This Row],[name w/o location]],metaboliteInfo[name w/o location],metaboliteInfo[MW for biomass normalization (g/mol)],0),0)</f>
        <v>318.08587999999997</v>
      </c>
      <c r="F68">
        <f>_xlfn.NUMBERVALUE(SUBSTITUTE(_xlfn.TEXTAFTER(mets2713[[#This Row],[pasted JSON metabolite keys and values from GSM biomass rxn]],":"),",",""))</f>
        <v>-2.3517999999999998E-3</v>
      </c>
      <c r="G68" s="21" cm="1">
        <f t="array" ref="G68">_xlfn.LET(_xlpm.id,mets2713[[#This Row],[name w/o location]],IF(IsElementOfSet_DIY(_xlpm.id,{"atp","adp","h","pi","h2o"}),SIGN(mets2713[[#This Row],[raw (GSM) coefficient]])*(ABS(mets2713[[#This Row],[raw (GSM) coefficient]])-$J$2),mets2713[[#This Row],[raw (GSM) coefficient]]))</f>
        <v>-2.3517999999999998E-3</v>
      </c>
      <c r="H68" s="21">
        <f>mets2713[[#This Row],[coeff. w/o GAM]]</f>
        <v>-2.3517999999999998E-3</v>
      </c>
      <c r="I68" s="161">
        <f t="shared" si="3"/>
        <v>-2.2856912427886233E-3</v>
      </c>
      <c r="J68" s="21" cm="1">
        <f t="array" ref="J68">_xlfn.LET(_xlpm.id,mets2713[[#This Row],[name w/o location]],_xlpm.oldcoeff,mets2713[[#This Row],[normalized coeffs]],_xlpm.gam,$J$2-$G$2,_xlfn.IFS(IFERROR(MATCH(_xlpm.id,{"atp","h2o"},0),0)&gt;0,_xlpm.oldcoeff-_xlpm.gam,IFERROR(MATCH(_xlpm.id,{"adp","h","pi"},0),0)&gt;0,_xlpm.oldcoeff+_xlpm.gam,TRUE,_xlpm.oldcoeff))</f>
        <v>-2.2856912427886233E-3</v>
      </c>
      <c r="K68" t="str" cm="1">
        <f t="array" ref="K68">"BIOSYN-"&amp;_xlfn.IFS(IFERROR(MATCH(mets2713[[#This Row],[category]],{0,"0",""},0),0)&gt;0,mets2713[[#This Row],[name]],TRUE,mets2713[[#This Row],[category]]&amp;"-"&amp;mets2713[[#This Row],[name]])</f>
        <v>BIOSYN-LIPID-1mag_m</v>
      </c>
      <c r="L68" s="149" t="str" cm="1">
        <f t="array" ref="L68">IF(IsElementOfSet_DIY(mets2713[[#This Row],[category]],{"ignore","PROT"}),"",_xlfn.LET(_xlpm.mw,mets2713[[#This Row],[MW for biomass normalization (g/mol)]],"MET-"&amp;mets2713[[#This Row],[name]]&amp;" --&gt; "&amp;IF((mets2713[[#This Row],[category]]="DNA")+(mets2713[[#This Row],[category]]="RNA"),"MET-ppi_c + ","")&amp;ROUND(ABS(_xlpm.mw/1000),6)&amp;" BIO-"&amp;mets2713[[#This Row],[name]]))</f>
        <v>MET-1mag_m --&gt; 0.318086 BIO-1mag_m</v>
      </c>
      <c r="M68" s="149" cm="1">
        <f t="array" ref="M6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-2.0804229924968522E-3</v>
      </c>
      <c r="N68" s="149"/>
      <c r="O68" s="149"/>
      <c r="P68" s="149"/>
      <c r="Q68" s="149"/>
      <c r="R68" s="149"/>
      <c r="S68" s="149"/>
      <c r="T68" s="149"/>
      <c r="U68" s="149"/>
      <c r="V68" s="149"/>
    </row>
    <row r="69" spans="1:22" ht="16" x14ac:dyDescent="0.2">
      <c r="A69" s="180" t="s">
        <v>1569</v>
      </c>
      <c r="B69" t="str">
        <f>SUBSTITUTE(_xlfn.TEXTBEFORE(mets2713[[#This Row],[pasted JSON metabolite keys and values from GSM biomass rxn]],":"),CHAR(34),"")</f>
        <v>pail_c</v>
      </c>
      <c r="C69" t="str">
        <f>_xlfn.TEXTBEFORE(mets2713[[#This Row],[name]],"_",-1)</f>
        <v>pail</v>
      </c>
      <c r="D69" t="str">
        <f>_xlfn.XLOOKUP(mets2713[[#This Row],[name w/o location]],metaboliteInfo[name w/o location],metaboliteInfo[suggested category],"")</f>
        <v>LIPID</v>
      </c>
      <c r="E69" s="21">
        <f>IFERROR(_xlfn.XLOOKUP(mets2713[[#This Row],[name w/o location]],metaboliteInfo[name w/o location],metaboliteInfo[MW for biomass normalization (g/mol)],0),0)</f>
        <v>862.14885442176001</v>
      </c>
      <c r="F69">
        <f>_xlfn.NUMBERVALUE(SUBSTITUTE(_xlfn.TEXTAFTER(mets2713[[#This Row],[pasted JSON metabolite keys and values from GSM biomass rxn]],":"),",",""))</f>
        <v>-3.3844999999999999E-3</v>
      </c>
      <c r="G69" s="21" cm="1">
        <f t="array" ref="G69">_xlfn.LET(_xlpm.id,mets2713[[#This Row],[name w/o location]],IF(IsElementOfSet_DIY(_xlpm.id,{"atp","adp","h","pi","h2o"}),SIGN(mets2713[[#This Row],[raw (GSM) coefficient]])*(ABS(mets2713[[#This Row],[raw (GSM) coefficient]])-$J$2),mets2713[[#This Row],[raw (GSM) coefficient]]))</f>
        <v>-3.3844999999999999E-3</v>
      </c>
      <c r="H69" s="21">
        <f>mets2713[[#This Row],[coeff. w/o GAM]]</f>
        <v>-3.3844999999999999E-3</v>
      </c>
      <c r="I69" s="161">
        <f t="shared" si="3"/>
        <v>-3.2893621954324754E-3</v>
      </c>
      <c r="J69" s="21" cm="1">
        <f t="array" ref="J69">_xlfn.LET(_xlpm.id,mets2713[[#This Row],[name w/o location]],_xlpm.oldcoeff,mets2713[[#This Row],[normalized coeffs]],_xlpm.gam,$J$2-$G$2,_xlfn.IFS(IFERROR(MATCH(_xlpm.id,{"atp","h2o"},0),0)&gt;0,_xlpm.oldcoeff-_xlpm.gam,IFERROR(MATCH(_xlpm.id,{"adp","h","pi"},0),0)&gt;0,_xlpm.oldcoeff+_xlpm.gam,TRUE,_xlpm.oldcoeff))</f>
        <v>-3.2893621954324754E-3</v>
      </c>
      <c r="K69" t="str" cm="1">
        <f t="array" ref="K69">"BIOSYN-"&amp;_xlfn.IFS(IFERROR(MATCH(mets2713[[#This Row],[category]],{0,"0",""},0),0)&gt;0,mets2713[[#This Row],[name]],TRUE,mets2713[[#This Row],[category]]&amp;"-"&amp;mets2713[[#This Row],[name]])</f>
        <v>BIOSYN-LIPID-pail_c</v>
      </c>
      <c r="L69" s="149" t="str" cm="1">
        <f t="array" ref="L69">IF(IsElementOfSet_DIY(mets2713[[#This Row],[category]],{"ignore","PROT"}),"",_xlfn.LET(_xlpm.mw,mets2713[[#This Row],[MW for biomass normalization (g/mol)]],"MET-"&amp;mets2713[[#This Row],[name]]&amp;" --&gt; "&amp;IF((mets2713[[#This Row],[category]]="DNA")+(mets2713[[#This Row],[category]]="RNA"),"MET-ppi_c + ","")&amp;ROUND(ABS(_xlpm.mw/1000),6)&amp;" BIO-"&amp;mets2713[[#This Row],[name]]))</f>
        <v>MET-pail_c --&gt; 0.862149 BIO-pail_c</v>
      </c>
      <c r="M69" s="149" cm="1">
        <f t="array" ref="M6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-2.9939585075710504E-3</v>
      </c>
      <c r="N69" s="149"/>
      <c r="O69" s="149"/>
      <c r="P69" s="149"/>
      <c r="Q69" s="149"/>
      <c r="R69" s="149"/>
      <c r="S69" s="149"/>
      <c r="T69" s="149"/>
      <c r="U69" s="149"/>
      <c r="V69" s="149"/>
    </row>
    <row r="70" spans="1:22" ht="16" x14ac:dyDescent="0.2">
      <c r="A70" s="180" t="s">
        <v>1570</v>
      </c>
      <c r="B70" t="str">
        <f>SUBSTITUTE(_xlfn.TEXTBEFORE(mets2713[[#This Row],[pasted JSON metabolite keys and values from GSM biomass rxn]],":"),CHAR(34),"")</f>
        <v>ergst_c</v>
      </c>
      <c r="C70" t="str">
        <f>_xlfn.TEXTBEFORE(mets2713[[#This Row],[name]],"_",-1)</f>
        <v>ergst</v>
      </c>
      <c r="D70" t="str">
        <f>_xlfn.XLOOKUP(mets2713[[#This Row],[name w/o location]],metaboliteInfo[name w/o location],metaboliteInfo[suggested category],"")</f>
        <v>LIPID</v>
      </c>
      <c r="E70" s="21">
        <f>IFERROR(_xlfn.XLOOKUP(mets2713[[#This Row],[name w/o location]],metaboliteInfo[name w/o location],metaboliteInfo[MW for biomass normalization (g/mol)],0),0)</f>
        <v>396.648359999999</v>
      </c>
      <c r="F70">
        <f>_xlfn.NUMBERVALUE(SUBSTITUTE(_xlfn.TEXTAFTER(mets2713[[#This Row],[pasted JSON metabolite keys and values from GSM biomass rxn]],":"),",",""))</f>
        <v>-2.5512E-2</v>
      </c>
      <c r="G70" s="21" cm="1">
        <f t="array" ref="G70">_xlfn.LET(_xlpm.id,mets2713[[#This Row],[name w/o location]],IF(IsElementOfSet_DIY(_xlpm.id,{"atp","adp","h","pi","h2o"}),SIGN(mets2713[[#This Row],[raw (GSM) coefficient]])*(ABS(mets2713[[#This Row],[raw (GSM) coefficient]])-$J$2),mets2713[[#This Row],[raw (GSM) coefficient]]))</f>
        <v>-2.5512E-2</v>
      </c>
      <c r="H70" s="21">
        <f>mets2713[[#This Row],[coeff. w/o GAM]]</f>
        <v>-2.5512E-2</v>
      </c>
      <c r="I70" s="161">
        <f t="shared" ref="I70:I76" si="4">H70/($H$3)</f>
        <v>-2.4794861376827688E-2</v>
      </c>
      <c r="J70" s="21" cm="1">
        <f t="array" ref="J70">_xlfn.LET(_xlpm.id,mets2713[[#This Row],[name w/o location]],_xlpm.oldcoeff,mets2713[[#This Row],[normalized coeffs]],_xlpm.gam,$J$2-$G$2,_xlfn.IFS(IFERROR(MATCH(_xlpm.id,{"atp","h2o"},0),0)&gt;0,_xlpm.oldcoeff-_xlpm.gam,IFERROR(MATCH(_xlpm.id,{"adp","h","pi"},0),0)&gt;0,_xlpm.oldcoeff+_xlpm.gam,TRUE,_xlpm.oldcoeff))</f>
        <v>-2.4794861376827688E-2</v>
      </c>
      <c r="K70" t="str" cm="1">
        <f t="array" ref="K70">"BIOSYN-"&amp;_xlfn.IFS(IFERROR(MATCH(mets2713[[#This Row],[category]],{0,"0",""},0),0)&gt;0,mets2713[[#This Row],[name]],TRUE,mets2713[[#This Row],[category]]&amp;"-"&amp;mets2713[[#This Row],[name]])</f>
        <v>BIOSYN-LIPID-ergst_c</v>
      </c>
      <c r="L70" s="149" t="str" cm="1">
        <f t="array" ref="L70">IF(IsElementOfSet_DIY(mets2713[[#This Row],[category]],{"ignore","PROT"}),"",_xlfn.LET(_xlpm.mw,mets2713[[#This Row],[MW for biomass normalization (g/mol)]],"MET-"&amp;mets2713[[#This Row],[name]]&amp;" --&gt; "&amp;IF((mets2713[[#This Row],[category]]="DNA")+(mets2713[[#This Row],[category]]="RNA"),"MET-ppi_c + ","")&amp;ROUND(ABS(_xlpm.mw/1000),6)&amp;" BIO-"&amp;mets2713[[#This Row],[name]]))</f>
        <v>MET-ergst_c --&gt; 0.396648 BIO-ergst_c</v>
      </c>
      <c r="M70" s="149" cm="1">
        <f t="array" ref="M7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-2.2568139886291218E-2</v>
      </c>
      <c r="N70" s="149"/>
      <c r="O70" s="149"/>
      <c r="P70" s="149"/>
      <c r="Q70" s="149"/>
      <c r="R70" s="149"/>
      <c r="S70" s="149"/>
      <c r="T70" s="149"/>
      <c r="U70" s="149"/>
      <c r="V70" s="149"/>
    </row>
    <row r="71" spans="1:22" ht="16" x14ac:dyDescent="0.2">
      <c r="A71" s="180" t="s">
        <v>1571</v>
      </c>
      <c r="B71" t="str">
        <f>SUBSTITUTE(_xlfn.TEXTBEFORE(mets2713[[#This Row],[pasted JSON metabolite keys and values from GSM biomass rxn]],":"),CHAR(34),"")</f>
        <v>pc_c</v>
      </c>
      <c r="C71" t="str">
        <f>_xlfn.TEXTBEFORE(mets2713[[#This Row],[name]],"_",-1)</f>
        <v>pc</v>
      </c>
      <c r="D71" t="str">
        <f>_xlfn.XLOOKUP(mets2713[[#This Row],[name w/o location]],metaboliteInfo[name w/o location],metaboliteInfo[suggested category],"")</f>
        <v>LIPID</v>
      </c>
      <c r="E71" s="21">
        <f>IFERROR(_xlfn.XLOOKUP(mets2713[[#This Row],[name w/o location]],metaboliteInfo[name w/o location],metaboliteInfo[MW for biomass normalization (g/mol)],0),0)</f>
        <v>786.16573442176002</v>
      </c>
      <c r="F71">
        <f>_xlfn.NUMBERVALUE(SUBSTITUTE(_xlfn.TEXTAFTER(mets2713[[#This Row],[pasted JSON metabolite keys and values from GSM biomass rxn]],":"),",",""))</f>
        <v>-5.2864000000000001E-3</v>
      </c>
      <c r="G71" s="21" cm="1">
        <f t="array" ref="G71">_xlfn.LET(_xlpm.id,mets2713[[#This Row],[name w/o location]],IF(IsElementOfSet_DIY(_xlpm.id,{"atp","adp","h","pi","h2o"}),SIGN(mets2713[[#This Row],[raw (GSM) coefficient]])*(ABS(mets2713[[#This Row],[raw (GSM) coefficient]])-$J$2),mets2713[[#This Row],[raw (GSM) coefficient]]))</f>
        <v>-5.2864000000000001E-3</v>
      </c>
      <c r="H71" s="21">
        <f>mets2713[[#This Row],[coeff. w/o GAM]]</f>
        <v>-5.2864000000000001E-3</v>
      </c>
      <c r="I71" s="161">
        <f t="shared" si="4"/>
        <v>-5.1378000620281401E-3</v>
      </c>
      <c r="J71" s="21" cm="1">
        <f t="array" ref="J71">_xlfn.LET(_xlpm.id,mets2713[[#This Row],[name w/o location]],_xlpm.oldcoeff,mets2713[[#This Row],[normalized coeffs]],_xlpm.gam,$J$2-$G$2,_xlfn.IFS(IFERROR(MATCH(_xlpm.id,{"atp","h2o"},0),0)&gt;0,_xlpm.oldcoeff-_xlpm.gam,IFERROR(MATCH(_xlpm.id,{"adp","h","pi"},0),0)&gt;0,_xlpm.oldcoeff+_xlpm.gam,TRUE,_xlpm.oldcoeff))</f>
        <v>-5.1378000620281401E-3</v>
      </c>
      <c r="K71" t="str" cm="1">
        <f t="array" ref="K71">"BIOSYN-"&amp;_xlfn.IFS(IFERROR(MATCH(mets2713[[#This Row],[category]],{0,"0",""},0),0)&gt;0,mets2713[[#This Row],[name]],TRUE,mets2713[[#This Row],[category]]&amp;"-"&amp;mets2713[[#This Row],[name]])</f>
        <v>BIOSYN-LIPID-pc_c</v>
      </c>
      <c r="L71" s="149" t="str" cm="1">
        <f t="array" ref="L71">IF(IsElementOfSet_DIY(mets2713[[#This Row],[category]],{"ignore","PROT"}),"",_xlfn.LET(_xlpm.mw,mets2713[[#This Row],[MW for biomass normalization (g/mol)]],"MET-"&amp;mets2713[[#This Row],[name]]&amp;" --&gt; "&amp;IF((mets2713[[#This Row],[category]]="DNA")+(mets2713[[#This Row],[category]]="RNA"),"MET-ppi_c + ","")&amp;ROUND(ABS(_xlpm.mw/1000),6)&amp;" BIO-"&amp;mets2713[[#This Row],[name]]))</f>
        <v>MET-pc_c --&gt; 0.786166 BIO-pc_c</v>
      </c>
      <c r="M71" s="149" cm="1">
        <f t="array" ref="M7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-4.6763959977614428E-3</v>
      </c>
      <c r="N71" s="149"/>
      <c r="O71" s="149"/>
      <c r="P71" s="149"/>
      <c r="Q71" s="149"/>
      <c r="R71" s="149"/>
      <c r="S71" s="149"/>
      <c r="T71" s="149"/>
      <c r="U71" s="149"/>
      <c r="V71" s="149"/>
    </row>
    <row r="72" spans="1:22" ht="16" x14ac:dyDescent="0.2">
      <c r="A72" s="180" t="s">
        <v>1572</v>
      </c>
      <c r="B72" t="str">
        <f>SUBSTITUTE(_xlfn.TEXTBEFORE(mets2713[[#This Row],[pasted JSON metabolite keys and values from GSM biomass rxn]],":"),CHAR(34),"")</f>
        <v>pe_c</v>
      </c>
      <c r="C72" t="str">
        <f>_xlfn.TEXTBEFORE(mets2713[[#This Row],[name]],"_",-1)</f>
        <v>pe</v>
      </c>
      <c r="D72" t="str">
        <f>_xlfn.XLOOKUP(mets2713[[#This Row],[name w/o location]],metaboliteInfo[name w/o location],metaboliteInfo[suggested category],"")</f>
        <v>LIPID</v>
      </c>
      <c r="E72" s="21">
        <f>IFERROR(_xlfn.XLOOKUP(mets2713[[#This Row],[name w/o location]],metaboliteInfo[name w/o location],metaboliteInfo[MW for biomass normalization (g/mol)],0),0)</f>
        <v>744.08599442176001</v>
      </c>
      <c r="F72">
        <f>_xlfn.NUMBERVALUE(SUBSTITUTE(_xlfn.TEXTAFTER(mets2713[[#This Row],[pasted JSON metabolite keys and values from GSM biomass rxn]],":"),",",""))</f>
        <v>-4.0837E-3</v>
      </c>
      <c r="G72" s="21" cm="1">
        <f t="array" ref="G72">_xlfn.LET(_xlpm.id,mets2713[[#This Row],[name w/o location]],IF(IsElementOfSet_DIY(_xlpm.id,{"atp","adp","h","pi","h2o"}),SIGN(mets2713[[#This Row],[raw (GSM) coefficient]])*(ABS(mets2713[[#This Row],[raw (GSM) coefficient]])-$J$2),mets2713[[#This Row],[raw (GSM) coefficient]]))</f>
        <v>-4.0837E-3</v>
      </c>
      <c r="H72" s="21">
        <f>mets2713[[#This Row],[coeff. w/o GAM]]</f>
        <v>-4.0837E-3</v>
      </c>
      <c r="I72" s="161">
        <f t="shared" si="4"/>
        <v>-3.9689077847503617E-3</v>
      </c>
      <c r="J72" s="21" cm="1">
        <f t="array" ref="J72">_xlfn.LET(_xlpm.id,mets2713[[#This Row],[name w/o location]],_xlpm.oldcoeff,mets2713[[#This Row],[normalized coeffs]],_xlpm.gam,$J$2-$G$2,_xlfn.IFS(IFERROR(MATCH(_xlpm.id,{"atp","h2o"},0),0)&gt;0,_xlpm.oldcoeff-_xlpm.gam,IFERROR(MATCH(_xlpm.id,{"adp","h","pi"},0),0)&gt;0,_xlpm.oldcoeff+_xlpm.gam,TRUE,_xlpm.oldcoeff))</f>
        <v>-3.9689077847503617E-3</v>
      </c>
      <c r="K72" t="str" cm="1">
        <f t="array" ref="K72">"BIOSYN-"&amp;_xlfn.IFS(IFERROR(MATCH(mets2713[[#This Row],[category]],{0,"0",""},0),0)&gt;0,mets2713[[#This Row],[name]],TRUE,mets2713[[#This Row],[category]]&amp;"-"&amp;mets2713[[#This Row],[name]])</f>
        <v>BIOSYN-LIPID-pe_c</v>
      </c>
      <c r="L72" s="149" t="str" cm="1">
        <f t="array" ref="L72">IF(IsElementOfSet_DIY(mets2713[[#This Row],[category]],{"ignore","PROT"}),"",_xlfn.LET(_xlpm.mw,mets2713[[#This Row],[MW for biomass normalization (g/mol)]],"MET-"&amp;mets2713[[#This Row],[name]]&amp;" --&gt; "&amp;IF((mets2713[[#This Row],[category]]="DNA")+(mets2713[[#This Row],[category]]="RNA"),"MET-ppi_c + ","")&amp;ROUND(ABS(_xlpm.mw/1000),6)&amp;" BIO-"&amp;mets2713[[#This Row],[name]]))</f>
        <v>MET-pe_c --&gt; 0.744086 BIO-pe_c</v>
      </c>
      <c r="M72" s="149" cm="1">
        <f t="array" ref="M7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-3.6124769854832019E-3</v>
      </c>
      <c r="N72" s="149"/>
      <c r="O72" s="149"/>
      <c r="P72" s="149"/>
      <c r="Q72" s="149"/>
      <c r="R72" s="149"/>
      <c r="S72" s="149"/>
      <c r="T72" s="149"/>
      <c r="U72" s="149"/>
      <c r="V72" s="149"/>
    </row>
    <row r="73" spans="1:22" ht="16" x14ac:dyDescent="0.2">
      <c r="A73" s="180" t="s">
        <v>1573</v>
      </c>
      <c r="B73" t="str">
        <f>SUBSTITUTE(_xlfn.TEXTBEFORE(mets2713[[#This Row],[pasted JSON metabolite keys and values from GSM biomass rxn]],":"),CHAR(34),"")</f>
        <v>tag_c</v>
      </c>
      <c r="C73" t="str">
        <f>_xlfn.TEXTBEFORE(mets2713[[#This Row],[name]],"_",-1)</f>
        <v>tag</v>
      </c>
      <c r="D73" t="str">
        <f>_xlfn.XLOOKUP(mets2713[[#This Row],[name w/o location]],metaboliteInfo[name w/o location],metaboliteInfo[suggested category],"")</f>
        <v>LIPID</v>
      </c>
      <c r="E73" s="21">
        <f>IFERROR(_xlfn.XLOOKUP(mets2713[[#This Row],[name w/o location]],metaboliteInfo[name w/o location],metaboliteInfo[MW for biomass normalization (g/mol)],0),0)</f>
        <v>885.51292863263996</v>
      </c>
      <c r="F73">
        <f>_xlfn.NUMBERVALUE(SUBSTITUTE(_xlfn.TEXTAFTER(mets2713[[#This Row],[pasted JSON metabolite keys and values from GSM biomass rxn]],":"),",",""))</f>
        <v>-4.6147000000000001E-2</v>
      </c>
      <c r="G73" s="21" cm="1">
        <f t="array" ref="G73">_xlfn.LET(_xlpm.id,mets2713[[#This Row],[name w/o location]],IF(IsElementOfSet_DIY(_xlpm.id,{"atp","adp","h","pi","h2o"}),SIGN(mets2713[[#This Row],[raw (GSM) coefficient]])*(ABS(mets2713[[#This Row],[raw (GSM) coefficient]])-$J$2),mets2713[[#This Row],[raw (GSM) coefficient]]))</f>
        <v>-4.6147000000000001E-2</v>
      </c>
      <c r="H73" s="21">
        <f>mets2713[[#This Row],[coeff. w/o GAM]]</f>
        <v>-4.6147000000000001E-2</v>
      </c>
      <c r="I73" s="161">
        <f t="shared" si="4"/>
        <v>-4.4849814516951532E-2</v>
      </c>
      <c r="J73" s="21" cm="1">
        <f t="array" ref="J73">_xlfn.LET(_xlpm.id,mets2713[[#This Row],[name w/o location]],_xlpm.oldcoeff,mets2713[[#This Row],[normalized coeffs]],_xlpm.gam,$J$2-$G$2,_xlfn.IFS(IFERROR(MATCH(_xlpm.id,{"atp","h2o"},0),0)&gt;0,_xlpm.oldcoeff-_xlpm.gam,IFERROR(MATCH(_xlpm.id,{"adp","h","pi"},0),0)&gt;0,_xlpm.oldcoeff+_xlpm.gam,TRUE,_xlpm.oldcoeff))</f>
        <v>-4.4849814516951532E-2</v>
      </c>
      <c r="K73" t="str" cm="1">
        <f t="array" ref="K73">"BIOSYN-"&amp;_xlfn.IFS(IFERROR(MATCH(mets2713[[#This Row],[category]],{0,"0",""},0),0)&gt;0,mets2713[[#This Row],[name]],TRUE,mets2713[[#This Row],[category]]&amp;"-"&amp;mets2713[[#This Row],[name]])</f>
        <v>BIOSYN-LIPID-tag_c</v>
      </c>
      <c r="L73" s="149" t="str" cm="1">
        <f t="array" ref="L73">IF(IsElementOfSet_DIY(mets2713[[#This Row],[category]],{"ignore","PROT"}),"",_xlfn.LET(_xlpm.mw,mets2713[[#This Row],[MW for biomass normalization (g/mol)]],"MET-"&amp;mets2713[[#This Row],[name]]&amp;" --&gt; "&amp;IF((mets2713[[#This Row],[category]]="DNA")+(mets2713[[#This Row],[category]]="RNA"),"MET-ppi_c + ","")&amp;ROUND(ABS(_xlpm.mw/1000),6)&amp;" BIO-"&amp;mets2713[[#This Row],[name]]))</f>
        <v>MET-tag_c --&gt; 0.885513 BIO-tag_c</v>
      </c>
      <c r="M73" s="149" cm="1">
        <f t="array" ref="M7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-4.0822042620440618E-2</v>
      </c>
      <c r="N73" s="149"/>
      <c r="O73" s="149"/>
      <c r="P73" s="149"/>
      <c r="Q73" s="149"/>
      <c r="R73" s="149"/>
      <c r="S73" s="149"/>
      <c r="T73" s="149"/>
      <c r="U73" s="149"/>
      <c r="V73" s="149"/>
    </row>
    <row r="74" spans="1:22" ht="16" x14ac:dyDescent="0.2">
      <c r="A74" s="180" t="s">
        <v>1574</v>
      </c>
      <c r="B74" t="str">
        <f>SUBSTITUTE(_xlfn.TEXTBEFORE(mets2713[[#This Row],[pasted JSON metabolite keys and values from GSM biomass rxn]],":"),CHAR(34),"")</f>
        <v>ps_c</v>
      </c>
      <c r="C74" t="str">
        <f>_xlfn.TEXTBEFORE(mets2713[[#This Row],[name]],"_",-1)</f>
        <v>ps</v>
      </c>
      <c r="D74" t="str">
        <f>_xlfn.XLOOKUP(mets2713[[#This Row],[name w/o location]],metaboliteInfo[name w/o location],metaboliteInfo[suggested category],"")</f>
        <v>LIPID</v>
      </c>
      <c r="E74" s="21">
        <f>IFERROR(_xlfn.XLOOKUP(mets2713[[#This Row],[name w/o location]],metaboliteInfo[name w/o location],metaboliteInfo[MW for biomass normalization (g/mol)],0),0)</f>
        <v>786.07881442175994</v>
      </c>
      <c r="F74">
        <f>_xlfn.NUMBERVALUE(SUBSTITUTE(_xlfn.TEXTAFTER(mets2713[[#This Row],[pasted JSON metabolite keys and values from GSM biomass rxn]],":"),",",""))</f>
        <v>-1.3398E-2</v>
      </c>
      <c r="G74" s="21" cm="1">
        <f t="array" ref="G74">_xlfn.LET(_xlpm.id,mets2713[[#This Row],[name w/o location]],IF(IsElementOfSet_DIY(_xlpm.id,{"atp","adp","h","pi","h2o"}),SIGN(mets2713[[#This Row],[raw (GSM) coefficient]])*(ABS(mets2713[[#This Row],[raw (GSM) coefficient]])-$J$2),mets2713[[#This Row],[raw (GSM) coefficient]]))</f>
        <v>-1.3398E-2</v>
      </c>
      <c r="H74" s="21">
        <f>mets2713[[#This Row],[coeff. w/o GAM]]</f>
        <v>-1.3398E-2</v>
      </c>
      <c r="I74" s="161">
        <f t="shared" si="4"/>
        <v>-1.3021384161443141E-2</v>
      </c>
      <c r="J74" s="21" cm="1">
        <f t="array" ref="J74">_xlfn.LET(_xlpm.id,mets2713[[#This Row],[name w/o location]],_xlpm.oldcoeff,mets2713[[#This Row],[normalized coeffs]],_xlpm.gam,$J$2-$G$2,_xlfn.IFS(IFERROR(MATCH(_xlpm.id,{"atp","h2o"},0),0)&gt;0,_xlpm.oldcoeff-_xlpm.gam,IFERROR(MATCH(_xlpm.id,{"adp","h","pi"},0),0)&gt;0,_xlpm.oldcoeff+_xlpm.gam,TRUE,_xlpm.oldcoeff))</f>
        <v>-1.3021384161443141E-2</v>
      </c>
      <c r="K74" t="str" cm="1">
        <f t="array" ref="K74">"BIOSYN-"&amp;_xlfn.IFS(IFERROR(MATCH(mets2713[[#This Row],[category]],{0,"0",""},0),0)&gt;0,mets2713[[#This Row],[name]],TRUE,mets2713[[#This Row],[category]]&amp;"-"&amp;mets2713[[#This Row],[name]])</f>
        <v>BIOSYN-LIPID-ps_c</v>
      </c>
      <c r="L74" s="149" t="str" cm="1">
        <f t="array" ref="L74">IF(IsElementOfSet_DIY(mets2713[[#This Row],[category]],{"ignore","PROT"}),"",_xlfn.LET(_xlpm.mw,mets2713[[#This Row],[MW for biomass normalization (g/mol)]],"MET-"&amp;mets2713[[#This Row],[name]]&amp;" --&gt; "&amp;IF((mets2713[[#This Row],[category]]="DNA")+(mets2713[[#This Row],[category]]="RNA"),"MET-ppi_c + ","")&amp;ROUND(ABS(_xlpm.mw/1000),6)&amp;" BIO-"&amp;mets2713[[#This Row],[name]]))</f>
        <v>MET-ps_c --&gt; 0.786079 BIO-ps_c</v>
      </c>
      <c r="M74" s="149" cm="1">
        <f t="array" ref="M74">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-1.1851988797292639E-2</v>
      </c>
      <c r="N74" s="149"/>
      <c r="O74" s="149"/>
      <c r="P74" s="149"/>
      <c r="Q74" s="149"/>
      <c r="R74" s="149"/>
      <c r="S74" s="149"/>
      <c r="T74" s="149"/>
      <c r="U74" s="149"/>
      <c r="V74" s="149"/>
    </row>
    <row r="75" spans="1:22" ht="16" x14ac:dyDescent="0.2">
      <c r="A75" s="180" t="s">
        <v>1575</v>
      </c>
      <c r="B75" t="str">
        <f>SUBSTITUTE(_xlfn.TEXTBEFORE(mets2713[[#This Row],[pasted JSON metabolite keys and values from GSM biomass rxn]],":"),CHAR(34),"")</f>
        <v>dag_c</v>
      </c>
      <c r="C75" t="str">
        <f>_xlfn.TEXTBEFORE(mets2713[[#This Row],[name]],"_",-1)</f>
        <v>dag</v>
      </c>
      <c r="D75" t="str">
        <f>_xlfn.XLOOKUP(mets2713[[#This Row],[name w/o location]],metaboliteInfo[name w/o location],metaboliteInfo[suggested category],"")</f>
        <v>LIPID</v>
      </c>
      <c r="E75" s="21">
        <f>IFERROR(_xlfn.XLOOKUP(mets2713[[#This Row],[name w/o location]],metaboliteInfo[name w/o location],metaboliteInfo[MW for biomass normalization (g/mol)],0),0)</f>
        <v>317.07794000000001</v>
      </c>
      <c r="F75">
        <f>_xlfn.NUMBERVALUE(SUBSTITUTE(_xlfn.TEXTAFTER(mets2713[[#This Row],[pasted JSON metabolite keys and values from GSM biomass rxn]],":"),",",""))</f>
        <v>-1.5712E-2</v>
      </c>
      <c r="G75" s="21" cm="1">
        <f t="array" ref="G75">_xlfn.LET(_xlpm.id,mets2713[[#This Row],[name w/o location]],IF(IsElementOfSet_DIY(_xlpm.id,{"atp","adp","h","pi","h2o"}),SIGN(mets2713[[#This Row],[raw (GSM) coefficient]])*(ABS(mets2713[[#This Row],[raw (GSM) coefficient]])-$J$2),mets2713[[#This Row],[raw (GSM) coefficient]]))</f>
        <v>-1.5712E-2</v>
      </c>
      <c r="H75" s="21">
        <f>mets2713[[#This Row],[coeff. w/o GAM]]</f>
        <v>-1.5712E-2</v>
      </c>
      <c r="I75" s="161">
        <f t="shared" si="4"/>
        <v>-1.5270337956754337E-2</v>
      </c>
      <c r="J75" s="21" cm="1">
        <f t="array" ref="J75">_xlfn.LET(_xlpm.id,mets2713[[#This Row],[name w/o location]],_xlpm.oldcoeff,mets2713[[#This Row],[normalized coeffs]],_xlpm.gam,$J$2-$G$2,_xlfn.IFS(IFERROR(MATCH(_xlpm.id,{"atp","h2o"},0),0)&gt;0,_xlpm.oldcoeff-_xlpm.gam,IFERROR(MATCH(_xlpm.id,{"adp","h","pi"},0),0)&gt;0,_xlpm.oldcoeff+_xlpm.gam,TRUE,_xlpm.oldcoeff))</f>
        <v>-1.5270337956754337E-2</v>
      </c>
      <c r="K75" t="str" cm="1">
        <f t="array" ref="K75">"BIOSYN-"&amp;_xlfn.IFS(IFERROR(MATCH(mets2713[[#This Row],[category]],{0,"0",""},0),0)&gt;0,mets2713[[#This Row],[name]],TRUE,mets2713[[#This Row],[category]]&amp;"-"&amp;mets2713[[#This Row],[name]])</f>
        <v>BIOSYN-LIPID-dag_c</v>
      </c>
      <c r="L75" s="149" t="str" cm="1">
        <f t="array" ref="L75">IF(IsElementOfSet_DIY(mets2713[[#This Row],[category]],{"ignore","PROT"}),"",_xlfn.LET(_xlpm.mw,mets2713[[#This Row],[MW for biomass normalization (g/mol)]],"MET-"&amp;mets2713[[#This Row],[name]]&amp;" --&gt; "&amp;IF((mets2713[[#This Row],[category]]="DNA")+(mets2713[[#This Row],[category]]="RNA"),"MET-ppi_c + ","")&amp;ROUND(ABS(_xlpm.mw/1000),6)&amp;" BIO-"&amp;mets2713[[#This Row],[name]]))</f>
        <v>MET-dag_c --&gt; 0.317078 BIO-dag_c</v>
      </c>
      <c r="M75" s="149" cm="1">
        <f t="array" ref="M75">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-1.3898973576881768E-2</v>
      </c>
      <c r="N75" s="149"/>
      <c r="O75" s="149"/>
      <c r="P75" s="149"/>
      <c r="Q75" s="149"/>
      <c r="R75" s="149"/>
      <c r="S75" s="149"/>
      <c r="T75" s="149"/>
      <c r="U75" s="149"/>
      <c r="V75" s="149"/>
    </row>
    <row r="76" spans="1:22" ht="16" x14ac:dyDescent="0.2">
      <c r="A76" s="180" t="s">
        <v>1576</v>
      </c>
      <c r="B76" t="str">
        <f>SUBSTITUTE(_xlfn.TEXTBEFORE(mets2713[[#This Row],[pasted JSON metabolite keys and values from GSM biomass rxn]],":"),CHAR(34),"")</f>
        <v>clpn_mm</v>
      </c>
      <c r="C76" t="str">
        <f>_xlfn.TEXTBEFORE(mets2713[[#This Row],[name]],"_",-1)</f>
        <v>clpn</v>
      </c>
      <c r="D76" t="str">
        <f>_xlfn.XLOOKUP(mets2713[[#This Row],[name w/o location]],metaboliteInfo[name w/o location],metaboliteInfo[suggested category],"")</f>
        <v>LIPID</v>
      </c>
      <c r="E76" s="21">
        <f>IFERROR(_xlfn.XLOOKUP(mets2713[[#This Row],[name w/o location]],metaboliteInfo[name w/o location],metaboliteInfo[MW for biomass normalization (g/mol)],0),0)</f>
        <v>144970.98955999999</v>
      </c>
      <c r="F76">
        <f>_xlfn.NUMBERVALUE(SUBSTITUTE(_xlfn.TEXTAFTER(mets2713[[#This Row],[pasted JSON metabolite keys and values from GSM biomass rxn]],":"),",",""))</f>
        <v>-6.1536000000000002E-4</v>
      </c>
      <c r="G76" s="21" cm="1">
        <f t="array" ref="G76">_xlfn.LET(_xlpm.id,mets2713[[#This Row],[name w/o location]],IF(IsElementOfSet_DIY(_xlpm.id,{"atp","adp","h","pi","h2o"}),SIGN(mets2713[[#This Row],[raw (GSM) coefficient]])*(ABS(mets2713[[#This Row],[raw (GSM) coefficient]])-$J$2),mets2713[[#This Row],[raw (GSM) coefficient]]))</f>
        <v>-6.1536000000000002E-4</v>
      </c>
      <c r="H76" s="21">
        <f>mets2713[[#This Row],[coeff. w/o GAM]]</f>
        <v>-6.1536000000000002E-4</v>
      </c>
      <c r="I76" s="161">
        <f t="shared" si="4"/>
        <v>-5.9806231956901405E-4</v>
      </c>
      <c r="J76" s="21" cm="1">
        <f t="array" ref="J76">_xlfn.LET(_xlpm.id,mets2713[[#This Row],[name w/o location]],_xlpm.oldcoeff,mets2713[[#This Row],[normalized coeffs]],_xlpm.gam,$J$2-$G$2,_xlfn.IFS(IFERROR(MATCH(_xlpm.id,{"atp","h2o"},0),0)&gt;0,_xlpm.oldcoeff-_xlpm.gam,IFERROR(MATCH(_xlpm.id,{"adp","h","pi"},0),0)&gt;0,_xlpm.oldcoeff+_xlpm.gam,TRUE,_xlpm.oldcoeff))</f>
        <v>-5.9806231956901405E-4</v>
      </c>
      <c r="K76" t="str" cm="1">
        <f t="array" ref="K76">"BIOSYN-"&amp;_xlfn.IFS(IFERROR(MATCH(mets2713[[#This Row],[category]],{0,"0",""},0),0)&gt;0,mets2713[[#This Row],[name]],TRUE,mets2713[[#This Row],[category]]&amp;"-"&amp;mets2713[[#This Row],[name]])</f>
        <v>BIOSYN-LIPID-clpn_mm</v>
      </c>
      <c r="L76" s="149" t="str" cm="1">
        <f t="array" ref="L76">IF(IsElementOfSet_DIY(mets2713[[#This Row],[category]],{"ignore","PROT"}),"",_xlfn.LET(_xlpm.mw,mets2713[[#This Row],[MW for biomass normalization (g/mol)]],"MET-"&amp;mets2713[[#This Row],[name]]&amp;" --&gt; "&amp;IF((mets2713[[#This Row],[category]]="DNA")+(mets2713[[#This Row],[category]]="RNA"),"MET-ppi_c + ","")&amp;ROUND(ABS(_xlpm.mw/1000),6)&amp;" BIO-"&amp;mets2713[[#This Row],[name]]))</f>
        <v>MET-clpn_mm --&gt; 144.97099 BIO-clpn_mm</v>
      </c>
      <c r="M76" s="149" cm="1">
        <f t="array" ref="M76">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-5.4435287552634707E-4</v>
      </c>
      <c r="N76" s="149"/>
      <c r="O76" s="149"/>
      <c r="P76" s="149"/>
      <c r="Q76" s="149"/>
      <c r="R76" s="149"/>
      <c r="S76" s="149"/>
      <c r="T76" s="149"/>
      <c r="U76" s="149"/>
      <c r="V76" s="149"/>
    </row>
    <row r="77" spans="1:22" ht="16" x14ac:dyDescent="0.2">
      <c r="A77" s="180" t="s">
        <v>1577</v>
      </c>
      <c r="B77" t="str">
        <f>SUBSTITUTE(_xlfn.TEXTBEFORE(mets2713[[#This Row],[pasted JSON metabolite keys and values from GSM biomass rxn]],":"),CHAR(34),"")</f>
        <v>caro_c</v>
      </c>
      <c r="C77" t="str">
        <f>_xlfn.TEXTBEFORE(mets2713[[#This Row],[name]],"_",-1)</f>
        <v>caro</v>
      </c>
      <c r="D77" t="str">
        <f>_xlfn.XLOOKUP(mets2713[[#This Row],[name w/o location]],metaboliteInfo[name w/o location],metaboliteInfo[suggested category],"")</f>
        <v>COFACTOR</v>
      </c>
      <c r="E77" s="21">
        <f>IFERROR(_xlfn.XLOOKUP(mets2713[[#This Row],[name w/o location]],metaboliteInfo[name w/o location],metaboliteInfo[MW for biomass normalization (g/mol)],0),0)</f>
        <v>536.87264000000005</v>
      </c>
      <c r="F77">
        <f>_xlfn.NUMBERVALUE(SUBSTITUTE(_xlfn.TEXTAFTER(mets2713[[#This Row],[pasted JSON metabolite keys and values from GSM biomass rxn]],":"),",",""))</f>
        <v>-4.8000000000000001E-4</v>
      </c>
      <c r="G77" s="21" cm="1">
        <f t="array" ref="G77">_xlfn.LET(_xlpm.id,mets2713[[#This Row],[name w/o location]],IF(IsElementOfSet_DIY(_xlpm.id,{"atp","adp","h","pi","h2o"}),SIGN(mets2713[[#This Row],[raw (GSM) coefficient]])*(ABS(mets2713[[#This Row],[raw (GSM) coefficient]])-$J$2),mets2713[[#This Row],[raw (GSM) coefficient]]))</f>
        <v>-4.8000000000000001E-4</v>
      </c>
      <c r="H77" s="161">
        <f>mets2713[[#This Row],[coeff. w/o GAM]]</f>
        <v>-4.8000000000000001E-4</v>
      </c>
      <c r="I77" s="161">
        <f>H77/($H$3)</f>
        <v>-4.6650726955461318E-4</v>
      </c>
      <c r="J77" s="21" cm="1">
        <f t="array" ref="J77">_xlfn.LET(_xlpm.id,mets2713[[#This Row],[name w/o location]],_xlpm.oldcoeff,mets2713[[#This Row],[normalized coeffs]],_xlpm.gam,$J$2-$G$2,_xlfn.IFS(IFERROR(MATCH(_xlpm.id,{"atp","h2o"},0),0)&gt;0,_xlpm.oldcoeff-_xlpm.gam,IFERROR(MATCH(_xlpm.id,{"adp","h","pi"},0),0)&gt;0,_xlpm.oldcoeff+_xlpm.gam,TRUE,_xlpm.oldcoeff))</f>
        <v>-4.6650726955461318E-4</v>
      </c>
      <c r="K77" t="str" cm="1">
        <f t="array" ref="K77">"BIOSYN-"&amp;_xlfn.IFS(IFERROR(MATCH(mets2713[[#This Row],[category]],{0,"0",""},0),0)&gt;0,mets2713[[#This Row],[name]],TRUE,mets2713[[#This Row],[category]]&amp;"-"&amp;mets2713[[#This Row],[name]])</f>
        <v>BIOSYN-COFACTOR-caro_c</v>
      </c>
      <c r="L77" s="149" t="str" cm="1">
        <f t="array" ref="L77">IF(IsElementOfSet_DIY(mets2713[[#This Row],[category]],{"ignore","PROT"}),"",_xlfn.LET(_xlpm.mw,mets2713[[#This Row],[MW for biomass normalization (g/mol)]],"MET-"&amp;mets2713[[#This Row],[name]]&amp;" --&gt; "&amp;IF((mets2713[[#This Row],[category]]="DNA")+(mets2713[[#This Row],[category]]="RNA"),"MET-ppi_c + ","")&amp;ROUND(ABS(_xlpm.mw/1000),6)&amp;" BIO-"&amp;mets2713[[#This Row],[name]]))</f>
        <v>MET-caro_c --&gt; 0.536873 BIO-caro_c</v>
      </c>
      <c r="M77" s="149" cm="1">
        <f t="array" ref="M77">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-4.773926285676905E-4</v>
      </c>
      <c r="N77" s="149"/>
      <c r="O77" s="149"/>
      <c r="P77" s="149"/>
      <c r="Q77" s="149"/>
      <c r="R77" s="149"/>
      <c r="S77" s="149"/>
      <c r="T77" s="149"/>
      <c r="U77" s="149"/>
      <c r="V77" s="149"/>
    </row>
    <row r="78" spans="1:22" ht="16" x14ac:dyDescent="0.2">
      <c r="A78" s="180" t="s">
        <v>1578</v>
      </c>
      <c r="B78" t="str">
        <f>SUBSTITUTE(_xlfn.TEXTBEFORE(mets2713[[#This Row],[pasted JSON metabolite keys and values from GSM biomass rxn]],":"),CHAR(34),"")</f>
        <v>gcaro_c</v>
      </c>
      <c r="C78" t="str">
        <f>_xlfn.TEXTBEFORE(mets2713[[#This Row],[name]],"_",-1)</f>
        <v>gcaro</v>
      </c>
      <c r="D78" t="str">
        <f>_xlfn.XLOOKUP(mets2713[[#This Row],[name w/o location]],metaboliteInfo[name w/o location],metaboliteInfo[suggested category],"")</f>
        <v>COFACTOR</v>
      </c>
      <c r="E78" s="21">
        <f>IFERROR(_xlfn.XLOOKUP(mets2713[[#This Row],[name w/o location]],metaboliteInfo[name w/o location],metaboliteInfo[MW for biomass normalization (g/mol)],0),0)</f>
        <v>536.87264000000005</v>
      </c>
      <c r="F78">
        <f>_xlfn.NUMBERVALUE(SUBSTITUTE(_xlfn.TEXTAFTER(mets2713[[#This Row],[pasted JSON metabolite keys and values from GSM biomass rxn]],":"),",",""))</f>
        <v>-1.8000000000000001E-4</v>
      </c>
      <c r="G78" s="21" cm="1">
        <f t="array" ref="G78">_xlfn.LET(_xlpm.id,mets2713[[#This Row],[name w/o location]],IF(IsElementOfSet_DIY(_xlpm.id,{"atp","adp","h","pi","h2o"}),SIGN(mets2713[[#This Row],[raw (GSM) coefficient]])*(ABS(mets2713[[#This Row],[raw (GSM) coefficient]])-$J$2),mets2713[[#This Row],[raw (GSM) coefficient]]))</f>
        <v>-1.8000000000000001E-4</v>
      </c>
      <c r="H78" s="161">
        <f>mets2713[[#This Row],[coeff. w/o GAM]]</f>
        <v>-1.8000000000000001E-4</v>
      </c>
      <c r="I78" s="161">
        <f>H78/($H$3)</f>
        <v>-1.7494022608297995E-4</v>
      </c>
      <c r="J78" s="21" cm="1">
        <f t="array" ref="J78">_xlfn.LET(_xlpm.id,mets2713[[#This Row],[name w/o location]],_xlpm.oldcoeff,mets2713[[#This Row],[normalized coeffs]],_xlpm.gam,$J$2-$G$2,_xlfn.IFS(IFERROR(MATCH(_xlpm.id,{"atp","h2o"},0),0)&gt;0,_xlpm.oldcoeff-_xlpm.gam,IFERROR(MATCH(_xlpm.id,{"adp","h","pi"},0),0)&gt;0,_xlpm.oldcoeff+_xlpm.gam,TRUE,_xlpm.oldcoeff))</f>
        <v>-1.7494022608297995E-4</v>
      </c>
      <c r="K78" t="str" cm="1">
        <f t="array" ref="K78">"BIOSYN-"&amp;_xlfn.IFS(IFERROR(MATCH(mets2713[[#This Row],[category]],{0,"0",""},0),0)&gt;0,mets2713[[#This Row],[name]],TRUE,mets2713[[#This Row],[category]]&amp;"-"&amp;mets2713[[#This Row],[name]])</f>
        <v>BIOSYN-COFACTOR-gcaro_c</v>
      </c>
      <c r="L78" s="149" t="str" cm="1">
        <f t="array" ref="L78">IF(IsElementOfSet_DIY(mets2713[[#This Row],[category]],{"ignore","PROT"}),"",_xlfn.LET(_xlpm.mw,mets2713[[#This Row],[MW for biomass normalization (g/mol)]],"MET-"&amp;mets2713[[#This Row],[name]]&amp;" --&gt; "&amp;IF((mets2713[[#This Row],[category]]="DNA")+(mets2713[[#This Row],[category]]="RNA"),"MET-ppi_c + ","")&amp;ROUND(ABS(_xlpm.mw/1000),6)&amp;" BIO-"&amp;mets2713[[#This Row],[name]]))</f>
        <v>MET-gcaro_c --&gt; 0.536873 BIO-gcaro_c</v>
      </c>
      <c r="M78" s="149" cm="1">
        <f t="array" ref="M78">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-1.7902223571288395E-4</v>
      </c>
      <c r="N78" s="149"/>
      <c r="O78" s="149"/>
      <c r="P78" s="149"/>
      <c r="Q78" s="149"/>
      <c r="R78" s="149"/>
      <c r="S78" s="149"/>
      <c r="T78" s="149"/>
      <c r="U78" s="149"/>
      <c r="V78" s="149"/>
    </row>
    <row r="79" spans="1:22" ht="16" x14ac:dyDescent="0.2">
      <c r="A79" s="180" t="s">
        <v>1579</v>
      </c>
      <c r="B79" t="str">
        <f>SUBSTITUTE(_xlfn.TEXTBEFORE(mets2713[[#This Row],[pasted JSON metabolite keys and values from GSM biomass rxn]],":"),CHAR(34),"")</f>
        <v>toruln_c</v>
      </c>
      <c r="C79" t="str">
        <f>_xlfn.TEXTBEFORE(mets2713[[#This Row],[name]],"_",-1)</f>
        <v>toruln</v>
      </c>
      <c r="D79" t="str">
        <f>_xlfn.XLOOKUP(mets2713[[#This Row],[name w/o location]],metaboliteInfo[name w/o location],metaboliteInfo[suggested category],"")</f>
        <v>COFACTOR</v>
      </c>
      <c r="E79" s="21">
        <f>IFERROR(_xlfn.XLOOKUP(mets2713[[#This Row],[name w/o location]],metaboliteInfo[name w/o location],metaboliteInfo[MW for biomass normalization (g/mol)],0),0)</f>
        <v>534.85676000000001</v>
      </c>
      <c r="F79">
        <f>_xlfn.NUMBERVALUE(SUBSTITUTE(_xlfn.TEXTAFTER(mets2713[[#This Row],[pasted JSON metabolite keys and values from GSM biomass rxn]],":"),",",""))</f>
        <v>-1.6000000000000001E-4</v>
      </c>
      <c r="G79" s="21" cm="1">
        <f t="array" ref="G79">_xlfn.LET(_xlpm.id,mets2713[[#This Row],[name w/o location]],IF(IsElementOfSet_DIY(_xlpm.id,{"atp","adp","h","pi","h2o"}),SIGN(mets2713[[#This Row],[raw (GSM) coefficient]])*(ABS(mets2713[[#This Row],[raw (GSM) coefficient]])-$J$2),mets2713[[#This Row],[raw (GSM) coefficient]]))</f>
        <v>-1.6000000000000001E-4</v>
      </c>
      <c r="H79" s="161">
        <f>mets2713[[#This Row],[coeff. w/o GAM]]</f>
        <v>-1.6000000000000001E-4</v>
      </c>
      <c r="I79" s="161">
        <f>H79/($H$3)</f>
        <v>-1.5550242318487106E-4</v>
      </c>
      <c r="J79" s="21" cm="1">
        <f t="array" ref="J79">_xlfn.LET(_xlpm.id,mets2713[[#This Row],[name w/o location]],_xlpm.oldcoeff,mets2713[[#This Row],[normalized coeffs]],_xlpm.gam,$J$2-$G$2,_xlfn.IFS(IFERROR(MATCH(_xlpm.id,{"atp","h2o"},0),0)&gt;0,_xlpm.oldcoeff-_xlpm.gam,IFERROR(MATCH(_xlpm.id,{"adp","h","pi"},0),0)&gt;0,_xlpm.oldcoeff+_xlpm.gam,TRUE,_xlpm.oldcoeff))</f>
        <v>-1.5550242318487106E-4</v>
      </c>
      <c r="K79" t="str" cm="1">
        <f t="array" ref="K79">"BIOSYN-"&amp;_xlfn.IFS(IFERROR(MATCH(mets2713[[#This Row],[category]],{0,"0",""},0),0)&gt;0,mets2713[[#This Row],[name]],TRUE,mets2713[[#This Row],[category]]&amp;"-"&amp;mets2713[[#This Row],[name]])</f>
        <v>BIOSYN-COFACTOR-toruln_c</v>
      </c>
      <c r="L79" s="149" t="str" cm="1">
        <f t="array" ref="L79">IF(IsElementOfSet_DIY(mets2713[[#This Row],[category]],{"ignore","PROT"}),"",_xlfn.LET(_xlpm.mw,mets2713[[#This Row],[MW for biomass normalization (g/mol)]],"MET-"&amp;mets2713[[#This Row],[name]]&amp;" --&gt; "&amp;IF((mets2713[[#This Row],[category]]="DNA")+(mets2713[[#This Row],[category]]="RNA"),"MET-ppi_c + ","")&amp;ROUND(ABS(_xlpm.mw/1000),6)&amp;" BIO-"&amp;mets2713[[#This Row],[name]]))</f>
        <v>MET-toruln_c --&gt; 0.534857 BIO-toruln_c</v>
      </c>
      <c r="M79" s="149" cm="1">
        <f t="array" ref="M79">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-1.5913087618923017E-4</v>
      </c>
      <c r="N79" s="149"/>
      <c r="O79" s="149"/>
      <c r="P79" s="149"/>
      <c r="Q79" s="149"/>
      <c r="R79" s="149"/>
      <c r="S79" s="149"/>
      <c r="T79" s="149"/>
      <c r="U79" s="149"/>
      <c r="V79" s="149"/>
    </row>
    <row r="80" spans="1:22" ht="16" x14ac:dyDescent="0.2">
      <c r="A80" s="180" t="s">
        <v>1580</v>
      </c>
      <c r="B80" t="str">
        <f>SUBSTITUTE(_xlfn.TEXTBEFORE(mets2713[[#This Row],[pasted JSON metabolite keys and values from GSM biomass rxn]],":"),CHAR(34),"")</f>
        <v>torularho_c</v>
      </c>
      <c r="C80" t="str">
        <f>_xlfn.TEXTBEFORE(mets2713[[#This Row],[name]],"_",-1)</f>
        <v>torularho</v>
      </c>
      <c r="D80" t="str">
        <f>_xlfn.XLOOKUP(mets2713[[#This Row],[name w/o location]],metaboliteInfo[name w/o location],metaboliteInfo[suggested category],"")</f>
        <v>COFACTOR</v>
      </c>
      <c r="E80" s="21">
        <f>IFERROR(_xlfn.XLOOKUP(mets2713[[#This Row],[name w/o location]],metaboliteInfo[name w/o location],metaboliteInfo[MW for biomass normalization (g/mol)],0),0)</f>
        <v>564.83967999999902</v>
      </c>
      <c r="F80">
        <f>_xlfn.NUMBERVALUE(SUBSTITUTE(_xlfn.TEXTAFTER(mets2713[[#This Row],[pasted JSON metabolite keys and values from GSM biomass rxn]],":"),",",""))</f>
        <v>-4.2000000000000002E-4</v>
      </c>
      <c r="G80" s="21" cm="1">
        <f t="array" ref="G80">_xlfn.LET(_xlpm.id,mets2713[[#This Row],[name w/o location]],IF(IsElementOfSet_DIY(_xlpm.id,{"atp","adp","h","pi","h2o"}),SIGN(mets2713[[#This Row],[raw (GSM) coefficient]])*(ABS(mets2713[[#This Row],[raw (GSM) coefficient]])-$J$2),mets2713[[#This Row],[raw (GSM) coefficient]]))</f>
        <v>-4.2000000000000002E-4</v>
      </c>
      <c r="H80" s="161">
        <f>mets2713[[#This Row],[coeff. w/o GAM]]</f>
        <v>-4.2000000000000002E-4</v>
      </c>
      <c r="I80" s="161">
        <f>H80/($H$3)</f>
        <v>-4.0819386086028654E-4</v>
      </c>
      <c r="J80" s="21" cm="1">
        <f t="array" ref="J80">_xlfn.LET(_xlpm.id,mets2713[[#This Row],[name w/o location]],_xlpm.oldcoeff,mets2713[[#This Row],[normalized coeffs]],_xlpm.gam,$J$2-$G$2,_xlfn.IFS(IFERROR(MATCH(_xlpm.id,{"atp","h2o"},0),0)&gt;0,_xlpm.oldcoeff-_xlpm.gam,IFERROR(MATCH(_xlpm.id,{"adp","h","pi"},0),0)&gt;0,_xlpm.oldcoeff+_xlpm.gam,TRUE,_xlpm.oldcoeff))</f>
        <v>-4.0819386086028654E-4</v>
      </c>
      <c r="K80" t="str" cm="1">
        <f t="array" ref="K80">"BIOSYN-"&amp;_xlfn.IFS(IFERROR(MATCH(mets2713[[#This Row],[category]],{0,"0",""},0),0)&gt;0,mets2713[[#This Row],[name]],TRUE,mets2713[[#This Row],[category]]&amp;"-"&amp;mets2713[[#This Row],[name]])</f>
        <v>BIOSYN-COFACTOR-torularho_c</v>
      </c>
      <c r="L80" s="149" t="str" cm="1">
        <f t="array" ref="L80">IF(IsElementOfSet_DIY(mets2713[[#This Row],[category]],{"ignore","PROT"}),"",_xlfn.LET(_xlpm.mw,mets2713[[#This Row],[MW for biomass normalization (g/mol)]],"MET-"&amp;mets2713[[#This Row],[name]]&amp;" --&gt; "&amp;IF((mets2713[[#This Row],[category]]="DNA")+(mets2713[[#This Row],[category]]="RNA"),"MET-ppi_c + ","")&amp;ROUND(ABS(_xlpm.mw/1000),6)&amp;" BIO-"&amp;mets2713[[#This Row],[name]]))</f>
        <v>MET-torularho_c --&gt; 0.56484 BIO-torularho_c</v>
      </c>
      <c r="M80" s="149" cm="1">
        <f t="array" ref="M80">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-4.1771854999672918E-4</v>
      </c>
      <c r="N80" s="149"/>
      <c r="O80" s="149"/>
      <c r="P80" s="149"/>
      <c r="Q80" s="149"/>
      <c r="R80" s="149"/>
      <c r="S80" s="149"/>
      <c r="T80" s="149"/>
      <c r="U80" s="149"/>
      <c r="V80" s="149"/>
    </row>
    <row r="81" spans="1:22" ht="16" x14ac:dyDescent="0.2">
      <c r="A81" s="144" t="s">
        <v>1583</v>
      </c>
      <c r="B81" t="str">
        <f>SUBSTITUTE(_xlfn.TEXTBEFORE(mets2713[[#This Row],[pasted JSON metabolite keys and values from GSM biomass rxn]],":"),CHAR(34),"")</f>
        <v>ribflv_c</v>
      </c>
      <c r="C81" t="str">
        <f>_xlfn.TEXTBEFORE(mets2713[[#This Row],[name]],"_",-1)</f>
        <v>ribflv</v>
      </c>
      <c r="D81" t="str">
        <f>_xlfn.XLOOKUP(mets2713[[#This Row],[name w/o location]],metaboliteInfo[name w/o location],metaboliteInfo[suggested category],"")</f>
        <v>COFACTOR</v>
      </c>
      <c r="E81" s="21">
        <f>IFERROR(_xlfn.XLOOKUP(mets2713[[#This Row],[name w/o location]],metaboliteInfo[name w/o location],metaboliteInfo[MW for biomass normalization (g/mol)],0),0)</f>
        <v>375.35595999999998</v>
      </c>
      <c r="F81">
        <f>_xlfn.NUMBERVALUE(SUBSTITUTE(_xlfn.TEXTAFTER(mets2713[[#This Row],[pasted JSON metabolite keys and values from GSM biomass rxn]],":"),",",""))</f>
        <v>-9.8999999999999999E-4</v>
      </c>
      <c r="G81" s="21" cm="1">
        <f t="array" ref="G81">_xlfn.LET(_xlpm.id,mets2713[[#This Row],[name w/o location]],IF(IsElementOfSet_DIY(_xlpm.id,{"atp","adp","h","pi","h2o"}),SIGN(mets2713[[#This Row],[raw (GSM) coefficient]])*(ABS(mets2713[[#This Row],[raw (GSM) coefficient]])-$J$2),mets2713[[#This Row],[raw (GSM) coefficient]]))</f>
        <v>-9.8999999999999999E-4</v>
      </c>
      <c r="H81" s="161">
        <f>mets2713[[#This Row],[coeff. w/o GAM]]</f>
        <v>-9.8999999999999999E-4</v>
      </c>
      <c r="I81" s="161">
        <f t="shared" ref="I81:I83" si="5">H81/($H$3)</f>
        <v>-9.6217124345638965E-4</v>
      </c>
      <c r="J81" s="21" cm="1">
        <f t="array" ref="J81">_xlfn.LET(_xlpm.id,mets2713[[#This Row],[name w/o location]],_xlpm.oldcoeff,mets2713[[#This Row],[normalized coeffs]],_xlpm.gam,$J$2-$G$2,_xlfn.IFS(IFERROR(MATCH(_xlpm.id,{"atp","h2o"},0),0)&gt;0,_xlpm.oldcoeff-_xlpm.gam,IFERROR(MATCH(_xlpm.id,{"adp","h","pi"},0),0)&gt;0,_xlpm.oldcoeff+_xlpm.gam,TRUE,_xlpm.oldcoeff))</f>
        <v>-9.6217124345638965E-4</v>
      </c>
      <c r="K81" t="str" cm="1">
        <f t="array" ref="K81">"BIOSYN-"&amp;_xlfn.IFS(IFERROR(MATCH(mets2713[[#This Row],[category]],{0,"0",""},0),0)&gt;0,mets2713[[#This Row],[name]],TRUE,mets2713[[#This Row],[category]]&amp;"-"&amp;mets2713[[#This Row],[name]])</f>
        <v>BIOSYN-COFACTOR-ribflv_c</v>
      </c>
      <c r="L81" s="149" t="str" cm="1">
        <f t="array" ref="L81">IF(IsElementOfSet_DIY(mets2713[[#This Row],[category]],{"ignore","PROT"}),"",_xlfn.LET(_xlpm.mw,mets2713[[#This Row],[MW for biomass normalization (g/mol)]],"MET-"&amp;mets2713[[#This Row],[name]]&amp;" --&gt; "&amp;IF((mets2713[[#This Row],[category]]="DNA")+(mets2713[[#This Row],[category]]="RNA"),"MET-ppi_c + ","")&amp;ROUND(ABS(_xlpm.mw/1000),6)&amp;" BIO-"&amp;mets2713[[#This Row],[name]]))</f>
        <v>MET-ribflv_c --&gt; 0.375356 BIO-ribflv_c</v>
      </c>
      <c r="M81" s="149" cm="1">
        <f t="array" ref="M81">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-9.846222964208617E-4</v>
      </c>
      <c r="N81" s="149"/>
      <c r="O81" s="149"/>
      <c r="P81" s="149"/>
      <c r="Q81" s="149"/>
      <c r="R81" s="149"/>
      <c r="S81" s="149"/>
      <c r="T81" s="149"/>
      <c r="U81" s="149"/>
      <c r="V81" s="149"/>
    </row>
    <row r="82" spans="1:22" ht="16" x14ac:dyDescent="0.2">
      <c r="A82" s="144" t="s">
        <v>1584</v>
      </c>
      <c r="B82" t="str">
        <f>SUBSTITUTE(_xlfn.TEXTBEFORE(mets2713[[#This Row],[pasted JSON metabolite keys and values from GSM biomass rxn]],":"),CHAR(34),"")</f>
        <v>so4_c</v>
      </c>
      <c r="C82" t="str">
        <f>_xlfn.TEXTBEFORE(mets2713[[#This Row],[name]],"_",-1)</f>
        <v>so4</v>
      </c>
      <c r="D82" t="str">
        <f>_xlfn.XLOOKUP(mets2713[[#This Row],[name w/o location]],metaboliteInfo[name w/o location],metaboliteInfo[suggested category],"")</f>
        <v>SO4</v>
      </c>
      <c r="E82" s="21">
        <f>IFERROR(_xlfn.XLOOKUP(mets2713[[#This Row],[name w/o location]],metaboliteInfo[name w/o location],metaboliteInfo[MW for biomass normalization (g/mol)],0),0)</f>
        <v>96.062600000000003</v>
      </c>
      <c r="F82">
        <f>_xlfn.NUMBERVALUE(SUBSTITUTE(_xlfn.TEXTAFTER(mets2713[[#This Row],[pasted JSON metabolite keys and values from GSM biomass rxn]],":"),",",""))</f>
        <v>-0.02</v>
      </c>
      <c r="G82" s="21" cm="1">
        <f t="array" ref="G82">_xlfn.LET(_xlpm.id,mets2713[[#This Row],[name w/o location]],IF(IsElementOfSet_DIY(_xlpm.id,{"atp","adp","h","pi","h2o"}),SIGN(mets2713[[#This Row],[raw (GSM) coefficient]])*(ABS(mets2713[[#This Row],[raw (GSM) coefficient]])-$J$2),mets2713[[#This Row],[raw (GSM) coefficient]]))</f>
        <v>-0.02</v>
      </c>
      <c r="H82" s="161">
        <f>mets2713[[#This Row],[coeff. w/o GAM]]</f>
        <v>-0.02</v>
      </c>
      <c r="I82" s="161">
        <f t="shared" si="5"/>
        <v>-1.9437802898108883E-2</v>
      </c>
      <c r="J82" s="21" cm="1">
        <f t="array" ref="J82">_xlfn.LET(_xlpm.id,mets2713[[#This Row],[name w/o location]],_xlpm.oldcoeff,mets2713[[#This Row],[normalized coeffs]],_xlpm.gam,$J$2-$G$2,_xlfn.IFS(IFERROR(MATCH(_xlpm.id,{"atp","h2o"},0),0)&gt;0,_xlpm.oldcoeff-_xlpm.gam,IFERROR(MATCH(_xlpm.id,{"adp","h","pi"},0),0)&gt;0,_xlpm.oldcoeff+_xlpm.gam,TRUE,_xlpm.oldcoeff))</f>
        <v>-1.9437802898108883E-2</v>
      </c>
      <c r="K82" t="str" cm="1">
        <f t="array" ref="K82">"BIOSYN-"&amp;_xlfn.IFS(IFERROR(MATCH(mets2713[[#This Row],[category]],{0,"0",""},0),0)&gt;0,mets2713[[#This Row],[name]],TRUE,mets2713[[#This Row],[category]]&amp;"-"&amp;mets2713[[#This Row],[name]])</f>
        <v>BIOSYN-SO4-so4_c</v>
      </c>
      <c r="L82" s="149" t="str" cm="1">
        <f t="array" ref="L82">IF(IsElementOfSet_DIY(mets2713[[#This Row],[category]],{"ignore","PROT"}),"",_xlfn.LET(_xlpm.mw,mets2713[[#This Row],[MW for biomass normalization (g/mol)]],"MET-"&amp;mets2713[[#This Row],[name]]&amp;" --&gt; "&amp;IF((mets2713[[#This Row],[category]]="DNA")+(mets2713[[#This Row],[category]]="RNA"),"MET-ppi_c + ","")&amp;ROUND(ABS(_xlpm.mw/1000),6)&amp;" BIO-"&amp;mets2713[[#This Row],[name]]))</f>
        <v>MET-so4_c --&gt; 0.096063 BIO-so4_c</v>
      </c>
      <c r="M82" s="149" cm="1">
        <f t="array" ref="M82">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-1.9891359523653777E-2</v>
      </c>
      <c r="N82" s="149"/>
      <c r="O82" s="149"/>
      <c r="P82" s="149"/>
      <c r="Q82" s="149"/>
      <c r="R82" s="149"/>
      <c r="S82" s="149"/>
      <c r="T82" s="149"/>
      <c r="U82" s="149"/>
      <c r="V82" s="149"/>
    </row>
    <row r="83" spans="1:22" ht="16" x14ac:dyDescent="0.2">
      <c r="A83" s="144" t="s">
        <v>1585</v>
      </c>
      <c r="B83" t="str">
        <f>SUBSTITUTE(_xlfn.TEXTBEFORE(mets2713[[#This Row],[pasted JSON metabolite keys and values from GSM biomass rxn]],":"),CHAR(34),"")</f>
        <v>hemeA_c</v>
      </c>
      <c r="C83" t="str">
        <f>_xlfn.TEXTBEFORE(mets2713[[#This Row],[name]],"_",-1)</f>
        <v>hemeA</v>
      </c>
      <c r="D83" t="str">
        <f>_xlfn.XLOOKUP(mets2713[[#This Row],[name w/o location]],metaboliteInfo[name w/o location],metaboliteInfo[suggested category],"")</f>
        <v>COFACTOR</v>
      </c>
      <c r="E83" s="21">
        <f>IFERROR(_xlfn.XLOOKUP(mets2713[[#This Row],[name w/o location]],metaboliteInfo[name w/o location],metaboliteInfo[MW for biomass normalization (g/mol)],0),0)</f>
        <v>850.82126000000005</v>
      </c>
      <c r="F83">
        <f>_xlfn.NUMBERVALUE(SUBSTITUTE(_xlfn.TEXTAFTER(mets2713[[#This Row],[pasted JSON metabolite keys and values from GSM biomass rxn]],":"),",",""))</f>
        <v>-9.9999999999999995E-7</v>
      </c>
      <c r="G83" s="21" cm="1">
        <f t="array" ref="G83">_xlfn.LET(_xlpm.id,mets2713[[#This Row],[name w/o location]],IF(IsElementOfSet_DIY(_xlpm.id,{"atp","adp","h","pi","h2o"}),SIGN(mets2713[[#This Row],[raw (GSM) coefficient]])*(ABS(mets2713[[#This Row],[raw (GSM) coefficient]])-$J$2),mets2713[[#This Row],[raw (GSM) coefficient]]))</f>
        <v>-9.9999999999999995E-7</v>
      </c>
      <c r="H83" s="161">
        <f>mets2713[[#This Row],[coeff. w/o GAM]]</f>
        <v>-9.9999999999999995E-7</v>
      </c>
      <c r="I83" s="161">
        <f t="shared" si="5"/>
        <v>-9.7189014490544412E-7</v>
      </c>
      <c r="J83" s="21" cm="1">
        <f t="array" ref="J83">_xlfn.LET(_xlpm.id,mets2713[[#This Row],[name w/o location]],_xlpm.oldcoeff,mets2713[[#This Row],[normalized coeffs]],_xlpm.gam,$J$2-$G$2,_xlfn.IFS(IFERROR(MATCH(_xlpm.id,{"atp","h2o"},0),0)&gt;0,_xlpm.oldcoeff-_xlpm.gam,IFERROR(MATCH(_xlpm.id,{"adp","h","pi"},0),0)&gt;0,_xlpm.oldcoeff+_xlpm.gam,TRUE,_xlpm.oldcoeff))</f>
        <v>-9.7189014490544412E-7</v>
      </c>
      <c r="K83" t="str" cm="1">
        <f t="array" ref="K83">"BIOSYN-"&amp;_xlfn.IFS(IFERROR(MATCH(mets2713[[#This Row],[category]],{0,"0",""},0),0)&gt;0,mets2713[[#This Row],[name]],TRUE,mets2713[[#This Row],[category]]&amp;"-"&amp;mets2713[[#This Row],[name]])</f>
        <v>BIOSYN-COFACTOR-hemeA_c</v>
      </c>
      <c r="L83" s="149" t="str" cm="1">
        <f t="array" ref="L83">IF(IsElementOfSet_DIY(mets2713[[#This Row],[category]],{"ignore","PROT"}),"",_xlfn.LET(_xlpm.mw,mets2713[[#This Row],[MW for biomass normalization (g/mol)]],"MET-"&amp;mets2713[[#This Row],[name]]&amp;" --&gt; "&amp;IF((mets2713[[#This Row],[category]]="DNA")+(mets2713[[#This Row],[category]]="RNA"),"MET-ppi_c + ","")&amp;ROUND(ABS(_xlpm.mw/1000),6)&amp;" BIO-"&amp;mets2713[[#This Row],[name]]))</f>
        <v>MET-hemeA_c --&gt; 0.850821 BIO-hemeA_c</v>
      </c>
      <c r="M83" s="149" cm="1">
        <f t="array" ref="M83">_xlfn.LET(_xlpm.gam,$J$2,_xlpm.cat,IF(LEFT(mets2713[[#This Row],[name w/o location]],4)="trna","PROT",mets2713[[#This Row],[category]]),_xlpm.multipliers,_xlfn._xlws.FILTER(_xlfn.HSTACK(biomassComponents2612[normalized coeffs],biomassComponents2612[original coeffs from input]),(biomassComponents2612[rxn name]="BIOSYN-"&amp;_xlpm.cat)+IF(mets2713[[#This Row],[name w/o location]]="ppi",((biomassComponents2612[rxn name]="BIOSYN-DNA"))+((biomassComponents2612[rxn name]="BIOSYN-RNA"))&gt;0,FALSE),{1,1}),mets2713[[#This Row],[normalized coeffs]]*(IFERROR(SUM(_xlfn.CHOOSECOLS(_xlpm.multipliers,1))/SUM(_xlfn.CHOOSECOLS(_xlpm.multipliers,2)),0))+_xlfn.IFS(OR(mets2713[[#This Row],[name w/o location]]={"atp","h2o"}),-_xlpm.gam,OR(mets2713[[#This Row],[name w/o location]]={"adp","h","pi"}),_xlpm.gam,TRUE,0))</f>
        <v>-9.9456797618268855E-7</v>
      </c>
      <c r="N83" s="149"/>
      <c r="O83" s="149"/>
      <c r="P83" s="149"/>
      <c r="Q83" s="149"/>
      <c r="R83" s="149"/>
      <c r="S83" s="149"/>
      <c r="T83" s="149"/>
      <c r="U83" s="149"/>
      <c r="V83" s="149"/>
    </row>
    <row r="84" spans="1:22" ht="16" x14ac:dyDescent="0.2">
      <c r="A84" s="144"/>
      <c r="E84" s="21"/>
      <c r="G84" s="21"/>
      <c r="H84" s="21"/>
      <c r="I84" s="161"/>
      <c r="J84" s="21"/>
      <c r="L84" s="149"/>
      <c r="M84" s="149"/>
      <c r="N84" s="149"/>
      <c r="O84" s="149"/>
      <c r="P84" s="149"/>
      <c r="Q84" s="149"/>
      <c r="R84" s="149"/>
      <c r="S84" s="149"/>
      <c r="T84" s="149"/>
      <c r="U84" s="149"/>
      <c r="V84" s="149"/>
    </row>
    <row r="85" spans="1:22" ht="16" x14ac:dyDescent="0.2">
      <c r="A85" s="144"/>
      <c r="E85" s="21"/>
      <c r="G85" s="21"/>
      <c r="H85" s="21"/>
      <c r="I85" s="161"/>
      <c r="J85" s="21"/>
      <c r="L85" s="149"/>
      <c r="M85" s="149"/>
      <c r="N85" s="149"/>
      <c r="O85" s="149"/>
      <c r="P85" s="149"/>
      <c r="Q85" s="149"/>
      <c r="R85" s="149"/>
      <c r="S85" s="149"/>
      <c r="T85" s="149"/>
      <c r="U85" s="149"/>
      <c r="V85" s="149"/>
    </row>
    <row r="86" spans="1:22" ht="16" x14ac:dyDescent="0.2">
      <c r="A86" s="144"/>
      <c r="E86" s="21"/>
      <c r="G86" s="21"/>
      <c r="H86" s="21"/>
      <c r="I86" s="161"/>
      <c r="J86" s="21"/>
      <c r="L86" s="149"/>
      <c r="M86" s="149"/>
      <c r="N86" s="149"/>
      <c r="O86" s="149"/>
      <c r="P86" s="149"/>
      <c r="Q86" s="149"/>
      <c r="R86" s="149"/>
      <c r="S86" s="149"/>
      <c r="T86" s="149"/>
      <c r="U86" s="149"/>
      <c r="V86" s="149"/>
    </row>
    <row r="87" spans="1:22" ht="16" x14ac:dyDescent="0.2">
      <c r="A87" s="144"/>
      <c r="E87" s="21"/>
      <c r="G87" s="21"/>
      <c r="H87" s="21"/>
      <c r="I87" s="161"/>
      <c r="J87" s="21"/>
      <c r="L87" s="149"/>
      <c r="M87" s="149"/>
      <c r="N87" s="149"/>
      <c r="O87" s="149"/>
      <c r="P87" s="149"/>
      <c r="Q87" s="149"/>
      <c r="R87" s="149"/>
      <c r="S87" s="149"/>
      <c r="T87" s="149"/>
      <c r="U87" s="149"/>
      <c r="V87" s="149"/>
    </row>
    <row r="88" spans="1:22" ht="16" x14ac:dyDescent="0.2">
      <c r="A88" s="144"/>
      <c r="E88" s="21"/>
      <c r="G88" s="21"/>
      <c r="H88" s="21"/>
      <c r="I88" s="161"/>
      <c r="J88" s="21"/>
      <c r="L88" s="149"/>
      <c r="M88" s="149"/>
      <c r="N88" s="149"/>
      <c r="O88" s="149"/>
      <c r="P88" s="149"/>
      <c r="Q88" s="149"/>
      <c r="R88" s="149"/>
      <c r="S88" s="149"/>
      <c r="T88" s="149"/>
      <c r="U88" s="149"/>
      <c r="V88" s="149"/>
    </row>
    <row r="89" spans="1:22" ht="16" x14ac:dyDescent="0.2">
      <c r="A89" s="144"/>
      <c r="E89" s="21"/>
      <c r="G89" s="21"/>
      <c r="H89" s="21"/>
      <c r="I89" s="161"/>
      <c r="J89" s="21"/>
      <c r="L89" s="149"/>
      <c r="M89" s="149"/>
      <c r="N89" s="149"/>
      <c r="O89" s="149"/>
      <c r="P89" s="149"/>
      <c r="Q89" s="149"/>
      <c r="R89" s="149"/>
      <c r="S89" s="149"/>
      <c r="T89" s="149"/>
      <c r="U89" s="149"/>
      <c r="V89" s="149"/>
    </row>
    <row r="90" spans="1:22" ht="16" x14ac:dyDescent="0.2">
      <c r="A90" s="144"/>
      <c r="E90" s="21"/>
      <c r="G90" s="21"/>
      <c r="H90" s="21"/>
      <c r="I90" s="161"/>
      <c r="J90" s="21"/>
      <c r="L90" s="149"/>
      <c r="M90" s="149"/>
      <c r="N90" s="149"/>
      <c r="O90" s="149"/>
      <c r="P90" s="149"/>
      <c r="Q90" s="149"/>
      <c r="R90" s="149"/>
      <c r="S90" s="149"/>
      <c r="T90" s="149"/>
      <c r="U90" s="149"/>
      <c r="V90" s="149"/>
    </row>
    <row r="91" spans="1:22" ht="16" x14ac:dyDescent="0.2">
      <c r="A91" s="144"/>
      <c r="E91" s="21"/>
      <c r="G91" s="21"/>
      <c r="H91" s="21"/>
      <c r="I91" s="161"/>
      <c r="J91" s="21"/>
      <c r="L91" s="149"/>
      <c r="M91" s="149"/>
      <c r="N91" s="149"/>
      <c r="O91" s="149"/>
      <c r="P91" s="149"/>
      <c r="Q91" s="149"/>
      <c r="R91" s="149"/>
      <c r="S91" s="149"/>
      <c r="T91" s="149"/>
      <c r="U91" s="149"/>
      <c r="V91" s="149"/>
    </row>
    <row r="92" spans="1:22" ht="16" x14ac:dyDescent="0.2">
      <c r="A92" s="144"/>
      <c r="E92" s="21"/>
      <c r="G92" s="21"/>
      <c r="H92" s="21"/>
      <c r="I92" s="161"/>
      <c r="J92" s="21"/>
      <c r="L92" s="149"/>
      <c r="M92" s="149"/>
      <c r="N92" s="149"/>
      <c r="O92" s="149"/>
      <c r="P92" s="149"/>
      <c r="Q92" s="149"/>
      <c r="R92" s="149"/>
      <c r="S92" s="149"/>
      <c r="T92" s="149"/>
      <c r="U92" s="149"/>
      <c r="V92" s="149"/>
    </row>
    <row r="93" spans="1:22" ht="16" x14ac:dyDescent="0.2">
      <c r="A93" s="144"/>
      <c r="E93" s="21"/>
      <c r="G93" s="21"/>
      <c r="H93" s="21"/>
      <c r="I93" s="161"/>
      <c r="J93" s="21"/>
      <c r="L93" s="149"/>
      <c r="M93" s="149"/>
      <c r="N93" s="149"/>
      <c r="O93" s="149"/>
      <c r="P93" s="149"/>
      <c r="Q93" s="149"/>
      <c r="R93" s="149"/>
      <c r="S93" s="149"/>
      <c r="T93" s="149"/>
      <c r="U93" s="149"/>
      <c r="V93" s="149"/>
    </row>
    <row r="94" spans="1:22" ht="16" x14ac:dyDescent="0.2">
      <c r="A94" s="144"/>
      <c r="E94" s="21"/>
      <c r="G94" s="21"/>
      <c r="H94" s="21"/>
      <c r="I94" s="161"/>
      <c r="J94" s="21"/>
      <c r="L94" s="149"/>
      <c r="M94" s="149"/>
      <c r="N94" s="149"/>
      <c r="O94" s="149"/>
      <c r="P94" s="149"/>
      <c r="Q94" s="149"/>
      <c r="R94" s="149"/>
      <c r="S94" s="149"/>
      <c r="T94" s="149"/>
      <c r="U94" s="149"/>
      <c r="V94" s="149"/>
    </row>
    <row r="95" spans="1:22" ht="16" x14ac:dyDescent="0.2">
      <c r="A95" s="144"/>
      <c r="E95" s="21"/>
      <c r="G95" s="21"/>
      <c r="H95" s="21"/>
      <c r="I95" s="161"/>
      <c r="J95" s="21"/>
      <c r="L95" s="149"/>
      <c r="M95" s="149"/>
      <c r="N95" s="149"/>
      <c r="O95" s="149"/>
      <c r="P95" s="149"/>
      <c r="Q95" s="149"/>
      <c r="R95" s="149"/>
      <c r="S95" s="149"/>
      <c r="T95" s="149"/>
      <c r="U95" s="149"/>
      <c r="V95" s="149"/>
    </row>
    <row r="96" spans="1:22" ht="16" x14ac:dyDescent="0.2">
      <c r="A96" s="144"/>
      <c r="E96" s="21"/>
      <c r="G96" s="21"/>
      <c r="H96" s="21"/>
      <c r="I96" s="161"/>
      <c r="J96" s="21"/>
      <c r="L96" s="149"/>
      <c r="M96" s="149"/>
      <c r="N96" s="149"/>
      <c r="O96" s="149"/>
      <c r="P96" s="149"/>
      <c r="Q96" s="149"/>
      <c r="R96" s="149"/>
      <c r="S96" s="149"/>
      <c r="T96" s="149"/>
      <c r="U96" s="149"/>
      <c r="V96" s="149"/>
    </row>
    <row r="97" spans="1:22" ht="16" x14ac:dyDescent="0.2">
      <c r="A97" s="144"/>
      <c r="E97" s="21"/>
      <c r="G97" s="21"/>
      <c r="H97" s="21"/>
      <c r="I97" s="161"/>
      <c r="J97" s="21"/>
      <c r="L97" s="149"/>
      <c r="M97" s="149"/>
      <c r="N97" s="149"/>
      <c r="O97" s="149"/>
      <c r="P97" s="149"/>
      <c r="Q97" s="149"/>
      <c r="R97" s="149"/>
      <c r="S97" s="149"/>
      <c r="T97" s="149"/>
      <c r="U97" s="149"/>
      <c r="V97" s="149"/>
    </row>
    <row r="98" spans="1:22" ht="16" x14ac:dyDescent="0.2">
      <c r="A98" s="144"/>
      <c r="E98" s="21"/>
      <c r="G98" s="21"/>
      <c r="H98" s="21"/>
      <c r="I98" s="161"/>
      <c r="J98" s="21"/>
      <c r="L98" s="149"/>
      <c r="M98" s="149"/>
      <c r="N98" s="149"/>
      <c r="O98" s="149"/>
      <c r="P98" s="149"/>
      <c r="Q98" s="149"/>
      <c r="R98" s="149"/>
      <c r="S98" s="149"/>
      <c r="T98" s="149"/>
      <c r="U98" s="149"/>
      <c r="V98" s="149"/>
    </row>
  </sheetData>
  <mergeCells count="3">
    <mergeCell ref="A1:F1"/>
    <mergeCell ref="A2:F2"/>
    <mergeCell ref="D4:E4"/>
  </mergeCells>
  <conditionalFormatting sqref="S6:S12">
    <cfRule type="expression" dxfId="50" priority="1" stopIfTrue="1">
      <formula>NOT(_xlfn.ISFORMULA(S6))</formula>
    </cfRule>
  </conditionalFormatting>
  <conditionalFormatting sqref="T6:T12">
    <cfRule type="expression" dxfId="49" priority="2"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B0E08-FE46-E046-A197-7954EE43B053}">
  <dimension ref="A1:AG107"/>
  <sheetViews>
    <sheetView topLeftCell="O1" zoomScale="110" zoomScaleNormal="110" workbookViewId="0">
      <selection activeCell="Y7" sqref="Y7"/>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2" width="26.5" customWidth="1"/>
    <col min="13" max="13" width="26.6640625" bestFit="1"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12" customWidth="1"/>
    <col min="22" max="22" width="18.1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731</v>
      </c>
      <c r="B1" s="182"/>
      <c r="C1" s="182"/>
      <c r="D1" s="182"/>
      <c r="E1" s="182"/>
      <c r="F1" s="182"/>
      <c r="G1" s="148" t="s">
        <v>744</v>
      </c>
      <c r="I1" s="148"/>
      <c r="J1" s="148" t="s">
        <v>743</v>
      </c>
      <c r="K1" s="148" t="s">
        <v>758</v>
      </c>
      <c r="L1" s="148"/>
      <c r="M1" s="148"/>
      <c r="N1" s="148"/>
      <c r="O1" s="148"/>
      <c r="P1" s="148"/>
      <c r="Q1" s="148"/>
      <c r="R1" s="148"/>
      <c r="S1" s="145"/>
      <c r="T1" s="148"/>
      <c r="U1" s="148"/>
      <c r="V1" s="148"/>
      <c r="W1" s="148"/>
    </row>
    <row r="2" spans="1:33" ht="13" customHeight="1" x14ac:dyDescent="0.15">
      <c r="A2" s="182"/>
      <c r="B2" s="182"/>
      <c r="C2" s="182"/>
      <c r="D2" s="182"/>
      <c r="E2" s="182"/>
      <c r="F2" s="182"/>
      <c r="G2" s="140">
        <v>3.2721388263158619</v>
      </c>
      <c r="J2" s="145">
        <f>_xlfn.XLOOKUP("adp",mets272130[name w/o location],mets272130[raw (GSM) coefficient],0)</f>
        <v>190.57899</v>
      </c>
      <c r="K2" t="str" cm="1">
        <f t="array" ref="K2">_xlfn.LET(_xlpm.array,_xlfn._xlws.SORT(_xlfn._xlws.FILTER(_xlfn.HSTACK(mets272130[normalized coeff. w/ updated GAM]-mets272130[normalized coeffs],"MET-"&amp;mets272130[name]),(mets272130[category]="GAM")+(mets272130[name w/o location]="atp")+(mets272130[name w/o location]="pi"))),SUBSTITUTE(_xlfn.TEXTJOIN(" + ",TRUE,ABS(_xlfn.CHOOSECOLS(_xlpm.array,1))&amp;" "&amp;_xlfn.CHOOSECOLS(_xlpm.array,2))," + "," --&gt; ",2))</f>
        <v>187.306851173684 MET-atp_c + 187.306851173684 MET-h2o_c --&gt; 187.306851173684 MET-adp_c + 187.306851173684 MET-h_c + 187.306851173684 MET-pi_c</v>
      </c>
      <c r="L2" s="145"/>
      <c r="M2" s="164" t="s">
        <v>1123</v>
      </c>
      <c r="N2" s="145"/>
      <c r="O2" s="145"/>
      <c r="P2" s="145"/>
      <c r="Q2" s="145"/>
      <c r="R2" s="145"/>
      <c r="S2" s="145" cm="1">
        <f t="array" ref="S2">SUM(_xlfn._xlws.FILTER(biomassComponents262029[original coeffs from input],biomassComponents262029[pre-determined coeffs]&lt;&gt;""))</f>
        <v>0.5456588903670635</v>
      </c>
      <c r="T2" s="145" cm="1">
        <f t="array" ref="T2">SUM(_xlfn._xlws.FILTER(biomassComponents262029[pre-determined coeffs],biomassComponents262029[pre-determined coeffs]&lt;&gt;""))</f>
        <v>0.38400000000000001</v>
      </c>
      <c r="U2" s="145"/>
      <c r="V2" s="164" t="s">
        <v>1049</v>
      </c>
      <c r="W2" s="143"/>
      <c r="X2" s="143"/>
      <c r="Y2" s="143"/>
    </row>
    <row r="3" spans="1:33" ht="13" customHeight="1" x14ac:dyDescent="0.15">
      <c r="A3" s="143"/>
      <c r="B3" s="143"/>
      <c r="C3" s="143"/>
      <c r="D3" s="143"/>
      <c r="E3" s="143"/>
      <c r="F3" s="165" t="s">
        <v>1044</v>
      </c>
      <c r="G3" cm="1">
        <f t="array" ref="G3">_xlfn.LET(_xlpm.coeffs,mets272130[coeff. w/o GAM],-SUM(_xlfn._xlws.FILTER(_xlpm.coeffs*mets272130[MW for biomass normalization (g/mol)],(IFERROR(_xlfn.NUMBERVALUE(_xlpm.coeffs),0)&lt;0)*(_xlfn.IFNA(mets272130[category],"ignore")&lt;&gt;"ignore")))/1000)</f>
        <v>1.0078108806485355</v>
      </c>
      <c r="H3" s="145" cm="1">
        <f t="array" ref="H3">_xlfn.LET(_xlpm.coeffs,mets272130[coeffs after extra operations],-SUM(_xlfn._xlws.FILTER(_xlpm.coeffs*mets272130[MW for biomass normalization (g/mol)],(IFERROR(_xlfn.NUMBERVALUE(_xlpm.coeffs),0)&lt;0)*(_xlfn.IFNA(mets272130[category],"ignore")&lt;&gt;"ignore")))/1000)</f>
        <v>1.0078108806485355</v>
      </c>
      <c r="I3" s="143" cm="1">
        <f t="array" ref="I3">_xlfn.LET(_xlpm.coeffs,mets272130[normalized coeffs],-SUM(_xlfn._xlws.FILTER(_xlpm.coeffs*mets272130[MW for biomass normalization (g/mol)],(IFERROR(_xlfn.NUMBERVALUE(_xlpm.coeffs),0)&lt;0)*(_xlfn.IFNA(mets272130[category],"ignore")&lt;&gt;"ignore")))/1000)</f>
        <v>1.0000000000000002</v>
      </c>
      <c r="J3" s="145"/>
      <c r="L3" s="145"/>
      <c r="M3" s="145" t="str" cm="1">
        <f t="array" ref="M3">_xlfn.TEXTJOIN(","&amp;CHAR(10),TRUE,CHAR(34)&amp;mets272130[name]&amp;CHAR(34)&amp;":"&amp;mets272130[new GSM coeffs])</f>
        <v>"13BDglucan_c":-0.92092346932824,
"16BDglucan_en":-0.242347998180794,
"adp_c":190.57899,
"alatrna_c":-0.172974754580353,
"argtrna_c":-0.0683400565389626,
"asntrna_c":-0.082149722934235,
"asptrna_c":-0.082149722934235,
"atp_c":-190.670937323428,
"ca2_c":-0.0017300577630146,
"chtn_c":-0.0217723599040655,
"co2_c":0.00269060305289984,
"coa_c":0.00638076513995197,
"ctp_c":-0.160497162708528,
"cu2_c":-0.000153364374015291,
"cystrna_c":-0.0024785378723933,
"dag_c":0.00467639149248017,
"datp_c":-0.00808391687243757,
"dctp_c":-0.0126175830165738,
"dgtp_c":-0.0126175830165738,
"docoscoa_c":-3.25739894898072E-05,
"dttp_c":-0.00808391687243757,
"ergst_c":-0.100231437054074,
"ergstest_c":-0.024864373565517,
"fe2_c":-0.000893280213562747,
"glntrna_c":-0.137034250796625,
"glutrna_c":-0.137034250796625,
"glytrna_c":-0.157394825750087,
"glycogen_c":-0.315891596727232,
"gtp_c":-0.140629749765916,
"h_c":190.580719491151,
"h2o_c":-186.46551982459,
"histrna_c":-0.0341702413487344,
"hxccoa_c":-0.00233819574624008,
"iletrna_c":-0.10428056032269,
"k_c":-0.812091266441494,
"leutrna_c":-0.141814470761315,
"linocoa_c":-0.000617887754554815,
"linolncoa_c":-0.000152206526249653,
"lystrna_c":-0.116319964282969,
"mannan_c":-0.659399543189428,
"mettrna_c":-0.0201832930148588,
"mg2_c":-0.0855705941929001,
"mn2_c":-0.000126458343486292,
"nadp_c":0.00403590457934976,
"nadph_c":-0.00403590457934976,
"o2_c":-0.00134530152644992,
"odecoa_c":-0.000359840953015161,
"pail_c":-0.0227693501768859,
"pc_c":-0.0673002881640283,
"pe_c":-0.0180508711609734,
"phetrna_c":-0.0665697941039691,
"pi_c":190.436852167223,
"pmtcoa_c":-0.00497068662952408,
"ppi_c":0.518607011938812,
"protrna_c":-0.0747136831585489,
"ps_c":-0.0155326343422729,
"sertrna_c":-0.0952182996871258,
"so4_c":-0.0420043495603459,
"stcoa_c":-0.000195975544447317,
"tag_c":-0.0245370261610434,
"thrtrna_c":-0.0986152091405039,
"tre_c":-0.185257437302839,
"trptrna_c":-0.011507984302976,
"ttccoa_c":-0.0024226952808958,
"tyrtrna_c":-0.0347012348475312,
"utp_c":-0.0841311215595986,
"valtrna_c":-0.129775492959542,
"zn2_c":-0.00212019520568507,
"trnaala_c":0.172974754580353,
"trnaarg_c":0.0683400565389626,
"trnaasn_c":0.082149722934235,
"trnaasp_c":0.082149722934235,
"trnacys_c":0.0024785378723933,
"trnagln_c":0.137034250796625,
"trnaglu_c":0.137034250796625,
"trnahis_c":0.0341702413487344,
"trnaile_c":0.10428056032269,
"trnaleu_c":0.141814470761315,
"trnalys_c":0.116319964282969,
"trnamet_c":0.0201832930148588,
"trnaphe_c":0.0665697941039691,
"trnapro_c":0.0747136831585489,
"trnaser_c":0.0952182996871258,
"trnathr_c":0.0986152091405039,
"trnatrp_c":0.011507984302976,
"trnatyr_c":0.0347012348475312,
"trnaval_c":0.129775492959542,
"trnagly_c":0.157394825750087</v>
      </c>
      <c r="N3" s="145"/>
      <c r="O3" s="145"/>
      <c r="P3" s="145"/>
      <c r="Q3" s="145"/>
      <c r="R3" s="145"/>
      <c r="S3" s="145"/>
      <c r="T3" s="145"/>
      <c r="U3" s="145"/>
      <c r="V3" s="145" t="str" cm="1">
        <f t="array" ref="V3">_xlfn.LET(_xlpm.eqn,_xlfn.TEXTJOIN(" + ",TRUE,biomassComponents262029[new GSM coeffs])&amp;" + "&amp;K2,_xlpm.reactants,SUBSTITUTE(_xlfn.TEXTBEFORE(_xlpm.eqn,"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"13BDglucan_c":0.92092346932824,
"16BDglucan_en":0.242347998180794,
"chtn_c":0.0217723599040655,
"glycogen_c":0.315891596727232,
"mannan_c":0.659399543189428,
"tre_c":0.185257437302839,
"coa_c":-0.00638076513995197,
"nadp_c":-0.00403590457934976,
"nadph_c":0.00403590457934976,
"datp_c":0.00808391687243757,
"dctp_c":0.0126175830165738,
"dgtp_c":0.0126175830165738,
"dttp_c":0.00808391687243757,
"dag_c":-0.00467639149248017,
"docoscoa_c":3.25739894898072E-05,
"ergst_c":0.100231437054074,
"ergstest_c":0.024864373565517,
"hxccoa_c":0.00233819574624008,
"linocoa_c":0.000617887754554815,
"linolncoa_c":0.000152206526249653,
"odecoa_c":0.000359840953015161,
"pail_c":0.0227693501768859,
"pc_c":0.0673002881640283,
"pe_c":0.0180508711609734,
"pmtcoa_c":0.00497068662952408,
"ps_c":0.0155326343422729,
"stcoa_c":0.000195975544447317,
"tag_c":0.0245370261610434,
"ttccoa_c":0.0024226952808958,
"ca2_c":0.0017300577630146,
"cu2_c":0.000153364374015291,
"fe2_c":0.000893280213562747,
"k_c":0.812091266441494,
"mg2_c":0.0855705941929001,
"mn2_c":0.000126458343486292,
"zn2_c":0.00212019520568507,
"co2_c":-0.00269060305289984,
"o2_c":0.00134530152644992,
"pi_c":187.448989006461,
"alatrna_c":0.172974754580353,
"argtrna_c":0.0683400565389626,
"asntrna_c":0.082149722934235,
"asptrna_c":0.082149722934235,
"cystrna_c":0.0024785378723933,
"glntrna_c":0.137034250796625,
"glutrna_c":0.137034250796625,
"glytrna_c":0.157394825750087,
"histrna_c":0.0341702413487344,
"iletrna_c":0.10428056032269,
"leutrna_c":0.141814470761315,
"lystrna_c":0.116319964282969,
"mettrna_c":0.0201832930148588,
"phetrna_c":0.0665697941039691,
"protrna_c":0.0747136831585489,
"sertrna_c":0.0952182996871258,
"thrtrna_c":0.0986152091405039,
"trptrna_c":0.011507984302976,
"tyrtrna_c":0.0347012348475312,
"valtrna_c":0.129775492959542,
"atp_c":187.398798497112,
"ctp_c":0.160497162708528,
"gtp_c":0.140629749765916,
"utp_c":0.0841311215595987,
"so4_c":0.0420043495603459,
"h2o_c":187.306851173684,
"adp_c":187.306851173684,
"h_c":187.306851173684</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81" t="s">
        <v>1598</v>
      </c>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x14ac:dyDescent="0.2">
      <c r="A6" s="144" t="s">
        <v>1317</v>
      </c>
      <c r="B6" t="str">
        <f>SUBSTITUTE(_xlfn.TEXTBEFORE(mets272130[[#This Row],[pasted JSON metabolite keys and values from GSM biomass rxn]],":"),CHAR(34),"")</f>
        <v>13BDglucan_c</v>
      </c>
      <c r="C6" t="str">
        <f>_xlfn.TEXTBEFORE(mets272130[[#This Row],[name]],"_",-1)</f>
        <v>13BDglucan</v>
      </c>
      <c r="D6" t="str">
        <f>_xlfn.XLOOKUP(mets272130[[#This Row],[name w/o location]],metaboliteInfo[name w/o location],metaboliteInfo[suggested category],"")</f>
        <v>CARB</v>
      </c>
      <c r="E6" s="21">
        <f>_xlfn.XLOOKUP(mets272130[[#This Row],[name w/o location]],metaboliteInfo[name w/o location],metaboliteInfo[MW for biomass normalization (g/mol)],0)</f>
        <v>162.14060000000001</v>
      </c>
      <c r="F6" s="21">
        <f>_xlfn.NUMBERVALUE(SUBSTITUTE(_xlfn.TEXTAFTER(mets272130[[#This Row],[pasted JSON metabolite keys and values from GSM biomass rxn]],":"),",",""))</f>
        <v>-0.68454800000000005</v>
      </c>
      <c r="G6" s="21" cm="1">
        <f t="array" ref="G6">_xlfn.LET(_xlpm.id,mets272130[[#This Row],[name w/o location]],IF(IsElementOfSet_DIY(_xlpm.id,{"atp","adp","h","pi","h2o"}),SIGN(mets272130[[#This Row],[raw (GSM) coefficient]])*(ABS(mets272130[[#This Row],[raw (GSM) coefficient]])-$J$2),mets272130[[#This Row],[raw (GSM) coefficient]]))</f>
        <v>-0.68454800000000005</v>
      </c>
      <c r="H6" s="21">
        <f>mets272130[[#This Row],[coeff. w/o GAM]]</f>
        <v>-0.68454800000000005</v>
      </c>
      <c r="I6" s="161">
        <f t="shared" ref="I6:I69" si="0">H6/($H$3)</f>
        <v>-0.67924251776234756</v>
      </c>
      <c r="J6" s="21" cm="1">
        <f t="array" ref="J6">_xlfn.LET(_xlpm.id,mets272130[[#This Row],[name w/o location]],_xlpm.oldcoeff,mets272130[[#This Row],[normalized coeffs]],_xlpm.gam,$J$2-$G$2,_xlfn.IFS(IFERROR(MATCH(_xlpm.id,{"atp","h2o"},0),0)&gt;0,_xlpm.oldcoeff-_xlpm.gam,IFERROR(MATCH(_xlpm.id,{"adp","h","pi"},0),0)&gt;0,_xlpm.oldcoeff+_xlpm.gam,TRUE,_xlpm.oldcoeff))</f>
        <v>-0.67924251776234756</v>
      </c>
      <c r="K6" t="str" cm="1">
        <f t="array" ref="K6">"BIOSYN-"&amp;_xlfn.IFS(IFERROR(MATCH(mets272130[[#This Row],[category]],{0,"0",""},0),0)&gt;0,mets272130[[#This Row],[name]],TRUE,mets272130[[#This Row],[category]]&amp;"-"&amp;mets272130[[#This Row],[name]])</f>
        <v>BIOSYN-CARB-13BDglucan_c</v>
      </c>
      <c r="L6" s="149" t="str" cm="1">
        <f t="array" ref="L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MET-13BDglucan_c --&gt; 0.162141 BIO-13BDglucan_c</v>
      </c>
      <c r="M6" s="149" cm="1">
        <f t="array" ref="M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-0.92092346932823999</v>
      </c>
      <c r="N6" s="149"/>
      <c r="O6" s="162" t="str" cm="1">
        <f t="array" ref="O6:O15">"BIOSYN-"&amp;_xlfn._xlws.SORT(_xlfn.UNIQUE(_xlfn._xlws.FILTER(mets272130[category],(mets272130[category]&lt;&gt;0)*(mets272130[category]&lt;&gt;"GAM")*(mets272130[category]&lt;&gt;"ignore"))))</f>
        <v>BIOSYN-CARB</v>
      </c>
      <c r="P6" s="158" t="str">
        <f t="shared" ref="P6:P14" si="1">O6</f>
        <v>BIOSYN-CARB</v>
      </c>
      <c r="Q6" s="158" t="str">
        <f>SUBSTITUTE(LOWER(biomassComponents262029[[#This Row],[rxn name]]),"biosyn-","BIO-")</f>
        <v>BIO-carb</v>
      </c>
      <c r="R6" s="160">
        <f>biomassComponents2620[[#This Row],[normalized coeffs]]</f>
        <v>0.30029947573891186</v>
      </c>
      <c r="S6" s="160"/>
      <c r="T6" s="160" cm="1">
        <f t="array" ref="T6">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0.4071488868894545</v>
      </c>
      <c r="U6" s="158" t="str" cm="1">
        <f t="array" ref="U6">_xlfn.TEXTJOIN(" + ",TRUE,_xlfn._xlws.FILTER(ROUND(-mets272130[MW for biomass normalization (g/mol)]*mets272130[normalized coeffs]*(biomassComponents262029[[#This Row],[normalized coeffs]]/biomassComponents262029[[#This Row],[original coeffs from input]])/(1000*biomassComponents262029[[#This Row],[normalized coeffs]]),6)&amp;" BIO-"&amp;mets272130[name],mets272130[category]=_xlfn.TEXTAFTER(O6,"BIOSYN-"),""))&amp;" --&gt; "&amp;biomassComponents262029[[#This Row],[product name]]</f>
        <v>0.366743 BIO-13BDglucan_c + 0.096511 BIO-16BDglucan_en + 0.010866 BIO-chtn_c + 0.125799 BIO-glycogen_c + 0.262595 BIO-mannan_c + 0.155749 BIO-tre_c --&gt; BIO-carb</v>
      </c>
      <c r="V6" s="158" t="str" cm="1">
        <f t="array" ref="V6">IFERROR(_xlfn.TEXTJOIN(" + ",TRUE,_xlfn._xlws.FILTER((-mets272130[normalized coeffs]*biomassComponents262029[[#This Row],[normalized coeffs]]/biomassComponents262029[[#This Row],[original coeffs from input]])&amp;" BIO-"&amp;mets272130[name],mets272130[category]=_xlfn.TEXTAFTER(P6,"BIOSYN-"),"")),"")</f>
        <v>0.92092346932824 BIO-13BDglucan_c + 0.242347998180794 BIO-16BDglucan_en + 0.0217723599040655 BIO-chtn_c + 0.315891596727232 BIO-glycogen_c + 0.659399543189428 BIO-mannan_c + 0.185257437302839 BIO-tre_c</v>
      </c>
      <c r="Y6" s="152" t="s">
        <v>1599</v>
      </c>
      <c r="Z6" t="str">
        <f>SUBSTITUTE(Z7," --&gt; "," + "&amp;K2)</f>
        <v>0.407148886889454 BIO-carb + -0.00478035618047979 BIO-cofactor + 0.0125231217969651 BIO-dna + 0.183 BIO-lipid + 0.0334940037624519 BIO-metal + -7.40123500007834E-05 BIO-other + 0.0133976052041342 BIO-pi + 0.201 BIO-varbiom + 0.150328075421922 BIO-rna + 0.00396267545555288 BIO-so4 + 187.306851173684 MET-atp_c + 187.306851173684 MET-h2o_c --&gt; 187.306851173684 MET-adp_c + 187.306851173684 MET-h_c + 187.306851173684 MET-pi_c</v>
      </c>
      <c r="AB6" t="str" cm="1">
        <f t="array" ref="AB6:AC70">_xlfn.LET(_xlpm.macros,_xlfn._xlws.FILTER(_xlfn.HSTACK(_xlfn.ANCHORARRAY(O6),biomassComponents262029[stoichiometry (if needed)]),biomassComponents262029[stoichiometry (if needed)]&lt;&gt;""),_xlfn.VSTACK(_xlfn._xlws.FILTER(ExtraRxns251928[[name]:[stoichiometry]],ExtraRxns251928[stoichiometry]&lt;&gt;""),_xlpm.macros,_xlfn._xlws.SORT(_xlfn._xlws.FILTER(mets272130[[biomass equation name]:[biomass equation]],ISNUMBER(MATCH(mets272130[category],_xlfn.TEXTAFTER(biomassComponents262029[rxn name],"BIOSYN-"),0))*(mets272130[biomass equation]&lt;&gt;"")))))</f>
        <v>BIOSYN-BIOMASS_xyl_hybrid</v>
      </c>
      <c r="AC6" t="str">
        <v>0.407148886889454 BIO-carb + -0.00478035618047979 BIO-cofactor + 0.0125231217969651 BIO-dna + 0.183 BIO-lipid + 0.0334940037624519 BIO-metal + -7.40123500007834E-05 BIO-other + 0.0133976052041342 BIO-pi + 0.201 BIO-varbiom + 0.150328075421922 BIO-rna + 0.00396267545555288 BIO-so4 + 187.306851173684 MET-atp_c + 187.306851173684 MET-h2o_c --&gt; 187.306851173684 MET-adp_c + 187.306851173684 MET-h_c + 187.306851173684 MET-pi_c</v>
      </c>
    </row>
    <row r="7" spans="1:33" ht="16" x14ac:dyDescent="0.2">
      <c r="A7" s="144" t="s">
        <v>1418</v>
      </c>
      <c r="B7" t="str">
        <f>SUBSTITUTE(_xlfn.TEXTBEFORE(mets272130[[#This Row],[pasted JSON metabolite keys and values from GSM biomass rxn]],":"),CHAR(34),"")</f>
        <v>16BDglucan_en</v>
      </c>
      <c r="C7" t="str">
        <f>_xlfn.TEXTBEFORE(mets272130[[#This Row],[name]],"_",-1)</f>
        <v>16BDglucan</v>
      </c>
      <c r="D7" t="str">
        <f>_xlfn.XLOOKUP(mets272130[[#This Row],[name w/o location]],metaboliteInfo[name w/o location],metaboliteInfo[suggested category],"")</f>
        <v>CARB</v>
      </c>
      <c r="E7" s="21">
        <f>_xlfn.XLOOKUP(mets272130[[#This Row],[name w/o location]],metaboliteInfo[name w/o location],metaboliteInfo[MW for biomass normalization (g/mol)],0)</f>
        <v>162.14060000000001</v>
      </c>
      <c r="F7" s="21">
        <f>_xlfn.NUMBERVALUE(SUBSTITUTE(_xlfn.TEXTAFTER(mets272130[[#This Row],[pasted JSON metabolite keys and values from GSM biomass rxn]],":"),",",""))</f>
        <v>-0.180144</v>
      </c>
      <c r="G7" s="21" cm="1">
        <f t="array" ref="G7">_xlfn.LET(_xlpm.id,mets272130[[#This Row],[name w/o location]],IF(IsElementOfSet_DIY(_xlpm.id,{"atp","adp","h","pi","h2o"}),SIGN(mets272130[[#This Row],[raw (GSM) coefficient]])*(ABS(mets272130[[#This Row],[raw (GSM) coefficient]])-$J$2),mets272130[[#This Row],[raw (GSM) coefficient]]))</f>
        <v>-0.180144</v>
      </c>
      <c r="H7" s="161">
        <f>mets272130[[#This Row],[coeff. w/o GAM]]</f>
        <v>-0.180144</v>
      </c>
      <c r="I7" s="161">
        <f t="shared" si="0"/>
        <v>-0.17874782209542694</v>
      </c>
      <c r="J7" s="21" cm="1">
        <f t="array" ref="J7">_xlfn.LET(_xlpm.id,mets272130[[#This Row],[name w/o location]],_xlpm.oldcoeff,mets272130[[#This Row],[normalized coeffs]],_xlpm.gam,$J$2-$G$2,_xlfn.IFS(IFERROR(MATCH(_xlpm.id,{"atp","h2o"},0),0)&gt;0,_xlpm.oldcoeff-_xlpm.gam,IFERROR(MATCH(_xlpm.id,{"adp","h","pi"},0),0)&gt;0,_xlpm.oldcoeff+_xlpm.gam,TRUE,_xlpm.oldcoeff))</f>
        <v>-0.17874782209542694</v>
      </c>
      <c r="K7" t="str" cm="1">
        <f t="array" ref="K7">"BIOSYN-"&amp;_xlfn.IFS(IFERROR(MATCH(mets272130[[#This Row],[category]],{0,"0",""},0),0)&gt;0,mets272130[[#This Row],[name]],TRUE,mets272130[[#This Row],[category]]&amp;"-"&amp;mets272130[[#This Row],[name]])</f>
        <v>BIOSYN-CARB-16BDglucan_en</v>
      </c>
      <c r="L7" s="149" t="str" cm="1">
        <f t="array" ref="L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MET-16BDglucan_en --&gt; 0.162141 BIO-16BDglucan_en</v>
      </c>
      <c r="M7" s="149" cm="1">
        <f t="array" ref="M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-0.24234799818079439</v>
      </c>
      <c r="N7" s="149"/>
      <c r="O7" s="162" t="str">
        <v>BIOSYN-COFACTOR</v>
      </c>
      <c r="P7" s="158" t="str">
        <f t="shared" si="1"/>
        <v>BIOSYN-COFACTOR</v>
      </c>
      <c r="Q7" s="158" t="str">
        <f>SUBSTITUTE(LOWER(biomassComponents262029[[#This Row],[rxn name]]),"biosyn-","BIO-")</f>
        <v>BIO-cofactor</v>
      </c>
      <c r="R7" s="160">
        <f>biomassComponents2620[[#This Row],[normalized coeffs]]</f>
        <v>-3.5258317069478116E-3</v>
      </c>
      <c r="S7" s="160"/>
      <c r="T7" s="160" cm="1">
        <f t="array" ref="T7">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-4.780356180479786E-3</v>
      </c>
      <c r="U7" s="158" t="s">
        <v>1419</v>
      </c>
      <c r="V7" s="158" t="str" cm="1">
        <f t="array" ref="V7">IFERROR(_xlfn.TEXTJOIN(" + ",TRUE,_xlfn._xlws.FILTER((-mets272130[normalized coeffs]*biomassComponents262029[[#This Row],[normalized coeffs]]/biomassComponents262029[[#This Row],[original coeffs from input]])&amp;" BIO-"&amp;mets272130[name],mets272130[category]=_xlfn.TEXTAFTER(P7,"BIOSYN-"),"")),"")</f>
        <v>-0.00638076513995197 BIO-coa_c + -0.00403590457934976 BIO-nadp_c + 0.00403590457934976 BIO-nadph_c</v>
      </c>
      <c r="Y7" s="152" t="str">
        <f>Y6&amp;"-NOGAM"</f>
        <v>BIOSYN-BIOMASS_xyl_hybrid-NOGAM</v>
      </c>
      <c r="Z7" t="str" cm="1">
        <f t="array" ref="Z7">_xlfn.TEXTJOIN(" + ",TRUE,_xlfn._xlws.FILTER(biomassComponents262029[normalized coeffs]&amp;" "&amp;biomassComponents262029[product name],biomassComponents262029[normalized coeffs]&lt;&gt;0))&amp;" --&gt; "</f>
        <v xml:space="preserve">0.407148886889454 BIO-carb + -0.00478035618047979 BIO-cofactor + 0.0125231217969651 BIO-dna + 0.183 BIO-lipid + 0.0334940037624519 BIO-metal + -7.40123500007834E-05 BIO-other + 0.0133976052041342 BIO-pi + 0.201 BIO-varbiom + 0.150328075421922 BIO-rna + 0.00396267545555288 BIO-so4 --&gt; </v>
      </c>
      <c r="AB7" t="str">
        <v>BIOSYN-BIOMASS_xyl_hybrid-NOGAM</v>
      </c>
      <c r="AC7" t="str">
        <v xml:space="preserve">0.407148886889454 BIO-carb + -0.00478035618047979 BIO-cofactor + 0.0125231217969651 BIO-dna + 0.183 BIO-lipid + 0.0334940037624519 BIO-metal + -7.40123500007834E-05 BIO-other + 0.0133976052041342 BIO-pi + 0.201 BIO-varbiom + 0.150328075421922 BIO-rna + 0.00396267545555288 BIO-so4 --&gt; </v>
      </c>
    </row>
    <row r="8" spans="1:33" ht="16" x14ac:dyDescent="0.2">
      <c r="A8" s="144" t="s">
        <v>1314</v>
      </c>
      <c r="B8" t="str">
        <f>SUBSTITUTE(_xlfn.TEXTBEFORE(mets272130[[#This Row],[pasted JSON metabolite keys and values from GSM biomass rxn]],":"),CHAR(34),"")</f>
        <v>adp_c</v>
      </c>
      <c r="C8" t="str">
        <f>_xlfn.TEXTBEFORE(mets272130[[#This Row],[name]],"_",-1)</f>
        <v>adp</v>
      </c>
      <c r="D8" t="str">
        <f>_xlfn.XLOOKUP(mets272130[[#This Row],[name w/o location]],metaboliteInfo[name w/o location],metaboliteInfo[suggested category],"")</f>
        <v>GAM</v>
      </c>
      <c r="E8" s="21">
        <f>_xlfn.XLOOKUP(mets272130[[#This Row],[name w/o location]],metaboliteInfo[name w/o location],metaboliteInfo[MW for biomass normalization (g/mol)],0)</f>
        <v>424.177302</v>
      </c>
      <c r="F8" s="21">
        <f>_xlfn.NUMBERVALUE(SUBSTITUTE(_xlfn.TEXTAFTER(mets272130[[#This Row],[pasted JSON metabolite keys and values from GSM biomass rxn]],":"),",",""))</f>
        <v>190.57899</v>
      </c>
      <c r="G8" s="21" cm="1">
        <f t="array" ref="G8">_xlfn.LET(_xlpm.id,mets272130[[#This Row],[name w/o location]],IF(IsElementOfSet_DIY(_xlpm.id,{"atp","adp","h","pi","h2o"}),SIGN(mets272130[[#This Row],[raw (GSM) coefficient]])*(ABS(mets272130[[#This Row],[raw (GSM) coefficient]])-$J$2),mets272130[[#This Row],[raw (GSM) coefficient]]))</f>
        <v>0</v>
      </c>
      <c r="H8" s="21">
        <f>mets272130[[#This Row],[coeff. w/o GAM]]</f>
        <v>0</v>
      </c>
      <c r="I8" s="161">
        <f t="shared" si="0"/>
        <v>0</v>
      </c>
      <c r="J8" s="21" cm="1">
        <f t="array" ref="J8">_xlfn.LET(_xlpm.id,mets272130[[#This Row],[name w/o location]],_xlpm.oldcoeff,mets272130[[#This Row],[normalized coeffs]],_xlpm.gam,$J$2-$G$2,_xlfn.IFS(IFERROR(MATCH(_xlpm.id,{"atp","h2o"},0),0)&gt;0,_xlpm.oldcoeff-_xlpm.gam,IFERROR(MATCH(_xlpm.id,{"adp","h","pi"},0),0)&gt;0,_xlpm.oldcoeff+_xlpm.gam,TRUE,_xlpm.oldcoeff))</f>
        <v>187.30685117368415</v>
      </c>
      <c r="K8" t="str" cm="1">
        <f t="array" ref="K8">"BIOSYN-"&amp;_xlfn.IFS(IFERROR(MATCH(mets272130[[#This Row],[category]],{0,"0",""},0),0)&gt;0,mets272130[[#This Row],[name]],TRUE,mets272130[[#This Row],[category]]&amp;"-"&amp;mets272130[[#This Row],[name]])</f>
        <v>BIOSYN-GAM-adp_c</v>
      </c>
      <c r="L8" s="149" t="str" cm="1">
        <f t="array" ref="L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MET-adp_c --&gt; 0.424177 BIO-adp_c</v>
      </c>
      <c r="M8" s="149" cm="1">
        <f t="array" ref="M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190.57899</v>
      </c>
      <c r="N8" s="149"/>
      <c r="O8" s="162" t="str">
        <v>BIOSYN-DNA</v>
      </c>
      <c r="P8" s="158" t="str">
        <f t="shared" si="1"/>
        <v>BIOSYN-DNA</v>
      </c>
      <c r="Q8" s="158" t="str">
        <f>SUBSTITUTE(LOWER(biomassComponents262029[[#This Row],[rxn name]]),"biosyn-","BIO-")</f>
        <v>BIO-dna</v>
      </c>
      <c r="R8" s="160">
        <f>biomassComponents2620[[#This Row],[normalized coeffs]]</f>
        <v>9.2366380735414838E-3</v>
      </c>
      <c r="S8" s="160"/>
      <c r="T8" s="160" cm="1">
        <f t="array" ref="T8">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1.2523121796965138E-2</v>
      </c>
      <c r="U8" s="158" t="str" cm="1">
        <f t="array" ref="U8">_xlfn.TEXTJOIN(" + ",TRUE,_xlfn._xlws.FILTER(ROUND(-mets272130[MW for biomass normalization (g/mol)]*mets272130[normalized coeffs]*(biomassComponents262029[[#This Row],[normalized coeffs]]/biomassComponents262029[[#This Row],[original coeffs from input]])/(1000*biomassComponents262029[[#This Row],[normalized coeffs]]),6)&amp;" BIO-"&amp;mets272130[name],mets272130[category]=_xlfn.TEXTAFTER(O8,"BIOSYN-"),""))&amp;" --&gt; "&amp;biomassComponents262029[[#This Row],[product name]]</f>
        <v>0.20153 BIO-datp_c + 0.290348 BIO-dctp_c + 0.330674 BIO-dgtp_c + 0.195712 BIO-dttp_c --&gt; BIO-dna</v>
      </c>
      <c r="V8" s="158" t="str" cm="1">
        <f t="array" ref="V8">IFERROR(_xlfn.TEXTJOIN(" + ",TRUE,_xlfn._xlws.FILTER((-mets272130[normalized coeffs]*biomassComponents262029[[#This Row],[normalized coeffs]]/biomassComponents262029[[#This Row],[original coeffs from input]])&amp;" BIO-"&amp;mets272130[name],mets272130[category]=_xlfn.TEXTAFTER(P8,"BIOSYN-"),"")),"")</f>
        <v>0.00808391687243757 BIO-datp_c + 0.0126175830165738 BIO-dctp_c + 0.0126175830165738 BIO-dgtp_c + 0.00808391687243757 BIO-dttp_c</v>
      </c>
      <c r="X8" s="153" t="s">
        <v>757</v>
      </c>
      <c r="Y8" t="s">
        <v>49</v>
      </c>
      <c r="Z8" t="s">
        <v>747</v>
      </c>
      <c r="AB8" t="str">
        <v>BIOSYN-PROTTOBIO</v>
      </c>
      <c r="AC8" t="str">
        <v>BIO-prot --&gt; BIO-varbiom</v>
      </c>
    </row>
    <row r="9" spans="1:33" ht="16" x14ac:dyDescent="0.2">
      <c r="A9" s="144" t="s">
        <v>1318</v>
      </c>
      <c r="B9" t="str">
        <f>SUBSTITUTE(_xlfn.TEXTBEFORE(mets272130[[#This Row],[pasted JSON metabolite keys and values from GSM biomass rxn]],":"),CHAR(34),"")</f>
        <v>alatrna_c</v>
      </c>
      <c r="C9" t="str">
        <f>_xlfn.TEXTBEFORE(mets272130[[#This Row],[name]],"_",-1)</f>
        <v>alatrna</v>
      </c>
      <c r="D9" t="str">
        <f>_xlfn.XLOOKUP(mets272130[[#This Row],[name w/o location]],metaboliteInfo[name w/o location],metaboliteInfo[suggested category],"")</f>
        <v>PROT</v>
      </c>
      <c r="E9" s="21">
        <f>_xlfn.XLOOKUP(mets272130[[#This Row],[name w/o location]],metaboliteInfo[name w/o location],metaboliteInfo[MW for biomass normalization (g/mol)],0)</f>
        <v>72.085840000000005</v>
      </c>
      <c r="F9" s="21">
        <f>_xlfn.NUMBERVALUE(SUBSTITUTE(_xlfn.TEXTAFTER(mets272130[[#This Row],[pasted JSON metabolite keys and values from GSM biomass rxn]],":"),",",""))</f>
        <v>-0.405893</v>
      </c>
      <c r="G9" s="21" cm="1">
        <f t="array" ref="G9">_xlfn.LET(_xlpm.id,mets272130[[#This Row],[name w/o location]],IF(IsElementOfSet_DIY(_xlpm.id,{"atp","adp","h","pi","h2o"}),SIGN(mets272130[[#This Row],[raw (GSM) coefficient]])*(ABS(mets272130[[#This Row],[raw (GSM) coefficient]])-$J$2),mets272130[[#This Row],[raw (GSM) coefficient]]))</f>
        <v>-0.405893</v>
      </c>
      <c r="H9" s="21">
        <f>mets272130[[#This Row],[coeff. w/o GAM]]</f>
        <v>-0.405893</v>
      </c>
      <c r="I9" s="161">
        <f t="shared" si="0"/>
        <v>-0.40274718976917984</v>
      </c>
      <c r="J9" s="21" cm="1">
        <f t="array" ref="J9">_xlfn.LET(_xlpm.id,mets272130[[#This Row],[name w/o location]],_xlpm.oldcoeff,mets272130[[#This Row],[normalized coeffs]],_xlpm.gam,$J$2-$G$2,_xlfn.IFS(IFERROR(MATCH(_xlpm.id,{"atp","h2o"},0),0)&gt;0,_xlpm.oldcoeff-_xlpm.gam,IFERROR(MATCH(_xlpm.id,{"adp","h","pi"},0),0)&gt;0,_xlpm.oldcoeff+_xlpm.gam,TRUE,_xlpm.oldcoeff))</f>
        <v>-0.40274718976917984</v>
      </c>
      <c r="K9" t="str" cm="1">
        <f t="array" ref="K9">"BIOSYN-"&amp;_xlfn.IFS(IFERROR(MATCH(mets272130[[#This Row],[category]],{0,"0",""},0),0)&gt;0,mets272130[[#This Row],[name]],TRUE,mets272130[[#This Row],[category]]&amp;"-"&amp;mets272130[[#This Row],[name]])</f>
        <v>BIOSYN-PROT-alatrna_c</v>
      </c>
      <c r="L9" s="149" t="str" cm="1">
        <f t="array" ref="L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9" s="149" cm="1">
        <f t="array" ref="M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-0.17297475458035289</v>
      </c>
      <c r="N9" s="149"/>
      <c r="O9" s="162" t="str">
        <v>BIOSYN-LIPID</v>
      </c>
      <c r="P9" s="158" t="str">
        <f t="shared" si="1"/>
        <v>BIOSYN-LIPID</v>
      </c>
      <c r="Q9" s="158" t="str">
        <f>SUBSTITUTE(LOWER(biomassComponents262029[[#This Row],[rxn name]]),"biosyn-","BIO-")</f>
        <v>BIO-lipid</v>
      </c>
      <c r="R9" s="160">
        <f>biomassComponents2620[[#This Row],[normalized coeffs]]</f>
        <v>7.7658890367063499E-2</v>
      </c>
      <c r="S9" s="179">
        <v>0.183</v>
      </c>
      <c r="T9" s="160" cm="1">
        <f t="array" ref="T9">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0.183</v>
      </c>
      <c r="U9" s="158" t="str" cm="1">
        <f t="array" ref="U9">_xlfn.LET(_xlpm.coeffs,ROUND(-mets272130[MW for biomass normalization (g/mol)]*mets272130[normalized coeffs]*(biomassComponents262029[[#This Row],[normalized coeffs]]/biomassComponents262029[[#This Row],[original coeffs from input]])/(1000*biomassComponents262029[[#This Row],[normalized coeffs]]),6),_xlfn.TEXTJOIN(" + ",TRUE,_xlfn._xlws.FILTER(_xlpm.coeffs&amp;IF(_xlpm.coeffs&lt;0," MET-"," BIO-")&amp;mets272130[name],mets272130[category]=_xlfn.TEXTAFTER(O9,"BIOSYN-"),""))&amp;" --&gt; "&amp;biomassComponents262029[[#This Row],[product name]])</f>
        <v>-0.008103 MET-dag_c + 0.000193 BIO-docoscoa_c + 0.217249 BIO-ergst_c + 0.089686 BIO-ergstest_c + 0.014594 BIO-hxccoa_c + 0.003464 BIO-linocoa_c + 0.000852 BIO-linolncoa_c + 0.002021 BIO-odecoa_c + 0.107271 BIO-pail_c + 0.289121 BIO-pc_c + 0.073396 BIO-pe_c + 0.027214 BIO-pmtcoa_c + 0.066721 BIO-ps_c + 0.001103 BIO-stcoa_c + 0.118731 BIO-tag_c + 0.01475 BIO-ttccoa_c --&gt; BIO-lipid</v>
      </c>
      <c r="V9" s="158" t="str" cm="1">
        <f t="array" ref="V9">IFERROR(_xlfn.TEXTJOIN(" + ",TRUE,_xlfn._xlws.FILTER((-mets272130[normalized coeffs]*biomassComponents262029[[#This Row],[normalized coeffs]]/biomassComponents262029[[#This Row],[original coeffs from input]])&amp;" BIO-"&amp;mets272130[name],mets272130[category]=_xlfn.TEXTAFTER(P9,"BIOSYN-"),"")),"")</f>
        <v>-0.00467639149248017 BIO-dag_c + 3.25739894898072E-05 BIO-docoscoa_c + 0.100231437054074 BIO-ergst_c + 0.024864373565517 BIO-ergstest_c + 0.00233819574624008 BIO-hxccoa_c + 0.000617887754554815 BIO-linocoa_c + 0.000152206526249653 BIO-linolncoa_c + 0.000359840953015161 BIO-odecoa_c + 0.0227693501768859 BIO-pail_c + 0.0673002881640283 BIO-pc_c + 0.0180508711609734 BIO-pe_c + 0.00497068662952408 BIO-pmtcoa_c + 0.0155326343422729 BIO-ps_c + 0.000195975544447317 BIO-stcoa_c + 0.0245370261610434 BIO-tag_c + 0.0024226952808958 BIO-ttccoa_c</v>
      </c>
      <c r="X9" s="153"/>
      <c r="AB9" t="str">
        <v>BIOSYN-PROTMODELED</v>
      </c>
      <c r="AC9" t="str">
        <v>BIO-protmodeled --&gt; BIO-prot</v>
      </c>
    </row>
    <row r="10" spans="1:33" ht="16" x14ac:dyDescent="0.2">
      <c r="A10" s="144" t="s">
        <v>1319</v>
      </c>
      <c r="B10" t="str">
        <f>SUBSTITUTE(_xlfn.TEXTBEFORE(mets272130[[#This Row],[pasted JSON metabolite keys and values from GSM biomass rxn]],":"),CHAR(34),"")</f>
        <v>argtrna_c</v>
      </c>
      <c r="C10" t="str">
        <f>_xlfn.TEXTBEFORE(mets272130[[#This Row],[name]],"_",-1)</f>
        <v>argtrna</v>
      </c>
      <c r="D10" t="str">
        <f>_xlfn.XLOOKUP(mets272130[[#This Row],[name w/o location]],metaboliteInfo[name w/o location],metaboliteInfo[suggested category],"")</f>
        <v>PROT</v>
      </c>
      <c r="E10" s="21">
        <f>_xlfn.XLOOKUP(mets272130[[#This Row],[name w/o location]],metaboliteInfo[name w/o location],metaboliteInfo[MW for biomass normalization (g/mol)],0)</f>
        <v>158.20156</v>
      </c>
      <c r="F10" s="21">
        <f>_xlfn.NUMBERVALUE(SUBSTITUTE(_xlfn.TEXTAFTER(mets272130[[#This Row],[pasted JSON metabolite keys and values from GSM biomass rxn]],":"),",",""))</f>
        <v>-0.16036300000000001</v>
      </c>
      <c r="G10" s="21" cm="1">
        <f t="array" ref="G10">_xlfn.LET(_xlpm.id,mets272130[[#This Row],[name w/o location]],IF(IsElementOfSet_DIY(_xlpm.id,{"atp","adp","h","pi","h2o"}),SIGN(mets272130[[#This Row],[raw (GSM) coefficient]])*(ABS(mets272130[[#This Row],[raw (GSM) coefficient]])-$J$2),mets272130[[#This Row],[raw (GSM) coefficient]]))</f>
        <v>-0.16036300000000001</v>
      </c>
      <c r="H10" s="21">
        <f>mets272130[[#This Row],[coeff. w/o GAM]]</f>
        <v>-0.16036300000000001</v>
      </c>
      <c r="I10" s="161">
        <f t="shared" si="0"/>
        <v>-0.1591201316429576</v>
      </c>
      <c r="J10" s="21" cm="1">
        <f t="array" ref="J10">_xlfn.LET(_xlpm.id,mets272130[[#This Row],[name w/o location]],_xlpm.oldcoeff,mets272130[[#This Row],[normalized coeffs]],_xlpm.gam,$J$2-$G$2,_xlfn.IFS(IFERROR(MATCH(_xlpm.id,{"atp","h2o"},0),0)&gt;0,_xlpm.oldcoeff-_xlpm.gam,IFERROR(MATCH(_xlpm.id,{"adp","h","pi"},0),0)&gt;0,_xlpm.oldcoeff+_xlpm.gam,TRUE,_xlpm.oldcoeff))</f>
        <v>-0.1591201316429576</v>
      </c>
      <c r="K10" t="str" cm="1">
        <f t="array" ref="K10">"BIOSYN-"&amp;_xlfn.IFS(IFERROR(MATCH(mets272130[[#This Row],[category]],{0,"0",""},0),0)&gt;0,mets272130[[#This Row],[name]],TRUE,mets272130[[#This Row],[category]]&amp;"-"&amp;mets272130[[#This Row],[name]])</f>
        <v>BIOSYN-PROT-argtrna_c</v>
      </c>
      <c r="L10" s="149" t="str" cm="1">
        <f t="array" ref="L1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10" s="149" cm="1">
        <f t="array" ref="M1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-6.8340056538962565E-2</v>
      </c>
      <c r="N10" s="149"/>
      <c r="O10" s="162" t="str">
        <v>BIOSYN-METAL</v>
      </c>
      <c r="P10" s="158" t="str">
        <f t="shared" si="1"/>
        <v>BIOSYN-METAL</v>
      </c>
      <c r="Q10" s="158" t="str">
        <f>SUBSTITUTE(LOWER(biomassComponents262029[[#This Row],[rxn name]]),"biosyn-","BIO-")</f>
        <v>BIO-metal</v>
      </c>
      <c r="R10" s="160">
        <f>biomassComponents2620[[#This Row],[normalized coeffs]]</f>
        <v>2.470406304461388E-2</v>
      </c>
      <c r="S10" s="160"/>
      <c r="T10" s="160" cm="1">
        <f t="array" ref="T10">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3.3494003762451909E-2</v>
      </c>
      <c r="U10" s="158" t="str" cm="1">
        <f t="array" ref="U10">_xlfn.TEXTJOIN(" + ",TRUE,_xlfn._xlws.FILTER(ROUND(-mets272130[MW for biomass normalization (g/mol)]*mets272130[normalized coeffs]*(biomassComponents262029[[#This Row],[normalized coeffs]]/biomassComponents262029[[#This Row],[original coeffs from input]])/(1000*biomassComponents262029[[#This Row],[normalized coeffs]]),6)&amp;" BIO-"&amp;mets272130[name],mets272130[category]=_xlfn.TEXTAFTER(O10,"BIOSYN-"),""))&amp;" --&gt; "&amp;biomassComponents262029[[#This Row],[product name]]</f>
        <v>0.00207 BIO-ca2_c + 0.000291 BIO-cu2_c + 0.001489 BIO-fe2_c + 0.947972 BIO-k_c + 0.062094 BIO-mg2_c + 0.000207 BIO-mn2_c + 0.004139 BIO-zn2_c --&gt; BIO-metal</v>
      </c>
      <c r="V10" s="158" t="str" cm="1">
        <f t="array" ref="V10">IFERROR(_xlfn.TEXTJOIN(" + ",TRUE,_xlfn._xlws.FILTER((-mets272130[normalized coeffs]*biomassComponents262029[[#This Row],[normalized coeffs]]/biomassComponents262029[[#This Row],[original coeffs from input]])&amp;" BIO-"&amp;mets272130[name],mets272130[category]=_xlfn.TEXTAFTER(P10,"BIOSYN-"),"")),"")</f>
        <v>0.0017300577630146 BIO-ca2_c + 0.000153364374015291 BIO-cu2_c + 0.000893280213562747 BIO-fe2_c + 0.812091266441494 BIO-k_c + 0.0855705941929001 BIO-mg2_c + 0.000126458343486292 BIO-mn2_c + 0.00212019520568507 BIO-zn2_c</v>
      </c>
      <c r="X10" s="153"/>
      <c r="AB10" t="str">
        <v>BIOSYN-PROTDUMMY</v>
      </c>
      <c r="AC10" t="str">
        <v>BIO-protdummy --&gt; BIO-prot</v>
      </c>
    </row>
    <row r="11" spans="1:33" ht="16" x14ac:dyDescent="0.2">
      <c r="A11" s="144" t="s">
        <v>1320</v>
      </c>
      <c r="B11" t="str">
        <f>SUBSTITUTE(_xlfn.TEXTBEFORE(mets272130[[#This Row],[pasted JSON metabolite keys and values from GSM biomass rxn]],":"),CHAR(34),"")</f>
        <v>asntrna_c</v>
      </c>
      <c r="C11" t="str">
        <f>_xlfn.TEXTBEFORE(mets272130[[#This Row],[name]],"_",-1)</f>
        <v>asntrna</v>
      </c>
      <c r="D11" t="str">
        <f>_xlfn.XLOOKUP(mets272130[[#This Row],[name w/o location]],metaboliteInfo[name w/o location],metaboliteInfo[suggested category],"")</f>
        <v>PROT</v>
      </c>
      <c r="E11" s="21">
        <f>_xlfn.XLOOKUP(mets272130[[#This Row],[name w/o location]],metaboliteInfo[name w/o location],metaboliteInfo[MW for biomass normalization (g/mol)],0)</f>
        <v>115.11058</v>
      </c>
      <c r="F11" s="21">
        <f>_xlfn.NUMBERVALUE(SUBSTITUTE(_xlfn.TEXTAFTER(mets272130[[#This Row],[pasted JSON metabolite keys and values from GSM biomass rxn]],":"),",",""))</f>
        <v>-0.19276799999999999</v>
      </c>
      <c r="G11" s="21" cm="1">
        <f t="array" ref="G11">_xlfn.LET(_xlpm.id,mets272130[[#This Row],[name w/o location]],IF(IsElementOfSet_DIY(_xlpm.id,{"atp","adp","h","pi","h2o"}),SIGN(mets272130[[#This Row],[raw (GSM) coefficient]])*(ABS(mets272130[[#This Row],[raw (GSM) coefficient]])-$J$2),mets272130[[#This Row],[raw (GSM) coefficient]]))</f>
        <v>-0.19276799999999999</v>
      </c>
      <c r="H11" s="21">
        <f>mets272130[[#This Row],[coeff. w/o GAM]]</f>
        <v>-0.19276799999999999</v>
      </c>
      <c r="I11" s="161">
        <f t="shared" si="0"/>
        <v>-0.19127398175732338</v>
      </c>
      <c r="J11" s="21" cm="1">
        <f t="array" ref="J11">_xlfn.LET(_xlpm.id,mets272130[[#This Row],[name w/o location]],_xlpm.oldcoeff,mets272130[[#This Row],[normalized coeffs]],_xlpm.gam,$J$2-$G$2,_xlfn.IFS(IFERROR(MATCH(_xlpm.id,{"atp","h2o"},0),0)&gt;0,_xlpm.oldcoeff-_xlpm.gam,IFERROR(MATCH(_xlpm.id,{"adp","h","pi"},0),0)&gt;0,_xlpm.oldcoeff+_xlpm.gam,TRUE,_xlpm.oldcoeff))</f>
        <v>-0.19127398175732338</v>
      </c>
      <c r="K11" t="str" cm="1">
        <f t="array" ref="K11">"BIOSYN-"&amp;_xlfn.IFS(IFERROR(MATCH(mets272130[[#This Row],[category]],{0,"0",""},0),0)&gt;0,mets272130[[#This Row],[name]],TRUE,mets272130[[#This Row],[category]]&amp;"-"&amp;mets272130[[#This Row],[name]])</f>
        <v>BIOSYN-PROT-asntrna_c</v>
      </c>
      <c r="L11" s="149" t="str" cm="1">
        <f t="array" ref="L1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11" s="149" cm="1">
        <f t="array" ref="M1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-8.2149722934235045E-2</v>
      </c>
      <c r="N11" s="149"/>
      <c r="O11" s="162" t="str">
        <v>BIOSYN-other</v>
      </c>
      <c r="P11" s="158" t="str">
        <f t="shared" si="1"/>
        <v>BIOSYN-other</v>
      </c>
      <c r="Q11" s="158" t="str">
        <f>SUBSTITUTE(LOWER(biomassComponents262029[[#This Row],[rxn name]]),"biosyn-","BIO-")</f>
        <v>BIO-other</v>
      </c>
      <c r="R11" s="160">
        <f>biomassComponents2620[[#This Row],[normalized coeffs]]</f>
        <v>-5.4589047444638315E-5</v>
      </c>
      <c r="S11" s="160"/>
      <c r="T11" s="160" cm="1">
        <f t="array" ref="T11">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-7.401235000078341E-5</v>
      </c>
      <c r="U11" s="158" t="s">
        <v>1422</v>
      </c>
      <c r="V11" s="158" t="str" cm="1">
        <f t="array" ref="V11">IFERROR(_xlfn.TEXTJOIN(" + ",TRUE,_xlfn._xlws.FILTER((-mets272130[normalized coeffs]*biomassComponents262029[[#This Row],[normalized coeffs]]/biomassComponents262029[[#This Row],[original coeffs from input]])&amp;" BIO-"&amp;mets272130[name],mets272130[category]=_xlfn.TEXTAFTER(P11,"BIOSYN-"),"")),"")</f>
        <v>-0.00269060305289984 BIO-co2_c + 0.00134530152644992 BIO-o2_c</v>
      </c>
      <c r="X11" s="154" t="s">
        <v>52</v>
      </c>
      <c r="Y11" s="152" t="s">
        <v>53</v>
      </c>
      <c r="Z11" s="152" t="s">
        <v>54</v>
      </c>
      <c r="AB11" t="str">
        <v>BIOSYN-PROTCYT</v>
      </c>
      <c r="AC11" t="str">
        <v>BIO-protcyt --&gt; BIO-protmodeled</v>
      </c>
    </row>
    <row r="12" spans="1:33" ht="16" x14ac:dyDescent="0.2">
      <c r="A12" s="144" t="s">
        <v>1321</v>
      </c>
      <c r="B12" t="str">
        <f>SUBSTITUTE(_xlfn.TEXTBEFORE(mets272130[[#This Row],[pasted JSON metabolite keys and values from GSM biomass rxn]],":"),CHAR(34),"")</f>
        <v>asptrna_c</v>
      </c>
      <c r="C12" t="str">
        <f>_xlfn.TEXTBEFORE(mets272130[[#This Row],[name]],"_",-1)</f>
        <v>asptrna</v>
      </c>
      <c r="D12" t="str">
        <f>_xlfn.XLOOKUP(mets272130[[#This Row],[name w/o location]],metaboliteInfo[name w/o location],metaboliteInfo[suggested category],"")</f>
        <v>PROT</v>
      </c>
      <c r="E12" s="21">
        <f>_xlfn.XLOOKUP(mets272130[[#This Row],[name w/o location]],metaboliteInfo[name w/o location],metaboliteInfo[MW for biomass normalization (g/mol)],0)</f>
        <v>115.0874</v>
      </c>
      <c r="F12" s="21">
        <f>_xlfn.NUMBERVALUE(SUBSTITUTE(_xlfn.TEXTAFTER(mets272130[[#This Row],[pasted JSON metabolite keys and values from GSM biomass rxn]],":"),",",""))</f>
        <v>-0.19276799999999999</v>
      </c>
      <c r="G12" s="21" cm="1">
        <f t="array" ref="G12">_xlfn.LET(_xlpm.id,mets272130[[#This Row],[name w/o location]],IF(IsElementOfSet_DIY(_xlpm.id,{"atp","adp","h","pi","h2o"}),SIGN(mets272130[[#This Row],[raw (GSM) coefficient]])*(ABS(mets272130[[#This Row],[raw (GSM) coefficient]])-$J$2),mets272130[[#This Row],[raw (GSM) coefficient]]))</f>
        <v>-0.19276799999999999</v>
      </c>
      <c r="H12" s="21">
        <f>mets272130[[#This Row],[coeff. w/o GAM]]</f>
        <v>-0.19276799999999999</v>
      </c>
      <c r="I12" s="161">
        <f t="shared" si="0"/>
        <v>-0.19127398175732338</v>
      </c>
      <c r="J12" s="21" cm="1">
        <f t="array" ref="J12">_xlfn.LET(_xlpm.id,mets272130[[#This Row],[name w/o location]],_xlpm.oldcoeff,mets272130[[#This Row],[normalized coeffs]],_xlpm.gam,$J$2-$G$2,_xlfn.IFS(IFERROR(MATCH(_xlpm.id,{"atp","h2o"},0),0)&gt;0,_xlpm.oldcoeff-_xlpm.gam,IFERROR(MATCH(_xlpm.id,{"adp","h","pi"},0),0)&gt;0,_xlpm.oldcoeff+_xlpm.gam,TRUE,_xlpm.oldcoeff))</f>
        <v>-0.19127398175732338</v>
      </c>
      <c r="K12" t="str" cm="1">
        <f t="array" ref="K12">"BIOSYN-"&amp;_xlfn.IFS(IFERROR(MATCH(mets272130[[#This Row],[category]],{0,"0",""},0),0)&gt;0,mets272130[[#This Row],[name]],TRUE,mets272130[[#This Row],[category]]&amp;"-"&amp;mets272130[[#This Row],[name]])</f>
        <v>BIOSYN-PROT-asptrna_c</v>
      </c>
      <c r="L12" s="149" t="str" cm="1">
        <f t="array" ref="L1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12" s="149" cm="1">
        <f t="array" ref="M1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-8.2149722934235045E-2</v>
      </c>
      <c r="N12" s="149"/>
      <c r="O12" s="162" t="str">
        <v>BIOSYN-PI</v>
      </c>
      <c r="P12" s="158" t="str">
        <f t="shared" si="1"/>
        <v>BIOSYN-PI</v>
      </c>
      <c r="Q12" s="158" t="str">
        <f>SUBSTITUTE(LOWER(biomassComponents262029[[#This Row],[rxn name]]),"biosyn-","BIO-")</f>
        <v>BIO-pi</v>
      </c>
      <c r="R12" s="160">
        <f>biomassComponents2620[[#This Row],[normalized coeffs]]</f>
        <v>9.8816279462180766E-3</v>
      </c>
      <c r="S12" s="160"/>
      <c r="T12" s="160" cm="1">
        <f t="array" ref="T12">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1.3397605204134196E-2</v>
      </c>
      <c r="U12" s="158" t="str" cm="1">
        <f t="array" ref="U12">_xlfn.TEXTJOIN(" + ",TRUE,_xlfn._xlws.FILTER(ROUND(-mets272130[MW for biomass normalization (g/mol)]*mets272130[normalized coeffs]*(biomassComponents262029[[#This Row],[normalized coeffs]]/biomassComponents262029[[#This Row],[original coeffs from input]])/(1000*biomassComponents262029[[#This Row],[normalized coeffs]]),6)&amp;" BIO-"&amp;mets272130[name],mets272130[category]=_xlfn.TEXTAFTER(O12,"BIOSYN-"),""))&amp;" --&gt; "&amp;biomassComponents262029[[#This Row],[product name]]</f>
        <v>1.018263 BIO-pi_c --&gt; BIO-pi</v>
      </c>
      <c r="V12" s="158" t="str" cm="1">
        <f t="array" ref="V12">IFERROR(_xlfn.TEXTJOIN(" + ",TRUE,_xlfn._xlws.FILTER((-mets272130[normalized coeffs]*biomassComponents262029[[#This Row],[normalized coeffs]]/biomassComponents262029[[#This Row],[original coeffs from input]])&amp;" BIO-"&amp;mets272130[name],mets272130[category]=_xlfn.TEXTAFTER(P12,"BIOSYN-"),"")),"")</f>
        <v>0.142137832777084 BIO-pi_c</v>
      </c>
      <c r="X12" s="154" t="s">
        <v>52</v>
      </c>
      <c r="Y12" s="152" t="s">
        <v>55</v>
      </c>
      <c r="Z12" s="152" t="s">
        <v>56</v>
      </c>
      <c r="AB12" t="str">
        <v>BIOSYN-PROTMITO</v>
      </c>
      <c r="AC12" t="str">
        <v>BIO-protmito --&gt; BIO-protmodeled</v>
      </c>
    </row>
    <row r="13" spans="1:33" ht="16" x14ac:dyDescent="0.2">
      <c r="A13" s="144" t="s">
        <v>1322</v>
      </c>
      <c r="B13" t="str">
        <f>SUBSTITUTE(_xlfn.TEXTBEFORE(mets272130[[#This Row],[pasted JSON metabolite keys and values from GSM biomass rxn]],":"),CHAR(34),"")</f>
        <v>atp_c</v>
      </c>
      <c r="C13" t="str">
        <f>_xlfn.TEXTBEFORE(mets272130[[#This Row],[name]],"_",-1)</f>
        <v>atp</v>
      </c>
      <c r="D13" t="str">
        <f>_xlfn.XLOOKUP(mets272130[[#This Row],[name w/o location]],metaboliteInfo[name w/o location],metaboliteInfo[suggested category],"")</f>
        <v>RNA</v>
      </c>
      <c r="E13" s="21">
        <f>_xlfn.XLOOKUP(mets272130[[#This Row],[name w/o location]],metaboliteInfo[name w/o location],metaboliteInfo[MW for biomass normalization (g/mol)],0)</f>
        <v>328.19800099999998</v>
      </c>
      <c r="F13" s="21">
        <f>_xlfn.NUMBERVALUE(SUBSTITUTE(_xlfn.TEXTAFTER(mets272130[[#This Row],[pasted JSON metabolite keys and values from GSM biomass rxn]],":"),",",""))</f>
        <v>-190.64733699999999</v>
      </c>
      <c r="G13" s="21" cm="1">
        <f t="array" ref="G13">_xlfn.LET(_xlpm.id,mets272130[[#This Row],[name w/o location]],IF(IsElementOfSet_DIY(_xlpm.id,{"atp","adp","h","pi","h2o"}),SIGN(mets272130[[#This Row],[raw (GSM) coefficient]])*(ABS(mets272130[[#This Row],[raw (GSM) coefficient]])-$J$2),mets272130[[#This Row],[raw (GSM) coefficient]]))</f>
        <v>-6.8346999999988611E-2</v>
      </c>
      <c r="H13" s="21">
        <f>mets272130[[#This Row],[coeff. w/o GAM]]</f>
        <v>-6.8346999999988611E-2</v>
      </c>
      <c r="I13" s="161">
        <f t="shared" si="0"/>
        <v>-6.7817287263267773E-2</v>
      </c>
      <c r="J13" s="21" cm="1">
        <f t="array" ref="J13">_xlfn.LET(_xlpm.id,mets272130[[#This Row],[name w/o location]],_xlpm.oldcoeff,mets272130[[#This Row],[normalized coeffs]],_xlpm.gam,$J$2-$G$2,_xlfn.IFS(IFERROR(MATCH(_xlpm.id,{"atp","h2o"},0),0)&gt;0,_xlpm.oldcoeff-_xlpm.gam,IFERROR(MATCH(_xlpm.id,{"adp","h","pi"},0),0)&gt;0,_xlpm.oldcoeff+_xlpm.gam,TRUE,_xlpm.oldcoeff))</f>
        <v>-187.37466846094742</v>
      </c>
      <c r="K13" t="str" cm="1">
        <f t="array" ref="K13">"BIOSYN-"&amp;_xlfn.IFS(IFERROR(MATCH(mets272130[[#This Row],[category]],{0,"0",""},0),0)&gt;0,mets272130[[#This Row],[name]],TRUE,mets272130[[#This Row],[category]]&amp;"-"&amp;mets272130[[#This Row],[name]])</f>
        <v>BIOSYN-RNA-atp_c</v>
      </c>
      <c r="L13" s="149" t="str" cm="1">
        <f t="array" ref="L1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MET-atp_c --&gt; MET-ppi_c + 0.328198 BIO-atp_c</v>
      </c>
      <c r="M13" s="149" cm="1">
        <f t="array" ref="M1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-190.67093732342826</v>
      </c>
      <c r="N13" s="149"/>
      <c r="O13" s="162" t="str">
        <v>BIOSYN-PROT</v>
      </c>
      <c r="P13" s="158" t="str">
        <f t="shared" si="1"/>
        <v>BIOSYN-PROT</v>
      </c>
      <c r="Q13" s="158" t="s">
        <v>21</v>
      </c>
      <c r="R13" s="160">
        <f>biomassComponents2620[[#This Row],[normalized coeffs]]</f>
        <v>0.46800000000000003</v>
      </c>
      <c r="S13" s="160">
        <v>0.20100000000000001</v>
      </c>
      <c r="T13" s="160" cm="1">
        <f t="array" ref="T13">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0.20100000000000001</v>
      </c>
      <c r="U13" s="158"/>
      <c r="V13" s="158" t="str" cm="1">
        <f t="array" ref="V13">IFERROR(_xlfn.TEXTJOIN(" + ",TRUE,_xlfn._xlws.FILTER((-mets272130[normalized coeffs]*biomassComponents262029[[#This Row],[normalized coeffs]]/biomassComponents262029[[#This Row],[original coeffs from input]])&amp;" BIO-"&amp;mets272130[name],mets272130[category]=_xlfn.TEXTAFTER(P13,"BIOSYN-"),"")),"")</f>
        <v>0.172974754580353 BIO-alatrna_c + 0.0683400565389626 BIO-argtrna_c + 0.082149722934235 BIO-asntrna_c + 0.082149722934235 BIO-asptrna_c + 0.0024785378723933 BIO-cystrna_c + 0.137034250796625 BIO-glntrna_c + 0.137034250796625 BIO-glutrna_c + 0.157394825750087 BIO-glytrna_c + 0.0341702413487344 BIO-histrna_c + 0.10428056032269 BIO-iletrna_c + 0.141814470761315 BIO-leutrna_c + 0.116319964282969 BIO-lystrna_c + 0.0201832930148588 BIO-mettrna_c + 0.0665697941039691 BIO-phetrna_c + 0.0747136831585489 BIO-protrna_c + 0.0952182996871258 BIO-sertrna_c + 0.0986152091405039 BIO-thrtrna_c + 0.011507984302976 BIO-trptrna_c + 0.0347012348475312 BIO-tyrtrna_c + 0.129775492959542 BIO-valtrna_c</v>
      </c>
      <c r="X13" s="154" t="s">
        <v>52</v>
      </c>
      <c r="Y13" s="152" t="s">
        <v>59</v>
      </c>
      <c r="Z13" s="152" t="s">
        <v>60</v>
      </c>
      <c r="AB13" t="str">
        <v>BIOSYN-TRNA</v>
      </c>
      <c r="AC13" t="str">
        <v>0.148056176050494 BIO-atp_c + 0.239522789731326 BIO-ctp_c + 0.237487241819593 BIO-gtp_c + 0.125964494302563 BIO-utp_c --&gt; BIO-trna</v>
      </c>
    </row>
    <row r="14" spans="1:33" ht="16" x14ac:dyDescent="0.2">
      <c r="A14" s="144" t="s">
        <v>1323</v>
      </c>
      <c r="B14" t="str">
        <f>SUBSTITUTE(_xlfn.TEXTBEFORE(mets272130[[#This Row],[pasted JSON metabolite keys and values from GSM biomass rxn]],":"),CHAR(34),"")</f>
        <v>ca2_c</v>
      </c>
      <c r="C14" t="str">
        <f>_xlfn.TEXTBEFORE(mets272130[[#This Row],[name]],"_",-1)</f>
        <v>ca2</v>
      </c>
      <c r="D14" t="str">
        <f>_xlfn.XLOOKUP(mets272130[[#This Row],[name w/o location]],metaboliteInfo[name w/o location],metaboliteInfo[suggested category],"")</f>
        <v>METAL</v>
      </c>
      <c r="E14" s="21">
        <f>_xlfn.XLOOKUP(mets272130[[#This Row],[name w/o location]],metaboliteInfo[name w/o location],metaboliteInfo[MW for biomass normalization (g/mol)],0)</f>
        <v>40.078000000000003</v>
      </c>
      <c r="F14" s="21">
        <f>_xlfn.NUMBERVALUE(SUBSTITUTE(_xlfn.TEXTAFTER(mets272130[[#This Row],[pasted JSON metabolite keys and values from GSM biomass rxn]],":"),",",""))</f>
        <v>-1.286E-3</v>
      </c>
      <c r="G14" s="21" cm="1">
        <f t="array" ref="G14">_xlfn.LET(_xlpm.id,mets272130[[#This Row],[name w/o location]],IF(IsElementOfSet_DIY(_xlpm.id,{"atp","adp","h","pi","h2o"}),SIGN(mets272130[[#This Row],[raw (GSM) coefficient]])*(ABS(mets272130[[#This Row],[raw (GSM) coefficient]])-$J$2),mets272130[[#This Row],[raw (GSM) coefficient]]))</f>
        <v>-1.286E-3</v>
      </c>
      <c r="H14" s="21">
        <f>mets272130[[#This Row],[coeff. w/o GAM]]</f>
        <v>-1.286E-3</v>
      </c>
      <c r="I14" s="161">
        <f t="shared" si="0"/>
        <v>-1.2760330580797532E-3</v>
      </c>
      <c r="J14" s="21" cm="1">
        <f t="array" ref="J14">_xlfn.LET(_xlpm.id,mets272130[[#This Row],[name w/o location]],_xlpm.oldcoeff,mets272130[[#This Row],[normalized coeffs]],_xlpm.gam,$J$2-$G$2,_xlfn.IFS(IFERROR(MATCH(_xlpm.id,{"atp","h2o"},0),0)&gt;0,_xlpm.oldcoeff-_xlpm.gam,IFERROR(MATCH(_xlpm.id,{"adp","h","pi"},0),0)&gt;0,_xlpm.oldcoeff+_xlpm.gam,TRUE,_xlpm.oldcoeff))</f>
        <v>-1.2760330580797532E-3</v>
      </c>
      <c r="K14" t="str" cm="1">
        <f t="array" ref="K14">"BIOSYN-"&amp;_xlfn.IFS(IFERROR(MATCH(mets272130[[#This Row],[category]],{0,"0",""},0),0)&gt;0,mets272130[[#This Row],[name]],TRUE,mets272130[[#This Row],[category]]&amp;"-"&amp;mets272130[[#This Row],[name]])</f>
        <v>BIOSYN-METAL-ca2_c</v>
      </c>
      <c r="L14" s="149" t="str" cm="1">
        <f t="array" ref="L1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MET-ca2_c --&gt; 0.040078 BIO-ca2_c</v>
      </c>
      <c r="M14" s="149" cm="1">
        <f t="array" ref="M1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-1.7300577630145972E-3</v>
      </c>
      <c r="N14" s="149"/>
      <c r="O14" s="162" t="str">
        <v>BIOSYN-RNA</v>
      </c>
      <c r="P14" s="158" t="str">
        <f t="shared" si="1"/>
        <v>BIOSYN-RNA</v>
      </c>
      <c r="Q14" s="158" t="str">
        <f>SUBSTITUTE(LOWER(biomassComponents262029[[#This Row],[rxn name]]),"biosyn-","BIO-")</f>
        <v>BIO-rna</v>
      </c>
      <c r="R14" s="160">
        <f>biomassComponents2620[[#This Row],[normalized coeffs]]</f>
        <v>0.11087698798081137</v>
      </c>
      <c r="S14" s="160"/>
      <c r="T14" s="160" cm="1">
        <f t="array" ref="T14">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0.150328075421922</v>
      </c>
      <c r="U14" s="172" t="s">
        <v>81</v>
      </c>
      <c r="V14" s="158" t="str" cm="1">
        <f t="array" ref="V14">IFERROR(_xlfn.TEXTJOIN(" + ",TRUE,_xlfn._xlws.FILTER((-mets272130[normalized coeffs]*biomassComponents262029[[#This Row],[normalized coeffs]]/biomassComponents262029[[#This Row],[original coeffs from input]])&amp;" BIO-"&amp;mets272130[name],mets272130[category]=_xlfn.TEXTAFTER(P14,"BIOSYN-"),"")),"")</f>
        <v>0.0919473234282574 BIO-atp_c + 0.160497162708528 BIO-ctp_c + 0.140629749765916 BIO-gtp_c + 0.0841311215595987 BIO-utp_c</v>
      </c>
      <c r="X14" s="154" t="s">
        <v>52</v>
      </c>
      <c r="Y14" s="152" t="s">
        <v>61</v>
      </c>
      <c r="Z14" s="152" t="s">
        <v>62</v>
      </c>
      <c r="AB14" t="str">
        <v>BIOSYN-RRNA</v>
      </c>
      <c r="AC14" t="str">
        <v>0.148056176050494 BIO-atp_c + 0.239522789731326 BIO-ctp_c + 0.237487241819593 BIO-gtp_c + 0.125964494302563 BIO-utp_c --&gt; BIO-rrna</v>
      </c>
    </row>
    <row r="15" spans="1:33" ht="16" x14ac:dyDescent="0.2">
      <c r="A15" s="144" t="s">
        <v>1324</v>
      </c>
      <c r="B15" t="str">
        <f>SUBSTITUTE(_xlfn.TEXTBEFORE(mets272130[[#This Row],[pasted JSON metabolite keys and values from GSM biomass rxn]],":"),CHAR(34),"")</f>
        <v>chtn_c</v>
      </c>
      <c r="C15" t="str">
        <f>_xlfn.TEXTBEFORE(mets272130[[#This Row],[name]],"_",-1)</f>
        <v>chtn</v>
      </c>
      <c r="D15" t="str">
        <f>_xlfn.XLOOKUP(mets272130[[#This Row],[name w/o location]],metaboliteInfo[name w/o location],metaboliteInfo[suggested category],"")</f>
        <v>CARB</v>
      </c>
      <c r="E15" s="21">
        <f>_xlfn.XLOOKUP(mets272130[[#This Row],[name w/o location]],metaboliteInfo[name w/o location],metaboliteInfo[MW for biomass normalization (g/mol)],0)</f>
        <v>203.19252</v>
      </c>
      <c r="F15" s="21">
        <f>_xlfn.NUMBERVALUE(SUBSTITUTE(_xlfn.TEXTAFTER(mets272130[[#This Row],[pasted JSON metabolite keys and values from GSM biomass rxn]],":"),",",""))</f>
        <v>-1.6184E-2</v>
      </c>
      <c r="G15" s="21" cm="1">
        <f t="array" ref="G15">_xlfn.LET(_xlpm.id,mets272130[[#This Row],[name w/o location]],IF(IsElementOfSet_DIY(_xlpm.id,{"atp","adp","h","pi","h2o"}),SIGN(mets272130[[#This Row],[raw (GSM) coefficient]])*(ABS(mets272130[[#This Row],[raw (GSM) coefficient]])-$J$2),mets272130[[#This Row],[raw (GSM) coefficient]]))</f>
        <v>-1.6184E-2</v>
      </c>
      <c r="H15" s="21">
        <f>mets272130[[#This Row],[coeff. w/o GAM]]</f>
        <v>-1.6184E-2</v>
      </c>
      <c r="I15" s="161">
        <f t="shared" si="0"/>
        <v>-1.6058568438540224E-2</v>
      </c>
      <c r="J15" s="21" cm="1">
        <f t="array" ref="J15">_xlfn.LET(_xlpm.id,mets272130[[#This Row],[name w/o location]],_xlpm.oldcoeff,mets272130[[#This Row],[normalized coeffs]],_xlpm.gam,$J$2-$G$2,_xlfn.IFS(IFERROR(MATCH(_xlpm.id,{"atp","h2o"},0),0)&gt;0,_xlpm.oldcoeff-_xlpm.gam,IFERROR(MATCH(_xlpm.id,{"adp","h","pi"},0),0)&gt;0,_xlpm.oldcoeff+_xlpm.gam,TRUE,_xlpm.oldcoeff))</f>
        <v>-1.6058568438540224E-2</v>
      </c>
      <c r="K15" t="str" cm="1">
        <f t="array" ref="K15">"BIOSYN-"&amp;_xlfn.IFS(IFERROR(MATCH(mets272130[[#This Row],[category]],{0,"0",""},0),0)&gt;0,mets272130[[#This Row],[name]],TRUE,mets272130[[#This Row],[category]]&amp;"-"&amp;mets272130[[#This Row],[name]])</f>
        <v>BIOSYN-CARB-chtn_c</v>
      </c>
      <c r="L15" s="149" t="str" cm="1">
        <f t="array" ref="L1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MET-chtn_c --&gt; 0.203193 BIO-chtn_c</v>
      </c>
      <c r="M15" s="149" cm="1">
        <f t="array" ref="M1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-2.1772359904065508E-2</v>
      </c>
      <c r="N15" s="149"/>
      <c r="O15" s="149" t="str">
        <v>BIOSYN-SO4</v>
      </c>
      <c r="P15" s="158" t="str">
        <f>O15</f>
        <v>BIOSYN-SO4</v>
      </c>
      <c r="Q15" s="158" t="str">
        <f>SUBSTITUTE(LOWER(biomassComponents262029[[#This Row],[rxn name]]),"biosyn-","BIO-")</f>
        <v>BIO-so4</v>
      </c>
      <c r="R15" s="160">
        <f>biomassComponents2620[[#This Row],[normalized coeffs]]</f>
        <v>2.9227376032322982E-3</v>
      </c>
      <c r="S15" s="160"/>
      <c r="T15" s="160" cm="1">
        <f t="array" ref="T15">IF(biomassComponents262029[[#This Row],[pre-determined coeffs]]="",biomassComponents262029[[#This Row],[original coeffs from input]]*IF(SUM(biomassComponents262029[pre-determined coeffs])&lt;1,(1-SUM(biomassComponents262029[pre-determined coeffs]))/(1-SUM(_xlfn._xlws.FILTER(biomassComponents262029[original coeffs from input],biomassComponents262029[pre-determined coeffs]&lt;&gt;""))),1),biomassComponents262029[[#This Row],[pre-determined coeffs]])</f>
        <v>3.9626754555528755E-3</v>
      </c>
      <c r="U15" s="158" t="str" cm="1">
        <f t="array" ref="U15">_xlfn.TEXTJOIN(" + ",TRUE,_xlfn._xlws.FILTER(ROUND(-mets272130[MW for biomass normalization (g/mol)]*mets272130[normalized coeffs]*(biomassComponents262029[[#This Row],[normalized coeffs]]/biomassComponents262029[[#This Row],[original coeffs from input]])/(1000*biomassComponents262029[[#This Row],[normalized coeffs]]),6)&amp;" BIO-"&amp;mets272130[name],mets272130[category]=_xlfn.TEXTAFTER(O15,"BIOSYN-"),""))&amp;" --&gt; "&amp;biomassComponents262029[[#This Row],[product name]]</f>
        <v>1.018263 BIO-so4_c --&gt; BIO-so4</v>
      </c>
      <c r="V15" s="158" t="str" cm="1">
        <f t="array" ref="V15">IFERROR(_xlfn.TEXTJOIN(" + ",TRUE,_xlfn._xlws.FILTER((-mets272130[normalized coeffs]*biomassComponents262029[[#This Row],[normalized coeffs]]/biomassComponents262029[[#This Row],[original coeffs from input]])&amp;" BIO-"&amp;mets272130[name],mets272130[category]=_xlfn.TEXTAFTER(P15,"BIOSYN-"),"")),"")</f>
        <v>0.0420043495603459 BIO-so4_c</v>
      </c>
      <c r="X15" s="154"/>
      <c r="Y15" s="152" t="s">
        <v>763</v>
      </c>
      <c r="Z15" s="152" t="str" cm="1">
        <f t="array" ref="Z15">_xlfn.LET(_xlpm.RNAmass,_xlfn.XLOOKUP("BIOSYN-RNA",biomassComponents262029[rxn name],biomassComponents262029[normalized coeffs],0),_xlpm.coeff,1/_xlpm.RNAmass,_xlfn.TEXTJOIN(" + ",TRUE,_xlfn._xlws.FILTER(ROUND(-mets272130[MW for biomass normalization (g/mol)]*mets272130[normalized coeffs]/(1000),6)*_xlpm.coeff&amp;" BIO-"&amp;mets272130[name],mets272130[category]="RNA",""))&amp;" --&gt; "&amp;SUBSTITUTE(LOWER(ExtraRxns251928[[#This Row],[name]]),"biosyn-","BIO-"))</f>
        <v>0.148056176050494 BIO-atp_c + 0.239522789731326 BIO-ctp_c + 0.237487241819593 BIO-gtp_c + 0.125964494302563 BIO-utp_c --&gt; BIO-trna</v>
      </c>
      <c r="AB15" t="str">
        <v>BIOSYN-MRNA</v>
      </c>
      <c r="AC15" t="str">
        <v>0.148056176050494 BIO-atp_c + 0.239522789731326 BIO-ctp_c + 0.237487241819593 BIO-gtp_c + 0.125964494302563 BIO-utp_c --&gt; BIO-mrna</v>
      </c>
    </row>
    <row r="16" spans="1:33" ht="16" x14ac:dyDescent="0.2">
      <c r="A16" s="144" t="s">
        <v>1367</v>
      </c>
      <c r="B16" t="str">
        <f>SUBSTITUTE(_xlfn.TEXTBEFORE(mets272130[[#This Row],[pasted JSON metabolite keys and values from GSM biomass rxn]],":"),CHAR(34),"")</f>
        <v>co2_c</v>
      </c>
      <c r="C16" t="str">
        <f>_xlfn.TEXTBEFORE(mets272130[[#This Row],[name]],"_",-1)</f>
        <v>co2</v>
      </c>
      <c r="D16" t="str">
        <f>_xlfn.XLOOKUP(mets272130[[#This Row],[name w/o location]],metaboliteInfo[name w/o location],metaboliteInfo[suggested category],"")</f>
        <v>other</v>
      </c>
      <c r="E16" s="21">
        <f>_xlfn.XLOOKUP(mets272130[[#This Row],[name w/o location]],metaboliteInfo[name w/o location],metaboliteInfo[MW for biomass normalization (g/mol)],0)</f>
        <v>44.009500000000003</v>
      </c>
      <c r="F16" s="21">
        <f>_xlfn.NUMBERVALUE(SUBSTITUTE(_xlfn.TEXTAFTER(mets272130[[#This Row],[pasted JSON metabolite keys and values from GSM biomass rxn]],":"),",",""))</f>
        <v>2E-3</v>
      </c>
      <c r="G16" s="21" cm="1">
        <f t="array" ref="G16">_xlfn.LET(_xlpm.id,mets272130[[#This Row],[name w/o location]],IF(IsElementOfSet_DIY(_xlpm.id,{"atp","adp","h","pi","h2o"}),SIGN(mets272130[[#This Row],[raw (GSM) coefficient]])*(ABS(mets272130[[#This Row],[raw (GSM) coefficient]])-$J$2),mets272130[[#This Row],[raw (GSM) coefficient]]))</f>
        <v>2E-3</v>
      </c>
      <c r="H16" s="21">
        <f>mets272130[[#This Row],[coeff. w/o GAM]]</f>
        <v>2E-3</v>
      </c>
      <c r="I16" s="161">
        <f t="shared" si="0"/>
        <v>1.9844993127212337E-3</v>
      </c>
      <c r="J16" s="21" cm="1">
        <f t="array" ref="J16">_xlfn.LET(_xlpm.id,mets272130[[#This Row],[name w/o location]],_xlpm.oldcoeff,mets272130[[#This Row],[normalized coeffs]],_xlpm.gam,$J$2-$G$2,_xlfn.IFS(IFERROR(MATCH(_xlpm.id,{"atp","h2o"},0),0)&gt;0,_xlpm.oldcoeff-_xlpm.gam,IFERROR(MATCH(_xlpm.id,{"adp","h","pi"},0),0)&gt;0,_xlpm.oldcoeff+_xlpm.gam,TRUE,_xlpm.oldcoeff))</f>
        <v>1.9844993127212337E-3</v>
      </c>
      <c r="K16" t="str" cm="1">
        <f t="array" ref="K16">"BIOSYN-"&amp;_xlfn.IFS(IFERROR(MATCH(mets272130[[#This Row],[category]],{0,"0",""},0),0)&gt;0,mets272130[[#This Row],[name]],TRUE,mets272130[[#This Row],[category]]&amp;"-"&amp;mets272130[[#This Row],[name]])</f>
        <v>BIOSYN-other-co2_c</v>
      </c>
      <c r="L16" s="149" t="str" cm="1">
        <f t="array" ref="L1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MET-co2_c --&gt; 0.04401 BIO-co2_c</v>
      </c>
      <c r="M16" s="149" cm="1">
        <f t="array" ref="M1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2.6906030528998405E-3</v>
      </c>
      <c r="N16" s="149"/>
      <c r="O16" s="149"/>
      <c r="P16" s="145"/>
      <c r="Q16" s="166"/>
      <c r="R16" s="95"/>
      <c r="S16" s="149"/>
      <c r="T16" s="149"/>
      <c r="U16" s="149"/>
      <c r="V16" s="149"/>
      <c r="X16" s="154"/>
      <c r="Y16" s="152" t="s">
        <v>765</v>
      </c>
      <c r="Z16" s="152" t="str" cm="1">
        <f t="array" ref="Z16">_xlfn.LET(_xlpm.RNAmass,_xlfn.XLOOKUP("BIOSYN-RNA",biomassComponents262029[rxn name],biomassComponents262029[normalized coeffs],0),_xlpm.coeff,1/_xlpm.RNAmass,_xlfn.TEXTJOIN(" + ",TRUE,_xlfn._xlws.FILTER(ROUND(-mets272130[MW for biomass normalization (g/mol)]*mets272130[normalized coeffs]/(1000),6)*_xlpm.coeff&amp;" BIO-"&amp;mets272130[name],mets272130[category]="RNA",""))&amp;" --&gt; "&amp;SUBSTITUTE(LOWER(ExtraRxns251928[[#This Row],[name]]),"biosyn-","BIO-"))</f>
        <v>0.148056176050494 BIO-atp_c + 0.239522789731326 BIO-ctp_c + 0.237487241819593 BIO-gtp_c + 0.125964494302563 BIO-utp_c --&gt; BIO-rrna</v>
      </c>
      <c r="AB16" t="str">
        <v>DM-BIO-other</v>
      </c>
      <c r="AC16" t="str">
        <v xml:space="preserve">BIO-other --&gt; </v>
      </c>
    </row>
    <row r="17" spans="1:29" ht="16" x14ac:dyDescent="0.2">
      <c r="A17" s="144" t="s">
        <v>1368</v>
      </c>
      <c r="B17" t="str">
        <f>SUBSTITUTE(_xlfn.TEXTBEFORE(mets272130[[#This Row],[pasted JSON metabolite keys and values from GSM biomass rxn]],":"),CHAR(34),"")</f>
        <v>coa_c</v>
      </c>
      <c r="C17" t="str">
        <f>_xlfn.TEXTBEFORE(mets272130[[#This Row],[name]],"_",-1)</f>
        <v>coa</v>
      </c>
      <c r="D17" t="str">
        <f>_xlfn.XLOOKUP(mets272130[[#This Row],[name w/o location]],metaboliteInfo[name w/o location],metaboliteInfo[suggested category],"")</f>
        <v>COFACTOR</v>
      </c>
      <c r="E17" s="21">
        <f>_xlfn.XLOOKUP(mets272130[[#This Row],[name w/o location]],metaboliteInfo[name w/o location],metaboliteInfo[MW for biomass normalization (g/mol)],0)</f>
        <v>763.50236299999995</v>
      </c>
      <c r="F17" s="21">
        <f>_xlfn.NUMBERVALUE(SUBSTITUTE(_xlfn.TEXTAFTER(mets272130[[#This Row],[pasted JSON metabolite keys and values from GSM biomass rxn]],":"),",",""))</f>
        <v>4.7429999999999998E-3</v>
      </c>
      <c r="G17" s="21" cm="1">
        <f t="array" ref="G17">_xlfn.LET(_xlpm.id,mets272130[[#This Row],[name w/o location]],IF(IsElementOfSet_DIY(_xlpm.id,{"atp","adp","h","pi","h2o"}),SIGN(mets272130[[#This Row],[raw (GSM) coefficient]])*(ABS(mets272130[[#This Row],[raw (GSM) coefficient]])-$J$2),mets272130[[#This Row],[raw (GSM) coefficient]]))</f>
        <v>4.7429999999999998E-3</v>
      </c>
      <c r="H17" s="21">
        <f>mets272130[[#This Row],[coeff. w/o GAM]]</f>
        <v>4.7429999999999998E-3</v>
      </c>
      <c r="I17" s="161">
        <f t="shared" si="0"/>
        <v>4.7062401201184052E-3</v>
      </c>
      <c r="J17" s="21" cm="1">
        <f t="array" ref="J17">_xlfn.LET(_xlpm.id,mets272130[[#This Row],[name w/o location]],_xlpm.oldcoeff,mets272130[[#This Row],[normalized coeffs]],_xlpm.gam,$J$2-$G$2,_xlfn.IFS(IFERROR(MATCH(_xlpm.id,{"atp","h2o"},0),0)&gt;0,_xlpm.oldcoeff-_xlpm.gam,IFERROR(MATCH(_xlpm.id,{"adp","h","pi"},0),0)&gt;0,_xlpm.oldcoeff+_xlpm.gam,TRUE,_xlpm.oldcoeff))</f>
        <v>4.7062401201184052E-3</v>
      </c>
      <c r="K17" t="str" cm="1">
        <f t="array" ref="K17">"BIOSYN-"&amp;_xlfn.IFS(IFERROR(MATCH(mets272130[[#This Row],[category]],{0,"0",""},0),0)&gt;0,mets272130[[#This Row],[name]],TRUE,mets272130[[#This Row],[category]]&amp;"-"&amp;mets272130[[#This Row],[name]])</f>
        <v>BIOSYN-COFACTOR-coa_c</v>
      </c>
      <c r="L17" s="149" t="str" cm="1">
        <f t="array" ref="L1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MET-coa_c --&gt; 0.763502 BIO-coa_c</v>
      </c>
      <c r="M17" s="149" cm="1">
        <f t="array" ref="M1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6.3807651399519702E-3</v>
      </c>
      <c r="N17" s="149"/>
      <c r="O17" s="149"/>
      <c r="P17" s="149"/>
      <c r="Q17" s="167"/>
      <c r="R17" s="149"/>
      <c r="S17" s="149"/>
      <c r="T17" s="149"/>
      <c r="U17" s="149"/>
      <c r="V17" s="149"/>
      <c r="X17" s="154"/>
      <c r="Y17" s="152" t="s">
        <v>764</v>
      </c>
      <c r="Z17" s="152" t="str" cm="1">
        <f t="array" ref="Z17">_xlfn.LET(_xlpm.RNAmass,_xlfn.XLOOKUP("BIOSYN-RNA",biomassComponents262029[rxn name],biomassComponents262029[normalized coeffs],0),_xlpm.coeff,1/_xlpm.RNAmass,_xlfn.TEXTJOIN(" + ",TRUE,_xlfn._xlws.FILTER(ROUND(-mets272130[MW for biomass normalization (g/mol)]*mets272130[normalized coeffs]/(1000),6)*_xlpm.coeff&amp;" BIO-"&amp;mets272130[name],mets272130[category]="RNA",""))&amp;" --&gt; "&amp;SUBSTITUTE(LOWER(ExtraRxns251928[[#This Row],[name]]),"biosyn-","BIO-"))</f>
        <v>0.148056176050494 BIO-atp_c + 0.239522789731326 BIO-ctp_c + 0.237487241819593 BIO-gtp_c + 0.125964494302563 BIO-utp_c --&gt; BIO-mrna</v>
      </c>
      <c r="AB17" t="str">
        <v>DM-BIO-cofactor</v>
      </c>
      <c r="AC17" t="str">
        <v xml:space="preserve">BIO-cofactor --&gt; </v>
      </c>
    </row>
    <row r="18" spans="1:29" ht="16" x14ac:dyDescent="0.2">
      <c r="A18" s="144" t="s">
        <v>1325</v>
      </c>
      <c r="B18" t="str">
        <f>SUBSTITUTE(_xlfn.TEXTBEFORE(mets272130[[#This Row],[pasted JSON metabolite keys and values from GSM biomass rxn]],":"),CHAR(34),"")</f>
        <v>ctp_c</v>
      </c>
      <c r="C18" t="str">
        <f>_xlfn.TEXTBEFORE(mets272130[[#This Row],[name]],"_",-1)</f>
        <v>ctp</v>
      </c>
      <c r="D18" t="str">
        <f>_xlfn.XLOOKUP(mets272130[[#This Row],[name w/o location]],metaboliteInfo[name w/o location],metaboliteInfo[suggested category],"")</f>
        <v>RNA</v>
      </c>
      <c r="E18" s="21">
        <f>_xlfn.XLOOKUP(mets272130[[#This Row],[name w/o location]],metaboliteInfo[name w/o location],metaboliteInfo[MW for biomass normalization (g/mol)],0)</f>
        <v>304.17330100000004</v>
      </c>
      <c r="F18" s="21">
        <f>_xlfn.NUMBERVALUE(SUBSTITUTE(_xlfn.TEXTAFTER(mets272130[[#This Row],[pasted JSON metabolite keys and values from GSM biomass rxn]],":"),",",""))</f>
        <v>-0.11930200000000001</v>
      </c>
      <c r="G18" s="21" cm="1">
        <f t="array" ref="G18">_xlfn.LET(_xlpm.id,mets272130[[#This Row],[name w/o location]],IF(IsElementOfSet_DIY(_xlpm.id,{"atp","adp","h","pi","h2o"}),SIGN(mets272130[[#This Row],[raw (GSM) coefficient]])*(ABS(mets272130[[#This Row],[raw (GSM) coefficient]])-$J$2),mets272130[[#This Row],[raw (GSM) coefficient]]))</f>
        <v>-0.11930200000000001</v>
      </c>
      <c r="H18" s="21">
        <f>mets272130[[#This Row],[coeff. w/o GAM]]</f>
        <v>-0.11930200000000001</v>
      </c>
      <c r="I18" s="161">
        <f t="shared" si="0"/>
        <v>-0.11837736850313431</v>
      </c>
      <c r="J18" s="21" cm="1">
        <f t="array" ref="J18">_xlfn.LET(_xlpm.id,mets272130[[#This Row],[name w/o location]],_xlpm.oldcoeff,mets272130[[#This Row],[normalized coeffs]],_xlpm.gam,$J$2-$G$2,_xlfn.IFS(IFERROR(MATCH(_xlpm.id,{"atp","h2o"},0),0)&gt;0,_xlpm.oldcoeff-_xlpm.gam,IFERROR(MATCH(_xlpm.id,{"adp","h","pi"},0),0)&gt;0,_xlpm.oldcoeff+_xlpm.gam,TRUE,_xlpm.oldcoeff))</f>
        <v>-0.11837736850313431</v>
      </c>
      <c r="K18" t="str" cm="1">
        <f t="array" ref="K18">"BIOSYN-"&amp;_xlfn.IFS(IFERROR(MATCH(mets272130[[#This Row],[category]],{0,"0",""},0),0)&gt;0,mets272130[[#This Row],[name]],TRUE,mets272130[[#This Row],[category]]&amp;"-"&amp;mets272130[[#This Row],[name]])</f>
        <v>BIOSYN-RNA-ctp_c</v>
      </c>
      <c r="L18" s="149" t="str" cm="1">
        <f t="array" ref="L1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MET-ctp_c --&gt; MET-ppi_c + 0.304173 BIO-ctp_c</v>
      </c>
      <c r="M18" s="149" cm="1">
        <f t="array" ref="M1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-0.16049716270852837</v>
      </c>
      <c r="N18" s="149"/>
      <c r="O18" s="149"/>
      <c r="P18" s="149"/>
      <c r="Q18" s="149"/>
      <c r="R18" s="167" t="s">
        <v>1310</v>
      </c>
      <c r="S18" s="149"/>
      <c r="T18" s="149"/>
      <c r="U18" s="149"/>
      <c r="V18" s="149"/>
      <c r="X18" s="154"/>
      <c r="Y18" s="152" t="s">
        <v>1423</v>
      </c>
      <c r="Z18" s="152" t="s">
        <v>1420</v>
      </c>
      <c r="AB18" t="str">
        <v>BIOSYN-CARB</v>
      </c>
      <c r="AC18" t="str">
        <v>0.366743 BIO-13BDglucan_c + 0.096511 BIO-16BDglucan_en + 0.010866 BIO-chtn_c + 0.125799 BIO-glycogen_c + 0.262595 BIO-mannan_c + 0.155749 BIO-tre_c --&gt; BIO-carb</v>
      </c>
    </row>
    <row r="19" spans="1:29" ht="29" thickBot="1" x14ac:dyDescent="0.25">
      <c r="A19" s="144" t="s">
        <v>1326</v>
      </c>
      <c r="B19" t="str">
        <f>SUBSTITUTE(_xlfn.TEXTBEFORE(mets272130[[#This Row],[pasted JSON metabolite keys and values from GSM biomass rxn]],":"),CHAR(34),"")</f>
        <v>cu2_c</v>
      </c>
      <c r="C19" t="str">
        <f>_xlfn.TEXTBEFORE(mets272130[[#This Row],[name]],"_",-1)</f>
        <v>cu2</v>
      </c>
      <c r="D19" t="str">
        <f>_xlfn.XLOOKUP(mets272130[[#This Row],[name w/o location]],metaboliteInfo[name w/o location],metaboliteInfo[suggested category],"")</f>
        <v>METAL</v>
      </c>
      <c r="E19" s="21">
        <f>_xlfn.XLOOKUP(mets272130[[#This Row],[name w/o location]],metaboliteInfo[name w/o location],metaboliteInfo[MW for biomass normalization (g/mol)],0)</f>
        <v>63.545999999999999</v>
      </c>
      <c r="F19" s="21">
        <f>_xlfn.NUMBERVALUE(SUBSTITUTE(_xlfn.TEXTAFTER(mets272130[[#This Row],[pasted JSON metabolite keys and values from GSM biomass rxn]],":"),",",""))</f>
        <v>-1.1400000000000001E-4</v>
      </c>
      <c r="G19" s="21" cm="1">
        <f t="array" ref="G19">_xlfn.LET(_xlpm.id,mets272130[[#This Row],[name w/o location]],IF(IsElementOfSet_DIY(_xlpm.id,{"atp","adp","h","pi","h2o"}),SIGN(mets272130[[#This Row],[raw (GSM) coefficient]])*(ABS(mets272130[[#This Row],[raw (GSM) coefficient]])-$J$2),mets272130[[#This Row],[raw (GSM) coefficient]]))</f>
        <v>-1.1400000000000001E-4</v>
      </c>
      <c r="H19" s="21">
        <f>mets272130[[#This Row],[coeff. w/o GAM]]</f>
        <v>-1.1400000000000001E-4</v>
      </c>
      <c r="I19" s="161">
        <f t="shared" si="0"/>
        <v>-1.1311646082511032E-4</v>
      </c>
      <c r="J19" s="21" cm="1">
        <f t="array" ref="J19">_xlfn.LET(_xlpm.id,mets272130[[#This Row],[name w/o location]],_xlpm.oldcoeff,mets272130[[#This Row],[normalized coeffs]],_xlpm.gam,$J$2-$G$2,_xlfn.IFS(IFERROR(MATCH(_xlpm.id,{"atp","h2o"},0),0)&gt;0,_xlpm.oldcoeff-_xlpm.gam,IFERROR(MATCH(_xlpm.id,{"adp","h","pi"},0),0)&gt;0,_xlpm.oldcoeff+_xlpm.gam,TRUE,_xlpm.oldcoeff))</f>
        <v>-1.1311646082511032E-4</v>
      </c>
      <c r="K19" t="str" cm="1">
        <f t="array" ref="K19">"BIOSYN-"&amp;_xlfn.IFS(IFERROR(MATCH(mets272130[[#This Row],[category]],{0,"0",""},0),0)&gt;0,mets272130[[#This Row],[name]],TRUE,mets272130[[#This Row],[category]]&amp;"-"&amp;mets272130[[#This Row],[name]])</f>
        <v>BIOSYN-METAL-cu2_c</v>
      </c>
      <c r="L19" s="149" t="str" cm="1">
        <f t="array" ref="L1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MET-cu2_c --&gt; 0.063546 BIO-cu2_c</v>
      </c>
      <c r="M19" s="149" cm="1">
        <f t="array" ref="M1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-1.533643740152909E-4</v>
      </c>
      <c r="N19" s="149"/>
      <c r="O19" s="149"/>
      <c r="P19" s="175" t="s">
        <v>762</v>
      </c>
      <c r="Q19" s="175" t="s">
        <v>753</v>
      </c>
      <c r="R19" s="175" t="s">
        <v>627</v>
      </c>
      <c r="S19" s="149"/>
      <c r="T19" s="149"/>
      <c r="U19" s="149"/>
      <c r="V19" s="149">
        <f>SUM(U20:U29)</f>
        <v>0.58717494220823685</v>
      </c>
      <c r="X19" s="154"/>
      <c r="Y19" s="152" t="s">
        <v>1424</v>
      </c>
      <c r="Z19" s="152" t="s">
        <v>1421</v>
      </c>
      <c r="AB19" t="str">
        <v>BIOSYN-COFACTOR</v>
      </c>
      <c r="AC19" t="str">
        <v>0.614705 BIO-nadph_c --&gt; BIO-cofactor + 1.000836 MET-coa_c + 0.613869 MET-nadp_c</v>
      </c>
    </row>
    <row r="20" spans="1:29" ht="16" x14ac:dyDescent="0.2">
      <c r="A20" s="144" t="s">
        <v>1327</v>
      </c>
      <c r="B20" t="str">
        <f>SUBSTITUTE(_xlfn.TEXTBEFORE(mets272130[[#This Row],[pasted JSON metabolite keys and values from GSM biomass rxn]],":"),CHAR(34),"")</f>
        <v>cystrna_c</v>
      </c>
      <c r="C20" t="str">
        <f>_xlfn.TEXTBEFORE(mets272130[[#This Row],[name]],"_",-1)</f>
        <v>cystrna</v>
      </c>
      <c r="D20" t="str">
        <f>_xlfn.XLOOKUP(mets272130[[#This Row],[name w/o location]],metaboliteInfo[name w/o location],metaboliteInfo[suggested category],"")</f>
        <v>PROT</v>
      </c>
      <c r="E20" s="21">
        <f>_xlfn.XLOOKUP(mets272130[[#This Row],[name w/o location]],metaboliteInfo[name w/o location],metaboliteInfo[MW for biomass normalization (g/mol)],0)</f>
        <v>104.15084</v>
      </c>
      <c r="F20" s="21">
        <f>_xlfn.NUMBERVALUE(SUBSTITUTE(_xlfn.TEXTAFTER(mets272130[[#This Row],[pasted JSON metabolite keys and values from GSM biomass rxn]],":"),",",""))</f>
        <v>-5.816E-3</v>
      </c>
      <c r="G20" s="21" cm="1">
        <f t="array" ref="G20">_xlfn.LET(_xlpm.id,mets272130[[#This Row],[name w/o location]],IF(IsElementOfSet_DIY(_xlpm.id,{"atp","adp","h","pi","h2o"}),SIGN(mets272130[[#This Row],[raw (GSM) coefficient]])*(ABS(mets272130[[#This Row],[raw (GSM) coefficient]])-$J$2),mets272130[[#This Row],[raw (GSM) coefficient]]))</f>
        <v>-5.816E-3</v>
      </c>
      <c r="H20" s="21">
        <f>mets272130[[#This Row],[coeff. w/o GAM]]</f>
        <v>-5.816E-3</v>
      </c>
      <c r="I20" s="161">
        <f t="shared" si="0"/>
        <v>-5.7709240013933474E-3</v>
      </c>
      <c r="J20" s="21" cm="1">
        <f t="array" ref="J20">_xlfn.LET(_xlpm.id,mets272130[[#This Row],[name w/o location]],_xlpm.oldcoeff,mets272130[[#This Row],[normalized coeffs]],_xlpm.gam,$J$2-$G$2,_xlfn.IFS(IFERROR(MATCH(_xlpm.id,{"atp","h2o"},0),0)&gt;0,_xlpm.oldcoeff-_xlpm.gam,IFERROR(MATCH(_xlpm.id,{"adp","h","pi"},0),0)&gt;0,_xlpm.oldcoeff+_xlpm.gam,TRUE,_xlpm.oldcoeff))</f>
        <v>-5.7709240013933474E-3</v>
      </c>
      <c r="K20" t="str" cm="1">
        <f t="array" ref="K20">"BIOSYN-"&amp;_xlfn.IFS(IFERROR(MATCH(mets272130[[#This Row],[category]],{0,"0",""},0),0)&gt;0,mets272130[[#This Row],[name]],TRUE,mets272130[[#This Row],[category]]&amp;"-"&amp;mets272130[[#This Row],[name]])</f>
        <v>BIOSYN-PROT-cystrna_c</v>
      </c>
      <c r="L20" s="149" t="str" cm="1">
        <f t="array" ref="L2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20" s="149" cm="1">
        <f t="array" ref="M2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-2.4785378723932968E-3</v>
      </c>
      <c r="N20" s="149"/>
      <c r="O20" s="149"/>
      <c r="P20" s="176" t="s">
        <v>64</v>
      </c>
      <c r="Q20" s="176" t="s">
        <v>274</v>
      </c>
      <c r="R20" s="177">
        <v>0.47399999999999998</v>
      </c>
      <c r="S20" s="149"/>
      <c r="T20" s="149"/>
      <c r="U20" s="149">
        <v>0</v>
      </c>
      <c r="V20" s="149" cm="1">
        <f t="array" ref="V20:V29">U20:U29/V19</f>
        <v>0</v>
      </c>
      <c r="AB20" t="str">
        <v>BIOSYN-DNA</v>
      </c>
      <c r="AC20" t="str">
        <v>0.20153 BIO-datp_c + 0.290348 BIO-dctp_c + 0.330674 BIO-dgtp_c + 0.195712 BIO-dttp_c --&gt; BIO-dna</v>
      </c>
    </row>
    <row r="21" spans="1:29" ht="16" x14ac:dyDescent="0.2">
      <c r="A21" s="144" t="s">
        <v>1369</v>
      </c>
      <c r="B21" t="str">
        <f>SUBSTITUTE(_xlfn.TEXTBEFORE(mets272130[[#This Row],[pasted JSON metabolite keys and values from GSM biomass rxn]],":"),CHAR(34),"")</f>
        <v>dag_c</v>
      </c>
      <c r="C21" t="str">
        <f>_xlfn.TEXTBEFORE(mets272130[[#This Row],[name]],"_",-1)</f>
        <v>dag</v>
      </c>
      <c r="D21" t="str">
        <f>_xlfn.XLOOKUP(mets272130[[#This Row],[name w/o location]],metaboliteInfo[name w/o location],metaboliteInfo[suggested category],"")</f>
        <v>LIPID</v>
      </c>
      <c r="E21" s="21">
        <f>_xlfn.XLOOKUP(mets272130[[#This Row],[name w/o location]],metaboliteInfo[name w/o location],metaboliteInfo[MW for biomass normalization (g/mol)],0)</f>
        <v>317.07794000000001</v>
      </c>
      <c r="F21" s="21">
        <f>_xlfn.NUMBERVALUE(SUBSTITUTE(_xlfn.TEXTAFTER(mets272130[[#This Row],[pasted JSON metabolite keys and values from GSM biomass rxn]],":"),",",""))</f>
        <v>2E-3</v>
      </c>
      <c r="G21" s="21" cm="1">
        <f t="array" ref="G21">_xlfn.LET(_xlpm.id,mets272130[[#This Row],[name w/o location]],IF(IsElementOfSet_DIY(_xlpm.id,{"atp","adp","h","pi","h2o"}),SIGN(mets272130[[#This Row],[raw (GSM) coefficient]])*(ABS(mets272130[[#This Row],[raw (GSM) coefficient]])-$J$2),mets272130[[#This Row],[raw (GSM) coefficient]]))</f>
        <v>2E-3</v>
      </c>
      <c r="H21" s="21">
        <f>mets272130[[#This Row],[coeff. w/o GAM]]</f>
        <v>2E-3</v>
      </c>
      <c r="I21" s="161">
        <f t="shared" si="0"/>
        <v>1.9844993127212337E-3</v>
      </c>
      <c r="J21" s="21" cm="1">
        <f t="array" ref="J21">_xlfn.LET(_xlpm.id,mets272130[[#This Row],[name w/o location]],_xlpm.oldcoeff,mets272130[[#This Row],[normalized coeffs]],_xlpm.gam,$J$2-$G$2,_xlfn.IFS(IFERROR(MATCH(_xlpm.id,{"atp","h2o"},0),0)&gt;0,_xlpm.oldcoeff-_xlpm.gam,IFERROR(MATCH(_xlpm.id,{"adp","h","pi"},0),0)&gt;0,_xlpm.oldcoeff+_xlpm.gam,TRUE,_xlpm.oldcoeff))</f>
        <v>1.9844993127212337E-3</v>
      </c>
      <c r="K21" t="str" cm="1">
        <f t="array" ref="K21">"BIOSYN-"&amp;_xlfn.IFS(IFERROR(MATCH(mets272130[[#This Row],[category]],{0,"0",""},0),0)&gt;0,mets272130[[#This Row],[name]],TRUE,mets272130[[#This Row],[category]]&amp;"-"&amp;mets272130[[#This Row],[name]])</f>
        <v>BIOSYN-LIPID-dag_c</v>
      </c>
      <c r="L21" s="149" t="str" cm="1">
        <f t="array" ref="L2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MET-dag_c --&gt; 0.317078 BIO-dag_c</v>
      </c>
      <c r="M21" s="149" cm="1">
        <f t="array" ref="M2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4.6763914924801671E-3</v>
      </c>
      <c r="N21" s="149"/>
      <c r="O21" s="149"/>
      <c r="P21" s="176" t="s">
        <v>164</v>
      </c>
      <c r="Q21" s="176" t="s">
        <v>28</v>
      </c>
      <c r="R21" s="177"/>
      <c r="S21" s="149"/>
      <c r="T21" s="149"/>
      <c r="U21" s="149">
        <v>0.18248193945823896</v>
      </c>
      <c r="V21" s="149">
        <v>0.31077950767443208</v>
      </c>
      <c r="AB21" t="str">
        <v>BIOSYN-LIPID</v>
      </c>
      <c r="AC21" t="str">
        <v>-0.008103 MET-dag_c + 0.000193 BIO-docoscoa_c + 0.217249 BIO-ergst_c + 0.089686 BIO-ergstest_c + 0.014594 BIO-hxccoa_c + 0.003464 BIO-linocoa_c + 0.000852 BIO-linolncoa_c + 0.002021 BIO-odecoa_c + 0.107271 BIO-pail_c + 0.289121 BIO-pc_c + 0.073396 BIO-pe_c + 0.027214 BIO-pmtcoa_c + 0.066721 BIO-ps_c + 0.001103 BIO-stcoa_c + 0.118731 BIO-tag_c + 0.01475 BIO-ttccoa_c --&gt; BIO-lipid</v>
      </c>
    </row>
    <row r="22" spans="1:29" ht="16" x14ac:dyDescent="0.2">
      <c r="A22" s="144" t="s">
        <v>1328</v>
      </c>
      <c r="B22" t="str">
        <f>SUBSTITUTE(_xlfn.TEXTBEFORE(mets272130[[#This Row],[pasted JSON metabolite keys and values from GSM biomass rxn]],":"),CHAR(34),"")</f>
        <v>datp_c</v>
      </c>
      <c r="C22" t="str">
        <f>_xlfn.TEXTBEFORE(mets272130[[#This Row],[name]],"_",-1)</f>
        <v>datp</v>
      </c>
      <c r="D22" t="str">
        <f>_xlfn.XLOOKUP(mets272130[[#This Row],[name w/o location]],metaboliteInfo[name w/o location],metaboliteInfo[suggested category],"")</f>
        <v>DNA</v>
      </c>
      <c r="E22" s="21">
        <f>_xlfn.XLOOKUP(mets272130[[#This Row],[name w/o location]],metaboliteInfo[name w/o location],metaboliteInfo[MW for biomass normalization (g/mol)],0)</f>
        <v>312.19860099999994</v>
      </c>
      <c r="F22" s="21">
        <f>_xlfn.NUMBERVALUE(SUBSTITUTE(_xlfn.TEXTAFTER(mets272130[[#This Row],[pasted JSON metabolite keys and values from GSM biomass rxn]],":"),",",""))</f>
        <v>-6.0089999999999996E-3</v>
      </c>
      <c r="G22" s="21" cm="1">
        <f t="array" ref="G22">_xlfn.LET(_xlpm.id,mets272130[[#This Row],[name w/o location]],IF(IsElementOfSet_DIY(_xlpm.id,{"atp","adp","h","pi","h2o"}),SIGN(mets272130[[#This Row],[raw (GSM) coefficient]])*(ABS(mets272130[[#This Row],[raw (GSM) coefficient]])-$J$2),mets272130[[#This Row],[raw (GSM) coefficient]]))</f>
        <v>-6.0089999999999996E-3</v>
      </c>
      <c r="H22" s="21">
        <f>mets272130[[#This Row],[coeff. w/o GAM]]</f>
        <v>-6.0089999999999996E-3</v>
      </c>
      <c r="I22" s="161">
        <f t="shared" si="0"/>
        <v>-5.9624281850709461E-3</v>
      </c>
      <c r="J22" s="21" cm="1">
        <f t="array" ref="J22">_xlfn.LET(_xlpm.id,mets272130[[#This Row],[name w/o location]],_xlpm.oldcoeff,mets272130[[#This Row],[normalized coeffs]],_xlpm.gam,$J$2-$G$2,_xlfn.IFS(IFERROR(MATCH(_xlpm.id,{"atp","h2o"},0),0)&gt;0,_xlpm.oldcoeff-_xlpm.gam,IFERROR(MATCH(_xlpm.id,{"adp","h","pi"},0),0)&gt;0,_xlpm.oldcoeff+_xlpm.gam,TRUE,_xlpm.oldcoeff))</f>
        <v>-5.9624281850709461E-3</v>
      </c>
      <c r="K22" t="str" cm="1">
        <f t="array" ref="K22">"BIOSYN-"&amp;_xlfn.IFS(IFERROR(MATCH(mets272130[[#This Row],[category]],{0,"0",""},0),0)&gt;0,mets272130[[#This Row],[name]],TRUE,mets272130[[#This Row],[category]]&amp;"-"&amp;mets272130[[#This Row],[name]])</f>
        <v>BIOSYN-DNA-datp_c</v>
      </c>
      <c r="L22" s="149" t="str" cm="1">
        <f t="array" ref="L2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MET-datp_c --&gt; MET-ppi_c + 0.312199 BIO-datp_c</v>
      </c>
      <c r="M22" s="149" cm="1">
        <f t="array" ref="M2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-8.0839168724375701E-3</v>
      </c>
      <c r="N22" s="149"/>
      <c r="O22" s="149"/>
      <c r="P22" s="176" t="s">
        <v>128</v>
      </c>
      <c r="Q22" s="176" t="s">
        <v>24</v>
      </c>
      <c r="R22" s="177">
        <v>8.0000000000000002E-3</v>
      </c>
      <c r="S22" s="149"/>
      <c r="T22" s="149"/>
      <c r="U22" s="149">
        <v>5.6127957785683785E-3</v>
      </c>
      <c r="V22" s="149">
        <v>9.5589838310536183E-3</v>
      </c>
      <c r="AB22" t="str">
        <v>BIOSYN-METAL</v>
      </c>
      <c r="AC22" t="str">
        <v>0.00207 BIO-ca2_c + 0.000291 BIO-cu2_c + 0.001489 BIO-fe2_c + 0.947972 BIO-k_c + 0.062094 BIO-mg2_c + 0.000207 BIO-mn2_c + 0.004139 BIO-zn2_c --&gt; BIO-metal</v>
      </c>
    </row>
    <row r="23" spans="1:29" ht="16" x14ac:dyDescent="0.2">
      <c r="A23" s="144" t="s">
        <v>1329</v>
      </c>
      <c r="B23" t="str">
        <f>SUBSTITUTE(_xlfn.TEXTBEFORE(mets272130[[#This Row],[pasted JSON metabolite keys and values from GSM biomass rxn]],":"),CHAR(34),"")</f>
        <v>dctp_c</v>
      </c>
      <c r="C23" t="str">
        <f>_xlfn.TEXTBEFORE(mets272130[[#This Row],[name]],"_",-1)</f>
        <v>dctp</v>
      </c>
      <c r="D23" t="str">
        <f>_xlfn.XLOOKUP(mets272130[[#This Row],[name w/o location]],metaboliteInfo[name w/o location],metaboliteInfo[suggested category],"")</f>
        <v>DNA</v>
      </c>
      <c r="E23" s="21">
        <f>_xlfn.XLOOKUP(mets272130[[#This Row],[name w/o location]],metaboliteInfo[name w/o location],metaboliteInfo[MW for biomass normalization (g/mol)],0)</f>
        <v>288.173901</v>
      </c>
      <c r="F23" s="21">
        <f>_xlfn.NUMBERVALUE(SUBSTITUTE(_xlfn.TEXTAFTER(mets272130[[#This Row],[pasted JSON metabolite keys and values from GSM biomass rxn]],":"),",",""))</f>
        <v>-9.3790000000000002E-3</v>
      </c>
      <c r="G23" s="21" cm="1">
        <f t="array" ref="G23">_xlfn.LET(_xlpm.id,mets272130[[#This Row],[name w/o location]],IF(IsElementOfSet_DIY(_xlpm.id,{"atp","adp","h","pi","h2o"}),SIGN(mets272130[[#This Row],[raw (GSM) coefficient]])*(ABS(mets272130[[#This Row],[raw (GSM) coefficient]])-$J$2),mets272130[[#This Row],[raw (GSM) coefficient]]))</f>
        <v>-9.3790000000000002E-3</v>
      </c>
      <c r="H23" s="21">
        <f>mets272130[[#This Row],[coeff. w/o GAM]]</f>
        <v>-9.3790000000000002E-3</v>
      </c>
      <c r="I23" s="161">
        <f t="shared" si="0"/>
        <v>-9.3063095270062256E-3</v>
      </c>
      <c r="J23" s="21" cm="1">
        <f t="array" ref="J23">_xlfn.LET(_xlpm.id,mets272130[[#This Row],[name w/o location]],_xlpm.oldcoeff,mets272130[[#This Row],[normalized coeffs]],_xlpm.gam,$J$2-$G$2,_xlfn.IFS(IFERROR(MATCH(_xlpm.id,{"atp","h2o"},0),0)&gt;0,_xlpm.oldcoeff-_xlpm.gam,IFERROR(MATCH(_xlpm.id,{"adp","h","pi"},0),0)&gt;0,_xlpm.oldcoeff+_xlpm.gam,TRUE,_xlpm.oldcoeff))</f>
        <v>-9.3063095270062256E-3</v>
      </c>
      <c r="K23" t="str" cm="1">
        <f t="array" ref="K23">"BIOSYN-"&amp;_xlfn.IFS(IFERROR(MATCH(mets272130[[#This Row],[category]],{0,"0",""},0),0)&gt;0,mets272130[[#This Row],[name]],TRUE,mets272130[[#This Row],[category]]&amp;"-"&amp;mets272130[[#This Row],[name]])</f>
        <v>BIOSYN-DNA-dctp_c</v>
      </c>
      <c r="L23" s="149" t="str" cm="1">
        <f t="array" ref="L2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MET-dctp_c --&gt; MET-ppi_c + 0.288174 BIO-dctp_c</v>
      </c>
      <c r="M23" s="149" cm="1">
        <f t="array" ref="M2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-1.2617583016573801E-2</v>
      </c>
      <c r="N23" s="149"/>
      <c r="O23" s="149"/>
      <c r="P23" s="176" t="s">
        <v>99</v>
      </c>
      <c r="Q23" s="176" t="s">
        <v>22</v>
      </c>
      <c r="R23" s="177">
        <v>9.0999999999999998E-2</v>
      </c>
      <c r="S23" s="149"/>
      <c r="T23" s="149"/>
      <c r="U23" s="149">
        <v>3.941387565385928E-2</v>
      </c>
      <c r="V23" s="149">
        <v>6.7124587274845715E-2</v>
      </c>
      <c r="AB23" t="str">
        <v>BIOSYN-other</v>
      </c>
      <c r="AC23" t="str">
        <v>0.571201 BIO-o2_c --&gt; BIO-other + 1.571201 MET-co2_c</v>
      </c>
    </row>
    <row r="24" spans="1:29" ht="16" x14ac:dyDescent="0.2">
      <c r="A24" s="144" t="s">
        <v>1330</v>
      </c>
      <c r="B24" t="str">
        <f>SUBSTITUTE(_xlfn.TEXTBEFORE(mets272130[[#This Row],[pasted JSON metabolite keys and values from GSM biomass rxn]],":"),CHAR(34),"")</f>
        <v>dgtp_c</v>
      </c>
      <c r="C24" t="str">
        <f>_xlfn.TEXTBEFORE(mets272130[[#This Row],[name]],"_",-1)</f>
        <v>dgtp</v>
      </c>
      <c r="D24" t="str">
        <f>_xlfn.XLOOKUP(mets272130[[#This Row],[name w/o location]],metaboliteInfo[name w/o location],metaboliteInfo[suggested category],"")</f>
        <v>DNA</v>
      </c>
      <c r="E24" s="21">
        <f>_xlfn.XLOOKUP(mets272130[[#This Row],[name w/o location]],metaboliteInfo[name w/o location],metaboliteInfo[MW for biomass normalization (g/mol)],0)</f>
        <v>328.19800099999998</v>
      </c>
      <c r="F24" s="21">
        <f>_xlfn.NUMBERVALUE(SUBSTITUTE(_xlfn.TEXTAFTER(mets272130[[#This Row],[pasted JSON metabolite keys and values from GSM biomass rxn]],":"),",",""))</f>
        <v>-9.3790000000000002E-3</v>
      </c>
      <c r="G24" s="21" cm="1">
        <f t="array" ref="G24">_xlfn.LET(_xlpm.id,mets272130[[#This Row],[name w/o location]],IF(IsElementOfSet_DIY(_xlpm.id,{"atp","adp","h","pi","h2o"}),SIGN(mets272130[[#This Row],[raw (GSM) coefficient]])*(ABS(mets272130[[#This Row],[raw (GSM) coefficient]])-$J$2),mets272130[[#This Row],[raw (GSM) coefficient]]))</f>
        <v>-9.3790000000000002E-3</v>
      </c>
      <c r="H24" s="21">
        <f>mets272130[[#This Row],[coeff. w/o GAM]]</f>
        <v>-9.3790000000000002E-3</v>
      </c>
      <c r="I24" s="161">
        <f t="shared" si="0"/>
        <v>-9.3063095270062256E-3</v>
      </c>
      <c r="J24" s="21" cm="1">
        <f t="array" ref="J24">_xlfn.LET(_xlpm.id,mets272130[[#This Row],[name w/o location]],_xlpm.oldcoeff,mets272130[[#This Row],[normalized coeffs]],_xlpm.gam,$J$2-$G$2,_xlfn.IFS(IFERROR(MATCH(_xlpm.id,{"atp","h2o"},0),0)&gt;0,_xlpm.oldcoeff-_xlpm.gam,IFERROR(MATCH(_xlpm.id,{"adp","h","pi"},0),0)&gt;0,_xlpm.oldcoeff+_xlpm.gam,TRUE,_xlpm.oldcoeff))</f>
        <v>-9.3063095270062256E-3</v>
      </c>
      <c r="K24" t="str" cm="1">
        <f t="array" ref="K24">"BIOSYN-"&amp;_xlfn.IFS(IFERROR(MATCH(mets272130[[#This Row],[category]],{0,"0",""},0),0)&gt;0,mets272130[[#This Row],[name]],TRUE,mets272130[[#This Row],[category]]&amp;"-"&amp;mets272130[[#This Row],[name]])</f>
        <v>BIOSYN-DNA-dgtp_c</v>
      </c>
      <c r="L24" s="149" t="str" cm="1">
        <f t="array" ref="L2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MET-dgtp_c --&gt; MET-ppi_c + 0.328198 BIO-dgtp_c</v>
      </c>
      <c r="M24" s="149" cm="1">
        <f t="array" ref="M2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-1.2617583016573801E-2</v>
      </c>
      <c r="N24" s="149"/>
      <c r="O24" s="149"/>
      <c r="P24" s="176" t="s">
        <v>141</v>
      </c>
      <c r="Q24" s="176" t="s">
        <v>26</v>
      </c>
      <c r="R24" s="177"/>
      <c r="S24" s="149"/>
      <c r="T24" s="149"/>
      <c r="U24" s="149">
        <v>1.5011832191139624E-2</v>
      </c>
      <c r="V24" s="149">
        <v>2.5566200312777992E-2</v>
      </c>
      <c r="AB24" t="str">
        <v>BIOSYN-PI</v>
      </c>
      <c r="AC24" t="str">
        <v>1.018263 BIO-pi_c --&gt; BIO-pi</v>
      </c>
    </row>
    <row r="25" spans="1:29" ht="16" x14ac:dyDescent="0.2">
      <c r="A25" s="144" t="s">
        <v>1370</v>
      </c>
      <c r="B25" t="str">
        <f>SUBSTITUTE(_xlfn.TEXTBEFORE(mets272130[[#This Row],[pasted JSON metabolite keys and values from GSM biomass rxn]],":"),CHAR(34),"")</f>
        <v>docoscoa_c</v>
      </c>
      <c r="C25" t="str">
        <f>_xlfn.TEXTBEFORE(mets272130[[#This Row],[name]],"_",-1)</f>
        <v>docoscoa</v>
      </c>
      <c r="D25" t="str">
        <f>_xlfn.XLOOKUP(mets272130[[#This Row],[name w/o location]],metaboliteInfo[name w/o location],metaboliteInfo[suggested category],"")</f>
        <v>LIPID</v>
      </c>
      <c r="E25" s="21">
        <f>_xlfn.XLOOKUP(mets272130[[#This Row],[name w/o location]],metaboliteInfo[name w/o location],metaboliteInfo[MW for biomass normalization (g/mol)],0)</f>
        <v>1086.070643</v>
      </c>
      <c r="F25" s="21">
        <f>_xlfn.NUMBERVALUE(SUBSTITUTE(_xlfn.TEXTAFTER(mets272130[[#This Row],[pasted JSON metabolite keys and values from GSM biomass rxn]],":"),",",""))</f>
        <v>-1.393125E-5</v>
      </c>
      <c r="G25" s="21" cm="1">
        <f t="array" ref="G25">_xlfn.LET(_xlpm.id,mets272130[[#This Row],[name w/o location]],IF(IsElementOfSet_DIY(_xlpm.id,{"atp","adp","h","pi","h2o"}),SIGN(mets272130[[#This Row],[raw (GSM) coefficient]])*(ABS(mets272130[[#This Row],[raw (GSM) coefficient]])-$J$2),mets272130[[#This Row],[raw (GSM) coefficient]]))</f>
        <v>-1.393125E-5</v>
      </c>
      <c r="H25" s="21">
        <f>mets272130[[#This Row],[coeff. w/o GAM]]</f>
        <v>-1.393125E-5</v>
      </c>
      <c r="I25" s="161">
        <f t="shared" si="0"/>
        <v>-1.3823278025173843E-5</v>
      </c>
      <c r="J25" s="21" cm="1">
        <f t="array" ref="J25">_xlfn.LET(_xlpm.id,mets272130[[#This Row],[name w/o location]],_xlpm.oldcoeff,mets272130[[#This Row],[normalized coeffs]],_xlpm.gam,$J$2-$G$2,_xlfn.IFS(IFERROR(MATCH(_xlpm.id,{"atp","h2o"},0),0)&gt;0,_xlpm.oldcoeff-_xlpm.gam,IFERROR(MATCH(_xlpm.id,{"adp","h","pi"},0),0)&gt;0,_xlpm.oldcoeff+_xlpm.gam,TRUE,_xlpm.oldcoeff))</f>
        <v>-1.3823278025173843E-5</v>
      </c>
      <c r="K25" t="str" cm="1">
        <f t="array" ref="K25">"BIOSYN-"&amp;_xlfn.IFS(IFERROR(MATCH(mets272130[[#This Row],[category]],{0,"0",""},0),0)&gt;0,mets272130[[#This Row],[name]],TRUE,mets272130[[#This Row],[category]]&amp;"-"&amp;mets272130[[#This Row],[name]])</f>
        <v>BIOSYN-LIPID-docoscoa_c</v>
      </c>
      <c r="L25" s="149" t="str" cm="1">
        <f t="array" ref="L2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MET-docoscoa_c --&gt; 1.086071 BIO-docoscoa_c</v>
      </c>
      <c r="M25" s="149" cm="1">
        <f t="array" ref="M2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-3.2573989489807163E-5</v>
      </c>
      <c r="N25" s="149"/>
      <c r="O25" s="149"/>
      <c r="P25" s="176" t="s">
        <v>192</v>
      </c>
      <c r="Q25" s="176" t="s">
        <v>32</v>
      </c>
      <c r="R25" s="177"/>
      <c r="S25" s="149"/>
      <c r="T25" s="149"/>
      <c r="U25" s="149"/>
      <c r="V25" s="149">
        <v>0</v>
      </c>
      <c r="AB25" t="str">
        <v>BIOSYN-RNA</v>
      </c>
      <c r="AC25" t="str">
        <v>0.15 BIO-trna + 0.05 BIO-mrna + 0.80 BIO-rrna --&gt; BIO-rna</v>
      </c>
    </row>
    <row r="26" spans="1:29" ht="16" x14ac:dyDescent="0.2">
      <c r="A26" s="144" t="s">
        <v>1331</v>
      </c>
      <c r="B26" t="str">
        <f>SUBSTITUTE(_xlfn.TEXTBEFORE(mets272130[[#This Row],[pasted JSON metabolite keys and values from GSM biomass rxn]],":"),CHAR(34),"")</f>
        <v>dttp_c</v>
      </c>
      <c r="C26" t="str">
        <f>_xlfn.TEXTBEFORE(mets272130[[#This Row],[name]],"_",-1)</f>
        <v>dttp</v>
      </c>
      <c r="D26" t="str">
        <f>_xlfn.XLOOKUP(mets272130[[#This Row],[name w/o location]],metaboliteInfo[name w/o location],metaboliteInfo[suggested category],"")</f>
        <v>DNA</v>
      </c>
      <c r="E26" s="21">
        <f>_xlfn.XLOOKUP(mets272130[[#This Row],[name w/o location]],metaboliteInfo[name w/o location],metaboliteInfo[MW for biomass normalization (g/mol)],0)</f>
        <v>303.18524100000002</v>
      </c>
      <c r="F26" s="21">
        <f>_xlfn.NUMBERVALUE(SUBSTITUTE(_xlfn.TEXTAFTER(mets272130[[#This Row],[pasted JSON metabolite keys and values from GSM biomass rxn]],":"),",",""))</f>
        <v>-6.0089999999999996E-3</v>
      </c>
      <c r="G26" s="21" cm="1">
        <f t="array" ref="G26">_xlfn.LET(_xlpm.id,mets272130[[#This Row],[name w/o location]],IF(IsElementOfSet_DIY(_xlpm.id,{"atp","adp","h","pi","h2o"}),SIGN(mets272130[[#This Row],[raw (GSM) coefficient]])*(ABS(mets272130[[#This Row],[raw (GSM) coefficient]])-$J$2),mets272130[[#This Row],[raw (GSM) coefficient]]))</f>
        <v>-6.0089999999999996E-3</v>
      </c>
      <c r="H26" s="21">
        <f>mets272130[[#This Row],[coeff. w/o GAM]]</f>
        <v>-6.0089999999999996E-3</v>
      </c>
      <c r="I26" s="161">
        <f t="shared" si="0"/>
        <v>-5.9624281850709461E-3</v>
      </c>
      <c r="J26" s="21" cm="1">
        <f t="array" ref="J26">_xlfn.LET(_xlpm.id,mets272130[[#This Row],[name w/o location]],_xlpm.oldcoeff,mets272130[[#This Row],[normalized coeffs]],_xlpm.gam,$J$2-$G$2,_xlfn.IFS(IFERROR(MATCH(_xlpm.id,{"atp","h2o"},0),0)&gt;0,_xlpm.oldcoeff-_xlpm.gam,IFERROR(MATCH(_xlpm.id,{"adp","h","pi"},0),0)&gt;0,_xlpm.oldcoeff+_xlpm.gam,TRUE,_xlpm.oldcoeff))</f>
        <v>-5.9624281850709461E-3</v>
      </c>
      <c r="K26" t="str" cm="1">
        <f t="array" ref="K26">"BIOSYN-"&amp;_xlfn.IFS(IFERROR(MATCH(mets272130[[#This Row],[category]],{0,"0",""},0),0)&gt;0,mets272130[[#This Row],[name]],TRUE,mets272130[[#This Row],[category]]&amp;"-"&amp;mets272130[[#This Row],[name]])</f>
        <v>BIOSYN-DNA-dttp_c</v>
      </c>
      <c r="L26" s="149" t="str" cm="1">
        <f t="array" ref="L2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MET-dttp_c --&gt; MET-ppi_c + 0.303185 BIO-dttp_c</v>
      </c>
      <c r="M26" s="149" cm="1">
        <f t="array" ref="M2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-8.0839168724375701E-3</v>
      </c>
      <c r="N26" s="149"/>
      <c r="O26" s="149"/>
      <c r="P26" s="176" t="s">
        <v>298</v>
      </c>
      <c r="Q26" s="176" t="s">
        <v>21</v>
      </c>
      <c r="R26" s="177">
        <v>0.36899999999999999</v>
      </c>
      <c r="S26" s="149"/>
      <c r="T26" s="149"/>
      <c r="U26" s="149">
        <v>6.0047345343965048E-3</v>
      </c>
      <c r="V26" s="149">
        <v>1.0226482948700107E-2</v>
      </c>
      <c r="AB26" t="str">
        <v>BIOSYN-SO4</v>
      </c>
      <c r="AC26" t="str">
        <v>1.018263 BIO-so4_c --&gt; BIO-so4</v>
      </c>
    </row>
    <row r="27" spans="1:29" ht="16" x14ac:dyDescent="0.2">
      <c r="A27" s="144" t="s">
        <v>1332</v>
      </c>
      <c r="B27" t="str">
        <f>SUBSTITUTE(_xlfn.TEXTBEFORE(mets272130[[#This Row],[pasted JSON metabolite keys and values from GSM biomass rxn]],":"),CHAR(34),"")</f>
        <v>ergst_c</v>
      </c>
      <c r="C27" t="str">
        <f>_xlfn.TEXTBEFORE(mets272130[[#This Row],[name]],"_",-1)</f>
        <v>ergst</v>
      </c>
      <c r="D27" t="str">
        <f>_xlfn.XLOOKUP(mets272130[[#This Row],[name w/o location]],metaboliteInfo[name w/o location],metaboliteInfo[suggested category],"")</f>
        <v>LIPID</v>
      </c>
      <c r="E27" s="21">
        <f>_xlfn.XLOOKUP(mets272130[[#This Row],[name w/o location]],metaboliteInfo[name w/o location],metaboliteInfo[MW for biomass normalization (g/mol)],0)</f>
        <v>396.648359999999</v>
      </c>
      <c r="F27" s="21">
        <f>_xlfn.NUMBERVALUE(SUBSTITUTE(_xlfn.TEXTAFTER(mets272130[[#This Row],[pasted JSON metabolite keys and values from GSM biomass rxn]],":"),",",""))</f>
        <v>-4.2867000000000002E-2</v>
      </c>
      <c r="G27" s="21" cm="1">
        <f t="array" ref="G27">_xlfn.LET(_xlpm.id,mets272130[[#This Row],[name w/o location]],IF(IsElementOfSet_DIY(_xlpm.id,{"atp","adp","h","pi","h2o"}),SIGN(mets272130[[#This Row],[raw (GSM) coefficient]])*(ABS(mets272130[[#This Row],[raw (GSM) coefficient]])-$J$2),mets272130[[#This Row],[raw (GSM) coefficient]]))</f>
        <v>-4.2867000000000002E-2</v>
      </c>
      <c r="H27" s="21">
        <f>mets272130[[#This Row],[coeff. w/o GAM]]</f>
        <v>-4.2867000000000002E-2</v>
      </c>
      <c r="I27" s="161">
        <f t="shared" si="0"/>
        <v>-4.2534766019210565E-2</v>
      </c>
      <c r="J27" s="21" cm="1">
        <f t="array" ref="J27">_xlfn.LET(_xlpm.id,mets272130[[#This Row],[name w/o location]],_xlpm.oldcoeff,mets272130[[#This Row],[normalized coeffs]],_xlpm.gam,$J$2-$G$2,_xlfn.IFS(IFERROR(MATCH(_xlpm.id,{"atp","h2o"},0),0)&gt;0,_xlpm.oldcoeff-_xlpm.gam,IFERROR(MATCH(_xlpm.id,{"adp","h","pi"},0),0)&gt;0,_xlpm.oldcoeff+_xlpm.gam,TRUE,_xlpm.oldcoeff))</f>
        <v>-4.2534766019210565E-2</v>
      </c>
      <c r="K27" t="str" cm="1">
        <f t="array" ref="K27">"BIOSYN-"&amp;_xlfn.IFS(IFERROR(MATCH(mets272130[[#This Row],[category]],{0,"0",""},0),0)&gt;0,mets272130[[#This Row],[name]],TRUE,mets272130[[#This Row],[category]]&amp;"-"&amp;mets272130[[#This Row],[name]])</f>
        <v>BIOSYN-LIPID-ergst_c</v>
      </c>
      <c r="L27" s="149" t="str" cm="1">
        <f t="array" ref="L2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MET-ergst_c --&gt; 0.396648 BIO-ergst_c</v>
      </c>
      <c r="M27" s="149" cm="1">
        <f t="array" ref="M2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-0.10023143705407367</v>
      </c>
      <c r="N27" s="149"/>
      <c r="O27" s="149"/>
      <c r="P27" s="176" t="s">
        <v>80</v>
      </c>
      <c r="Q27" s="176" t="s">
        <v>273</v>
      </c>
      <c r="R27" s="177">
        <v>5.8000000000000003E-2</v>
      </c>
      <c r="S27" s="149"/>
      <c r="T27" s="149"/>
      <c r="U27" s="149">
        <v>0.26949748058189982</v>
      </c>
      <c r="V27" s="149">
        <v>0.4589730610239916</v>
      </c>
      <c r="AB27" t="str">
        <v>BIOSYN-CARB-13BDglucan_c</v>
      </c>
      <c r="AC27" t="str">
        <v>MET-13BDglucan_c --&gt; 0.162141 BIO-13BDglucan_c</v>
      </c>
    </row>
    <row r="28" spans="1:29" ht="16" x14ac:dyDescent="0.2">
      <c r="A28" s="144" t="s">
        <v>1333</v>
      </c>
      <c r="B28" t="str">
        <f>SUBSTITUTE(_xlfn.TEXTBEFORE(mets272130[[#This Row],[pasted JSON metabolite keys and values from GSM biomass rxn]],":"),CHAR(34),"")</f>
        <v>ergstest_c</v>
      </c>
      <c r="C28" t="str">
        <f>_xlfn.TEXTBEFORE(mets272130[[#This Row],[name]],"_",-1)</f>
        <v>ergstest</v>
      </c>
      <c r="D28" t="str">
        <f>_xlfn.XLOOKUP(mets272130[[#This Row],[name w/o location]],metaboliteInfo[name w/o location],metaboliteInfo[suggested category],"")</f>
        <v>LIPID</v>
      </c>
      <c r="E28" s="21">
        <f>_xlfn.XLOOKUP(mets272130[[#This Row],[name w/o location]],metaboliteInfo[name w/o location],metaboliteInfo[MW for biomass normalization (g/mol)],0)</f>
        <v>660.083753333299</v>
      </c>
      <c r="F28" s="21">
        <f>_xlfn.NUMBERVALUE(SUBSTITUTE(_xlfn.TEXTAFTER(mets272130[[#This Row],[pasted JSON metabolite keys and values from GSM biomass rxn]],":"),",",""))</f>
        <v>-1.0633999999999999E-2</v>
      </c>
      <c r="G28" s="21" cm="1">
        <f t="array" ref="G28">_xlfn.LET(_xlpm.id,mets272130[[#This Row],[name w/o location]],IF(IsElementOfSet_DIY(_xlpm.id,{"atp","adp","h","pi","h2o"}),SIGN(mets272130[[#This Row],[raw (GSM) coefficient]])*(ABS(mets272130[[#This Row],[raw (GSM) coefficient]])-$J$2),mets272130[[#This Row],[raw (GSM) coefficient]]))</f>
        <v>-1.0633999999999999E-2</v>
      </c>
      <c r="H28" s="21">
        <f>mets272130[[#This Row],[coeff. w/o GAM]]</f>
        <v>-1.0633999999999999E-2</v>
      </c>
      <c r="I28" s="161">
        <f t="shared" si="0"/>
        <v>-1.0551582845738799E-2</v>
      </c>
      <c r="J28" s="21" cm="1">
        <f t="array" ref="J28">_xlfn.LET(_xlpm.id,mets272130[[#This Row],[name w/o location]],_xlpm.oldcoeff,mets272130[[#This Row],[normalized coeffs]],_xlpm.gam,$J$2-$G$2,_xlfn.IFS(IFERROR(MATCH(_xlpm.id,{"atp","h2o"},0),0)&gt;0,_xlpm.oldcoeff-_xlpm.gam,IFERROR(MATCH(_xlpm.id,{"adp","h","pi"},0),0)&gt;0,_xlpm.oldcoeff+_xlpm.gam,TRUE,_xlpm.oldcoeff))</f>
        <v>-1.0551582845738799E-2</v>
      </c>
      <c r="K28" t="str" cm="1">
        <f t="array" ref="K28">"BIOSYN-"&amp;_xlfn.IFS(IFERROR(MATCH(mets272130[[#This Row],[category]],{0,"0",""},0),0)&gt;0,mets272130[[#This Row],[name]],TRUE,mets272130[[#This Row],[category]]&amp;"-"&amp;mets272130[[#This Row],[name]])</f>
        <v>BIOSYN-LIPID-ergstest_c</v>
      </c>
      <c r="L28" s="149" t="str" cm="1">
        <f t="array" ref="L2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MET-ergstest_c --&gt; 0.660084 BIO-ergstest_c</v>
      </c>
      <c r="M28" s="149" cm="1">
        <f t="array" ref="M2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-2.4864373565517045E-2</v>
      </c>
      <c r="N28" s="149"/>
      <c r="O28" s="149"/>
      <c r="P28" s="176" t="s">
        <v>188</v>
      </c>
      <c r="Q28" s="176" t="s">
        <v>30</v>
      </c>
      <c r="R28" s="177"/>
      <c r="S28" s="149"/>
      <c r="T28" s="149"/>
      <c r="U28" s="149">
        <v>6.7376234201678889E-2</v>
      </c>
      <c r="V28" s="149">
        <v>0.11474643987410561</v>
      </c>
      <c r="AB28" t="str">
        <v>BIOSYN-CARB-16BDglucan_en</v>
      </c>
      <c r="AC28" t="str">
        <v>MET-16BDglucan_en --&gt; 0.162141 BIO-16BDglucan_en</v>
      </c>
    </row>
    <row r="29" spans="1:29" ht="16" x14ac:dyDescent="0.2">
      <c r="A29" s="144" t="s">
        <v>1334</v>
      </c>
      <c r="B29" t="str">
        <f>SUBSTITUTE(_xlfn.TEXTBEFORE(mets272130[[#This Row],[pasted JSON metabolite keys and values from GSM biomass rxn]],":"),CHAR(34),"")</f>
        <v>fe2_c</v>
      </c>
      <c r="C29" t="str">
        <f>_xlfn.TEXTBEFORE(mets272130[[#This Row],[name]],"_",-1)</f>
        <v>fe2</v>
      </c>
      <c r="D29" t="str">
        <f>_xlfn.XLOOKUP(mets272130[[#This Row],[name w/o location]],metaboliteInfo[name w/o location],metaboliteInfo[suggested category],"")</f>
        <v>METAL</v>
      </c>
      <c r="E29" s="21">
        <f>_xlfn.XLOOKUP(mets272130[[#This Row],[name w/o location]],metaboliteInfo[name w/o location],metaboliteInfo[MW for biomass normalization (g/mol)],0)</f>
        <v>55.844999999999999</v>
      </c>
      <c r="F29" s="21">
        <f>_xlfn.NUMBERVALUE(SUBSTITUTE(_xlfn.TEXTAFTER(mets272130[[#This Row],[pasted JSON metabolite keys and values from GSM biomass rxn]],":"),",",""))</f>
        <v>-6.6399999999999999E-4</v>
      </c>
      <c r="G29" s="21" cm="1">
        <f t="array" ref="G29">_xlfn.LET(_xlpm.id,mets272130[[#This Row],[name w/o location]],IF(IsElementOfSet_DIY(_xlpm.id,{"atp","adp","h","pi","h2o"}),SIGN(mets272130[[#This Row],[raw (GSM) coefficient]])*(ABS(mets272130[[#This Row],[raw (GSM) coefficient]])-$J$2),mets272130[[#This Row],[raw (GSM) coefficient]]))</f>
        <v>-6.6399999999999999E-4</v>
      </c>
      <c r="H29" s="21">
        <f>mets272130[[#This Row],[coeff. w/o GAM]]</f>
        <v>-6.6399999999999999E-4</v>
      </c>
      <c r="I29" s="161">
        <f t="shared" si="0"/>
        <v>-6.588537718234496E-4</v>
      </c>
      <c r="J29" s="21" cm="1">
        <f t="array" ref="J29">_xlfn.LET(_xlpm.id,mets272130[[#This Row],[name w/o location]],_xlpm.oldcoeff,mets272130[[#This Row],[normalized coeffs]],_xlpm.gam,$J$2-$G$2,_xlfn.IFS(IFERROR(MATCH(_xlpm.id,{"atp","h2o"},0),0)&gt;0,_xlpm.oldcoeff-_xlpm.gam,IFERROR(MATCH(_xlpm.id,{"adp","h","pi"},0),0)&gt;0,_xlpm.oldcoeff+_xlpm.gam,TRUE,_xlpm.oldcoeff))</f>
        <v>-6.588537718234496E-4</v>
      </c>
      <c r="K29" t="str" cm="1">
        <f t="array" ref="K29">"BIOSYN-"&amp;_xlfn.IFS(IFERROR(MATCH(mets272130[[#This Row],[category]],{0,"0",""},0),0)&gt;0,mets272130[[#This Row],[name]],TRUE,mets272130[[#This Row],[category]]&amp;"-"&amp;mets272130[[#This Row],[name]])</f>
        <v>BIOSYN-METAL-fe2_c</v>
      </c>
      <c r="L29" s="149" t="str" cm="1">
        <f t="array" ref="L2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MET-fe2_c --&gt; 0.055845 BIO-fe2_c</v>
      </c>
      <c r="M29" s="149" cm="1">
        <f t="array" ref="M2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-8.9328021356274701E-4</v>
      </c>
      <c r="N29" s="149"/>
      <c r="O29" s="149"/>
      <c r="P29" s="149"/>
      <c r="Q29" s="149"/>
      <c r="R29" s="149"/>
      <c r="S29" s="149"/>
      <c r="T29" s="149"/>
      <c r="U29" s="149">
        <v>1.7760498084554112E-3</v>
      </c>
      <c r="V29" s="149">
        <v>3.0247370600933266E-3</v>
      </c>
      <c r="AB29" t="str">
        <v>BIOSYN-CARB-chtn_c</v>
      </c>
      <c r="AC29" t="str">
        <v>MET-chtn_c --&gt; 0.203193 BIO-chtn_c</v>
      </c>
    </row>
    <row r="30" spans="1:29" ht="16" x14ac:dyDescent="0.2">
      <c r="A30" s="144" t="s">
        <v>1335</v>
      </c>
      <c r="B30" t="str">
        <f>SUBSTITUTE(_xlfn.TEXTBEFORE(mets272130[[#This Row],[pasted JSON metabolite keys and values from GSM biomass rxn]],":"),CHAR(34),"")</f>
        <v>glntrna_c</v>
      </c>
      <c r="C30" t="str">
        <f>_xlfn.TEXTBEFORE(mets272130[[#This Row],[name]],"_",-1)</f>
        <v>glntrna</v>
      </c>
      <c r="D30" t="str">
        <f>_xlfn.XLOOKUP(mets272130[[#This Row],[name w/o location]],metaboliteInfo[name w/o location],metaboliteInfo[suggested category],"")</f>
        <v>PROT</v>
      </c>
      <c r="E30" s="21">
        <f>_xlfn.XLOOKUP(mets272130[[#This Row],[name w/o location]],metaboliteInfo[name w/o location],metaboliteInfo[MW for biomass normalization (g/mol)],0)</f>
        <v>129.13715999999999</v>
      </c>
      <c r="F30" s="21">
        <f>_xlfn.NUMBERVALUE(SUBSTITUTE(_xlfn.TEXTAFTER(mets272130[[#This Row],[pasted JSON metabolite keys and values from GSM biomass rxn]],":"),",",""))</f>
        <v>-0.32155699999999998</v>
      </c>
      <c r="G30" s="21" cm="1">
        <f t="array" ref="G30">_xlfn.LET(_xlpm.id,mets272130[[#This Row],[name w/o location]],IF(IsElementOfSet_DIY(_xlpm.id,{"atp","adp","h","pi","h2o"}),SIGN(mets272130[[#This Row],[raw (GSM) coefficient]])*(ABS(mets272130[[#This Row],[raw (GSM) coefficient]])-$J$2),mets272130[[#This Row],[raw (GSM) coefficient]]))</f>
        <v>-0.32155699999999998</v>
      </c>
      <c r="H30" s="21">
        <f>mets272130[[#This Row],[coeff. w/o GAM]]</f>
        <v>-0.32155699999999998</v>
      </c>
      <c r="I30" s="161">
        <f t="shared" si="0"/>
        <v>-0.31906482275035086</v>
      </c>
      <c r="J30" s="21" cm="1">
        <f t="array" ref="J30">_xlfn.LET(_xlpm.id,mets272130[[#This Row],[name w/o location]],_xlpm.oldcoeff,mets272130[[#This Row],[normalized coeffs]],_xlpm.gam,$J$2-$G$2,_xlfn.IFS(IFERROR(MATCH(_xlpm.id,{"atp","h2o"},0),0)&gt;0,_xlpm.oldcoeff-_xlpm.gam,IFERROR(MATCH(_xlpm.id,{"adp","h","pi"},0),0)&gt;0,_xlpm.oldcoeff+_xlpm.gam,TRUE,_xlpm.oldcoeff))</f>
        <v>-0.31906482275035086</v>
      </c>
      <c r="K30" t="str" cm="1">
        <f t="array" ref="K30">"BIOSYN-"&amp;_xlfn.IFS(IFERROR(MATCH(mets272130[[#This Row],[category]],{0,"0",""},0),0)&gt;0,mets272130[[#This Row],[name]],TRUE,mets272130[[#This Row],[category]]&amp;"-"&amp;mets272130[[#This Row],[name]])</f>
        <v>BIOSYN-PROT-glntrna_c</v>
      </c>
      <c r="L30" s="149" t="str" cm="1">
        <f t="array" ref="L3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30" s="149" cm="1">
        <f t="array" ref="M3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-0.13703425079662507</v>
      </c>
      <c r="N30" s="149"/>
      <c r="O30" s="149"/>
      <c r="P30" s="149" t="s">
        <v>1312</v>
      </c>
      <c r="Q30" s="95" t="s">
        <v>1313</v>
      </c>
      <c r="R30" s="149"/>
      <c r="S30" s="149"/>
      <c r="T30" s="95" t="s">
        <v>1366</v>
      </c>
      <c r="U30" s="149"/>
      <c r="V30" s="149"/>
      <c r="AB30" t="str">
        <v>BIOSYN-CARB-glycogen_c</v>
      </c>
      <c r="AC30" t="str">
        <v>MET-glycogen_c --&gt; 0.162141 BIO-glycogen_c</v>
      </c>
    </row>
    <row r="31" spans="1:29" ht="16" x14ac:dyDescent="0.2">
      <c r="A31" s="144" t="s">
        <v>1336</v>
      </c>
      <c r="B31" t="str">
        <f>SUBSTITUTE(_xlfn.TEXTBEFORE(mets272130[[#This Row],[pasted JSON metabolite keys and values from GSM biomass rxn]],":"),CHAR(34),"")</f>
        <v>glutrna_c</v>
      </c>
      <c r="C31" t="str">
        <f>_xlfn.TEXTBEFORE(mets272130[[#This Row],[name]],"_",-1)</f>
        <v>glutrna</v>
      </c>
      <c r="D31" t="str">
        <f>_xlfn.XLOOKUP(mets272130[[#This Row],[name w/o location]],metaboliteInfo[name w/o location],metaboliteInfo[suggested category],"")</f>
        <v>PROT</v>
      </c>
      <c r="E31" s="21">
        <f>_xlfn.XLOOKUP(mets272130[[#This Row],[name w/o location]],metaboliteInfo[name w/o location],metaboliteInfo[MW for biomass normalization (g/mol)],0)</f>
        <v>129.11398</v>
      </c>
      <c r="F31" s="21">
        <f>_xlfn.NUMBERVALUE(SUBSTITUTE(_xlfn.TEXTAFTER(mets272130[[#This Row],[pasted JSON metabolite keys and values from GSM biomass rxn]],":"),",",""))</f>
        <v>-0.32155699999999998</v>
      </c>
      <c r="G31" s="21" cm="1">
        <f t="array" ref="G31">_xlfn.LET(_xlpm.id,mets272130[[#This Row],[name w/o location]],IF(IsElementOfSet_DIY(_xlpm.id,{"atp","adp","h","pi","h2o"}),SIGN(mets272130[[#This Row],[raw (GSM) coefficient]])*(ABS(mets272130[[#This Row],[raw (GSM) coefficient]])-$J$2),mets272130[[#This Row],[raw (GSM) coefficient]]))</f>
        <v>-0.32155699999999998</v>
      </c>
      <c r="H31" s="21">
        <f>mets272130[[#This Row],[coeff. w/o GAM]]</f>
        <v>-0.32155699999999998</v>
      </c>
      <c r="I31" s="161">
        <f t="shared" si="0"/>
        <v>-0.31906482275035086</v>
      </c>
      <c r="J31" s="21" cm="1">
        <f t="array" ref="J31">_xlfn.LET(_xlpm.id,mets272130[[#This Row],[name w/o location]],_xlpm.oldcoeff,mets272130[[#This Row],[normalized coeffs]],_xlpm.gam,$J$2-$G$2,_xlfn.IFS(IFERROR(MATCH(_xlpm.id,{"atp","h2o"},0),0)&gt;0,_xlpm.oldcoeff-_xlpm.gam,IFERROR(MATCH(_xlpm.id,{"adp","h","pi"},0),0)&gt;0,_xlpm.oldcoeff+_xlpm.gam,TRUE,_xlpm.oldcoeff))</f>
        <v>-0.31906482275035086</v>
      </c>
      <c r="K31" t="str" cm="1">
        <f t="array" ref="K31">"BIOSYN-"&amp;_xlfn.IFS(IFERROR(MATCH(mets272130[[#This Row],[category]],{0,"0",""},0),0)&gt;0,mets272130[[#This Row],[name]],TRUE,mets272130[[#This Row],[category]]&amp;"-"&amp;mets272130[[#This Row],[name]])</f>
        <v>BIOSYN-PROT-glutrna_c</v>
      </c>
      <c r="L31" s="149" t="str" cm="1">
        <f t="array" ref="L3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31" s="149" cm="1">
        <f t="array" ref="M3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-0.13703425079662507</v>
      </c>
      <c r="N31" s="149"/>
      <c r="O31" s="149"/>
      <c r="P31" s="95" t="s">
        <v>1311</v>
      </c>
      <c r="Q31" s="149"/>
      <c r="R31" s="149"/>
      <c r="S31" s="149"/>
      <c r="T31" t="s">
        <v>1365</v>
      </c>
      <c r="U31" s="149"/>
      <c r="V31" s="149"/>
      <c r="AB31" t="str">
        <v>BIOSYN-CARB-mannan_c</v>
      </c>
      <c r="AC31" t="str">
        <v>MET-mannan_c --&gt; 0.162141 BIO-mannan_c</v>
      </c>
    </row>
    <row r="32" spans="1:29" ht="16" x14ac:dyDescent="0.2">
      <c r="A32" s="144" t="s">
        <v>1363</v>
      </c>
      <c r="B32" t="str">
        <f>SUBSTITUTE(_xlfn.TEXTBEFORE(mets272130[[#This Row],[pasted JSON metabolite keys and values from GSM biomass rxn]],":"),CHAR(34),"")</f>
        <v>glytrna_c</v>
      </c>
      <c r="C32" t="str">
        <f>_xlfn.TEXTBEFORE(mets272130[[#This Row],[name]],"_",-1)</f>
        <v>glytrna</v>
      </c>
      <c r="D32" t="str">
        <f>_xlfn.XLOOKUP(mets272130[[#This Row],[name w/o location]],metaboliteInfo[name w/o location],metaboliteInfo[suggested category],"")</f>
        <v>PROT</v>
      </c>
      <c r="E32" s="21">
        <f>_xlfn.XLOOKUP(mets272130[[#This Row],[name w/o location]],metaboliteInfo[name w/o location],metaboliteInfo[MW for biomass normalization (g/mol)],0)</f>
        <v>58.059260000000002</v>
      </c>
      <c r="F32" s="21">
        <f>_xlfn.NUMBERVALUE(SUBSTITUTE(_xlfn.TEXTAFTER(mets272130[[#This Row],[pasted JSON metabolite keys and values from GSM biomass rxn]],":"),",",""))</f>
        <v>-0.369334</v>
      </c>
      <c r="G32" s="21" cm="1">
        <f t="array" ref="G32">_xlfn.LET(_xlpm.id,mets272130[[#This Row],[name w/o location]],IF(IsElementOfSet_DIY(_xlpm.id,{"atp","adp","h","pi","h2o"}),SIGN(mets272130[[#This Row],[raw (GSM) coefficient]])*(ABS(mets272130[[#This Row],[raw (GSM) coefficient]])-$J$2),mets272130[[#This Row],[raw (GSM) coefficient]]))</f>
        <v>-0.369334</v>
      </c>
      <c r="H32" s="21">
        <f>mets272130[[#This Row],[coeff. w/o GAM]]</f>
        <v>-0.369334</v>
      </c>
      <c r="I32" s="161">
        <f t="shared" si="0"/>
        <v>-0.36647153458229204</v>
      </c>
      <c r="J32" s="21" cm="1">
        <f t="array" ref="J32">_xlfn.LET(_xlpm.id,mets272130[[#This Row],[name w/o location]],_xlpm.oldcoeff,mets272130[[#This Row],[normalized coeffs]],_xlpm.gam,$J$2-$G$2,_xlfn.IFS(IFERROR(MATCH(_xlpm.id,{"atp","h2o"},0),0)&gt;0,_xlpm.oldcoeff-_xlpm.gam,IFERROR(MATCH(_xlpm.id,{"adp","h","pi"},0),0)&gt;0,_xlpm.oldcoeff+_xlpm.gam,TRUE,_xlpm.oldcoeff))</f>
        <v>-0.36647153458229204</v>
      </c>
      <c r="K32" t="str" cm="1">
        <f t="array" ref="K32">"BIOSYN-"&amp;_xlfn.IFS(IFERROR(MATCH(mets272130[[#This Row],[category]],{0,"0",""},0),0)&gt;0,mets272130[[#This Row],[name]],TRUE,mets272130[[#This Row],[category]]&amp;"-"&amp;mets272130[[#This Row],[name]])</f>
        <v>BIOSYN-PROT-glytrna_c</v>
      </c>
      <c r="L32" s="149" t="str" cm="1">
        <f t="array" ref="L3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32" s="149" cm="1">
        <f t="array" ref="M3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-0.15739482575008698</v>
      </c>
      <c r="N32" s="149"/>
      <c r="O32" s="149"/>
      <c r="P32" t="s">
        <v>1362</v>
      </c>
      <c r="R32" t="s">
        <v>1361</v>
      </c>
      <c r="S32" s="149"/>
      <c r="U32" s="149"/>
      <c r="V32" s="149"/>
      <c r="AB32" t="str">
        <v>BIOSYN-CARB-tre_c</v>
      </c>
      <c r="AC32" t="str">
        <v>MET-tre_c --&gt; 0.342296 BIO-tre_c</v>
      </c>
    </row>
    <row r="33" spans="1:29" ht="16" x14ac:dyDescent="0.2">
      <c r="A33" s="144" t="s">
        <v>1337</v>
      </c>
      <c r="B33" t="str">
        <f>SUBSTITUTE(_xlfn.TEXTBEFORE(mets272130[[#This Row],[pasted JSON metabolite keys and values from GSM biomass rxn]],":"),CHAR(34),"")</f>
        <v>glycogen_c</v>
      </c>
      <c r="C33" t="str">
        <f>_xlfn.TEXTBEFORE(mets272130[[#This Row],[name]],"_",-1)</f>
        <v>glycogen</v>
      </c>
      <c r="D33" t="str">
        <f>_xlfn.XLOOKUP(mets272130[[#This Row],[name w/o location]],metaboliteInfo[name w/o location],metaboliteInfo[suggested category],"")</f>
        <v>CARB</v>
      </c>
      <c r="E33" s="21">
        <f>_xlfn.XLOOKUP(mets272130[[#This Row],[name w/o location]],metaboliteInfo[name w/o location],metaboliteInfo[MW for biomass normalization (g/mol)],0)</f>
        <v>162.14060000000001</v>
      </c>
      <c r="F33" s="21">
        <f>_xlfn.NUMBERVALUE(SUBSTITUTE(_xlfn.TEXTAFTER(mets272130[[#This Row],[pasted JSON metabolite keys and values from GSM biomass rxn]],":"),",",""))</f>
        <v>-0.23481099999999999</v>
      </c>
      <c r="G33" s="21" cm="1">
        <f t="array" ref="G33">_xlfn.LET(_xlpm.id,mets272130[[#This Row],[name w/o location]],IF(IsElementOfSet_DIY(_xlpm.id,{"atp","adp","h","pi","h2o"}),SIGN(mets272130[[#This Row],[raw (GSM) coefficient]])*(ABS(mets272130[[#This Row],[raw (GSM) coefficient]])-$J$2),mets272130[[#This Row],[raw (GSM) coefficient]]))</f>
        <v>-0.23481099999999999</v>
      </c>
      <c r="H33" s="21">
        <f>mets272130[[#This Row],[coeff. w/o GAM]]</f>
        <v>-0.23481099999999999</v>
      </c>
      <c r="I33" s="161">
        <f t="shared" si="0"/>
        <v>-0.23299113405969279</v>
      </c>
      <c r="J33" s="21" cm="1">
        <f t="array" ref="J33">_xlfn.LET(_xlpm.id,mets272130[[#This Row],[name w/o location]],_xlpm.oldcoeff,mets272130[[#This Row],[normalized coeffs]],_xlpm.gam,$J$2-$G$2,_xlfn.IFS(IFERROR(MATCH(_xlpm.id,{"atp","h2o"},0),0)&gt;0,_xlpm.oldcoeff-_xlpm.gam,IFERROR(MATCH(_xlpm.id,{"adp","h","pi"},0),0)&gt;0,_xlpm.oldcoeff+_xlpm.gam,TRUE,_xlpm.oldcoeff))</f>
        <v>-0.23299113405969279</v>
      </c>
      <c r="K33" t="str" cm="1">
        <f t="array" ref="K33">"BIOSYN-"&amp;_xlfn.IFS(IFERROR(MATCH(mets272130[[#This Row],[category]],{0,"0",""},0),0)&gt;0,mets272130[[#This Row],[name]],TRUE,mets272130[[#This Row],[category]]&amp;"-"&amp;mets272130[[#This Row],[name]])</f>
        <v>BIOSYN-CARB-glycogen_c</v>
      </c>
      <c r="L33" s="149" t="str" cm="1">
        <f t="array" ref="L3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MET-glycogen_c --&gt; 0.162141 BIO-glycogen_c</v>
      </c>
      <c r="M33" s="149" cm="1">
        <f t="array" ref="M3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-0.31589159672723222</v>
      </c>
      <c r="N33" s="149"/>
      <c r="O33" s="149"/>
      <c r="P33" s="149" t="str" cm="1">
        <f t="array" ref="P33:P88">_xlfn.LET(_xlpm.rxn,_xlfn.TEXTSPLIT(SUBSTITUTE(SUBSTITUTE(P31," --&gt; ","+")," + ","+")," ","+"),_xlpm.rxnWithTRNA,_xlfn.VSTACK(_xlpm.rxn,_xlfn._xlws.FILTER(_xlpm.rxn,ISNUMBER(FIND("__L_c",_xlfn.CHOOSECOLS(_xlpm.rxn,2))))),CHAR(34)&amp;_xlfn.CHOOSECOLS(_xlpm.rxn,2)&amp;CHAR(34)&amp;":"&amp;_xlfn.CHOOSECOLS(_xlpm.rxn,1))</f>
        <v>"13BDglucan_c":0.684548</v>
      </c>
      <c r="R33" s="149" t="str" cm="1">
        <f t="array" ref="R33:R107">_xlfn.UNIQUE(_xlfn.VSTACK(SUBSTITUTE(SUBSTITUTE(_xlfn.ANCHORARRAY(P33),"__L_c","trna_c"),":",":-"),SUBSTITUTE(SUBSTITUTE("trna"&amp;_xlfn._xlws.FILTER(_xlfn.ANCHORARRAY(P33),ISNUMBER(FIND("__L_c",_xlfn.ANCHORARRAY(P33))),""),"trna"&amp;CHAR(34),CHAR(34)&amp;"trna"),"__L","")))</f>
        <v>"13BDglucan_c":-0.684548</v>
      </c>
      <c r="S33" s="149"/>
      <c r="T33" s="149" t="str" cm="1">
        <f t="array" ref="T33:U43">_xlfn.LET(_xlpm.rxn,_xlfn.TEXTSPLIT(SUBSTITUTE(SUBSTITUTE(T31," --&gt; ","+")," + ","+")," ","+"),_xlpm.rxnWithTRNA,_xlfn.VSTACK(_xlpm.rxn,_xlfn._xlws.FILTER(_xlpm.rxn,ISNUMBER(FIND("__L_c",_xlfn.CHOOSECOLS(_xlpm.rxn,2))))),_xlpm.new,CHAR(34)&amp;_xlfn.CHOOSECOLS(_xlpm.rxn,2)&amp;CHAR(34)&amp;":"&amp;_xlfn.CHOOSECOLS(_xlpm.rxn,1),_xlpm.rxn)</f>
        <v>0.01875</v>
      </c>
      <c r="U33" s="149" t="str">
        <v>docoscoa_c</v>
      </c>
      <c r="V33" s="149"/>
      <c r="AB33" t="str">
        <v>BIOSYN-COFACTOR-coa_c</v>
      </c>
      <c r="AC33" t="str">
        <v>MET-coa_c --&gt; 0.763502 BIO-coa_c</v>
      </c>
    </row>
    <row r="34" spans="1:29" ht="16" x14ac:dyDescent="0.2">
      <c r="A34" s="144" t="s">
        <v>1338</v>
      </c>
      <c r="B34" t="str">
        <f>SUBSTITUTE(_xlfn.TEXTBEFORE(mets272130[[#This Row],[pasted JSON metabolite keys and values from GSM biomass rxn]],":"),CHAR(34),"")</f>
        <v>gtp_c</v>
      </c>
      <c r="C34" t="str">
        <f>_xlfn.TEXTBEFORE(mets272130[[#This Row],[name]],"_",-1)</f>
        <v>gtp</v>
      </c>
      <c r="D34" t="str">
        <f>_xlfn.XLOOKUP(mets272130[[#This Row],[name w/o location]],metaboliteInfo[name w/o location],metaboliteInfo[suggested category],"")</f>
        <v>RNA</v>
      </c>
      <c r="E34" s="21">
        <f>_xlfn.XLOOKUP(mets272130[[#This Row],[name w/o location]],metaboliteInfo[name w/o location],metaboliteInfo[MW for biomass normalization (g/mol)],0)</f>
        <v>344.19740100000001</v>
      </c>
      <c r="F34" s="21">
        <f>_xlfn.NUMBERVALUE(SUBSTITUTE(_xlfn.TEXTAFTER(mets272130[[#This Row],[pasted JSON metabolite keys and values from GSM biomass rxn]],":"),",",""))</f>
        <v>-0.104534</v>
      </c>
      <c r="G34" s="21" cm="1">
        <f t="array" ref="G34">_xlfn.LET(_xlpm.id,mets272130[[#This Row],[name w/o location]],IF(IsElementOfSet_DIY(_xlpm.id,{"atp","adp","h","pi","h2o"}),SIGN(mets272130[[#This Row],[raw (GSM) coefficient]])*(ABS(mets272130[[#This Row],[raw (GSM) coefficient]])-$J$2),mets272130[[#This Row],[raw (GSM) coefficient]]))</f>
        <v>-0.104534</v>
      </c>
      <c r="H34" s="21">
        <f>mets272130[[#This Row],[coeff. w/o GAM]]</f>
        <v>-0.104534</v>
      </c>
      <c r="I34" s="161">
        <f t="shared" si="0"/>
        <v>-0.10372382557800072</v>
      </c>
      <c r="J34" s="21" cm="1">
        <f t="array" ref="J34">_xlfn.LET(_xlpm.id,mets272130[[#This Row],[name w/o location]],_xlpm.oldcoeff,mets272130[[#This Row],[normalized coeffs]],_xlpm.gam,$J$2-$G$2,_xlfn.IFS(IFERROR(MATCH(_xlpm.id,{"atp","h2o"},0),0)&gt;0,_xlpm.oldcoeff-_xlpm.gam,IFERROR(MATCH(_xlpm.id,{"adp","h","pi"},0),0)&gt;0,_xlpm.oldcoeff+_xlpm.gam,TRUE,_xlpm.oldcoeff))</f>
        <v>-0.10372382557800072</v>
      </c>
      <c r="K34" t="str" cm="1">
        <f t="array" ref="K34">"BIOSYN-"&amp;_xlfn.IFS(IFERROR(MATCH(mets272130[[#This Row],[category]],{0,"0",""},0),0)&gt;0,mets272130[[#This Row],[name]],TRUE,mets272130[[#This Row],[category]]&amp;"-"&amp;mets272130[[#This Row],[name]])</f>
        <v>BIOSYN-RNA-gtp_c</v>
      </c>
      <c r="L34" s="149" t="str" cm="1">
        <f t="array" ref="L3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MET-gtp_c --&gt; MET-ppi_c + 0.344197 BIO-gtp_c</v>
      </c>
      <c r="M34" s="149" cm="1">
        <f t="array" ref="M3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-0.14062974976591594</v>
      </c>
      <c r="N34" s="149"/>
      <c r="O34" s="149"/>
      <c r="P34" s="149" t="str">
        <v>"16BDglucan_c":0.180144</v>
      </c>
      <c r="R34" s="149" t="str">
        <v>"16BDglucan_c":-0.180144</v>
      </c>
      <c r="S34" s="149"/>
      <c r="T34" s="149" t="str">
        <v>1</v>
      </c>
      <c r="U34" s="149" t="str">
        <v>h2o_c</v>
      </c>
      <c r="V34" s="149"/>
      <c r="AB34" t="str">
        <v>BIOSYN-COFACTOR-nadp_c</v>
      </c>
      <c r="AC34" t="str">
        <v>MET-nadp_c --&gt; 0.740381 BIO-nadp_c</v>
      </c>
    </row>
    <row r="35" spans="1:29" ht="16" x14ac:dyDescent="0.2">
      <c r="A35" s="144" t="s">
        <v>1371</v>
      </c>
      <c r="B35" t="str">
        <f>SUBSTITUTE(_xlfn.TEXTBEFORE(mets272130[[#This Row],[pasted JSON metabolite keys and values from GSM biomass rxn]],":"),CHAR(34),"")</f>
        <v>h_c</v>
      </c>
      <c r="C35" t="str">
        <f>_xlfn.TEXTBEFORE(mets272130[[#This Row],[name]],"_",-1)</f>
        <v>h</v>
      </c>
      <c r="D35" t="str">
        <f>_xlfn.XLOOKUP(mets272130[[#This Row],[name w/o location]],metaboliteInfo[name w/o location],metaboliteInfo[suggested category],"")</f>
        <v>GAM</v>
      </c>
      <c r="E35" s="21">
        <f>_xlfn.XLOOKUP(mets272130[[#This Row],[name w/o location]],metaboliteInfo[name w/o location],metaboliteInfo[MW for biomass normalization (g/mol)],0)</f>
        <v>1.0079400000000001</v>
      </c>
      <c r="F35" s="21">
        <f>_xlfn.NUMBERVALUE(SUBSTITUTE(_xlfn.TEXTAFTER(mets272130[[#This Row],[pasted JSON metabolite keys and values from GSM biomass rxn]],":"),",",""))</f>
        <v>190.58073300000001</v>
      </c>
      <c r="G35" s="21" cm="1">
        <f t="array" ref="G35">_xlfn.LET(_xlpm.id,mets272130[[#This Row],[name w/o location]],IF(IsElementOfSet_DIY(_xlpm.id,{"atp","adp","h","pi","h2o"}),SIGN(mets272130[[#This Row],[raw (GSM) coefficient]])*(ABS(mets272130[[#This Row],[raw (GSM) coefficient]])-$J$2),mets272130[[#This Row],[raw (GSM) coefficient]]))</f>
        <v>1.743000000004713E-3</v>
      </c>
      <c r="H35" s="21">
        <f>mets272130[[#This Row],[coeff. w/o GAM]]</f>
        <v>1.743000000004713E-3</v>
      </c>
      <c r="I35" s="161">
        <f t="shared" si="0"/>
        <v>1.7294911510412317E-3</v>
      </c>
      <c r="J35" s="21" cm="1">
        <f t="array" ref="J35">_xlfn.LET(_xlpm.id,mets272130[[#This Row],[name w/o location]],_xlpm.oldcoeff,mets272130[[#This Row],[normalized coeffs]],_xlpm.gam,$J$2-$G$2,_xlfn.IFS(IFERROR(MATCH(_xlpm.id,{"atp","h2o"},0),0)&gt;0,_xlpm.oldcoeff-_xlpm.gam,IFERROR(MATCH(_xlpm.id,{"adp","h","pi"},0),0)&gt;0,_xlpm.oldcoeff+_xlpm.gam,TRUE,_xlpm.oldcoeff))</f>
        <v>187.3085806648352</v>
      </c>
      <c r="K35" t="str" cm="1">
        <f t="array" ref="K35">"BIOSYN-"&amp;_xlfn.IFS(IFERROR(MATCH(mets272130[[#This Row],[category]],{0,"0",""},0),0)&gt;0,mets272130[[#This Row],[name]],TRUE,mets272130[[#This Row],[category]]&amp;"-"&amp;mets272130[[#This Row],[name]])</f>
        <v>BIOSYN-GAM-h_c</v>
      </c>
      <c r="L35" s="149" t="str" cm="1">
        <f t="array" ref="L3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MET-h_c --&gt; 0.001008 BIO-h_c</v>
      </c>
      <c r="M35" s="149" cm="1">
        <f t="array" ref="M3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190.58071949115106</v>
      </c>
      <c r="N35" s="149"/>
      <c r="O35" s="149"/>
      <c r="P35" s="149" t="str">
        <v>"ala__L_c":0.405893</v>
      </c>
      <c r="R35" s="149" t="str">
        <v>"alatrna_c":-0.405893</v>
      </c>
      <c r="S35" s="149"/>
      <c r="T35" s="149" t="str">
        <v>0.355664</v>
      </c>
      <c r="U35" s="149" t="str">
        <v>linocoa_c</v>
      </c>
      <c r="V35" s="149"/>
      <c r="AB35" t="str">
        <v>BIOSYN-COFACTOR-nadph_c</v>
      </c>
      <c r="AC35" t="str">
        <v>MET-nadph_c --&gt; 0.741389 BIO-nadph_c</v>
      </c>
    </row>
    <row r="36" spans="1:29" ht="16" x14ac:dyDescent="0.2">
      <c r="A36" s="144" t="s">
        <v>1372</v>
      </c>
      <c r="B36" t="str">
        <f>SUBSTITUTE(_xlfn.TEXTBEFORE(mets272130[[#This Row],[pasted JSON metabolite keys and values from GSM biomass rxn]],":"),CHAR(34),"")</f>
        <v>h2o_c</v>
      </c>
      <c r="C36" t="str">
        <f>_xlfn.TEXTBEFORE(mets272130[[#This Row],[name]],"_",-1)</f>
        <v>h2o</v>
      </c>
      <c r="D36" t="str">
        <f>_xlfn.XLOOKUP(mets272130[[#This Row],[name w/o location]],metaboliteInfo[name w/o location],metaboliteInfo[suggested category],"")</f>
        <v>GAM</v>
      </c>
      <c r="E36" s="21">
        <f>_xlfn.XLOOKUP(mets272130[[#This Row],[name w/o location]],metaboliteInfo[name w/o location],metaboliteInfo[MW for biomass normalization (g/mol)],0)</f>
        <v>18.015280000000001</v>
      </c>
      <c r="F36" s="21">
        <f>_xlfn.NUMBERVALUE(SUBSTITUTE(_xlfn.TEXTAFTER(mets272130[[#This Row],[pasted JSON metabolite keys and values from GSM biomass rxn]],":"),",",""))</f>
        <v>-186.43338999999901</v>
      </c>
      <c r="G36" s="21" cm="1">
        <f t="array" ref="G36">_xlfn.LET(_xlpm.id,mets272130[[#This Row],[name w/o location]],IF(IsElementOfSet_DIY(_xlpm.id,{"atp","adp","h","pi","h2o"}),SIGN(mets272130[[#This Row],[raw (GSM) coefficient]])*(ABS(mets272130[[#This Row],[raw (GSM) coefficient]])-$J$2),mets272130[[#This Row],[raw (GSM) coefficient]]))</f>
        <v>4.1456000000009965</v>
      </c>
      <c r="H36" s="21">
        <f>mets272130[[#This Row],[coeff. w/o GAM]]</f>
        <v>4.1456000000009965</v>
      </c>
      <c r="I36" s="161">
        <f t="shared" si="0"/>
        <v>4.1134701754095619</v>
      </c>
      <c r="J36" s="21" cm="1">
        <f t="array" ref="J36">_xlfn.LET(_xlpm.id,mets272130[[#This Row],[name w/o location]],_xlpm.oldcoeff,mets272130[[#This Row],[normalized coeffs]],_xlpm.gam,$J$2-$G$2,_xlfn.IFS(IFERROR(MATCH(_xlpm.id,{"atp","h2o"},0),0)&gt;0,_xlpm.oldcoeff-_xlpm.gam,IFERROR(MATCH(_xlpm.id,{"adp","h","pi"},0),0)&gt;0,_xlpm.oldcoeff+_xlpm.gam,TRUE,_xlpm.oldcoeff))</f>
        <v>-183.19338099827459</v>
      </c>
      <c r="K36" t="str" cm="1">
        <f t="array" ref="K36">"BIOSYN-"&amp;_xlfn.IFS(IFERROR(MATCH(mets272130[[#This Row],[category]],{0,"0",""},0),0)&gt;0,mets272130[[#This Row],[name]],TRUE,mets272130[[#This Row],[category]]&amp;"-"&amp;mets272130[[#This Row],[name]])</f>
        <v>BIOSYN-GAM-h2o_c</v>
      </c>
      <c r="L36" s="149" t="str" cm="1">
        <f t="array" ref="L3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MET-h2o_c --&gt; 0.018015 BIO-h2o_c</v>
      </c>
      <c r="M36" s="149" cm="1">
        <f t="array" ref="M3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-186.46551982459044</v>
      </c>
      <c r="N36" s="149"/>
      <c r="O36" s="149"/>
      <c r="P36" s="149" t="str">
        <v>"arg__L_c":0.160363</v>
      </c>
      <c r="R36" s="149" t="str">
        <v>"argtrna_c":-0.160363</v>
      </c>
      <c r="S36" s="149"/>
      <c r="T36" s="149" t="str">
        <v>0.087612</v>
      </c>
      <c r="U36" s="149" t="str">
        <v>linolncoa_c</v>
      </c>
      <c r="V36" s="149"/>
      <c r="AB36" t="str">
        <v>BIOSYN-DNA-datp_c</v>
      </c>
      <c r="AC36" t="str">
        <v>MET-datp_c --&gt; MET-ppi_c + 0.312199 BIO-datp_c</v>
      </c>
    </row>
    <row r="37" spans="1:29" ht="16" x14ac:dyDescent="0.2">
      <c r="A37" s="144" t="s">
        <v>1339</v>
      </c>
      <c r="B37" t="str">
        <f>SUBSTITUTE(_xlfn.TEXTBEFORE(mets272130[[#This Row],[pasted JSON metabolite keys and values from GSM biomass rxn]],":"),CHAR(34),"")</f>
        <v>histrna_c</v>
      </c>
      <c r="C37" t="str">
        <f>_xlfn.TEXTBEFORE(mets272130[[#This Row],[name]],"_",-1)</f>
        <v>histrna</v>
      </c>
      <c r="D37" t="str">
        <f>_xlfn.XLOOKUP(mets272130[[#This Row],[name w/o location]],metaboliteInfo[name w/o location],metaboliteInfo[suggested category],"")</f>
        <v>PROT</v>
      </c>
      <c r="E37" s="21">
        <f>_xlfn.XLOOKUP(mets272130[[#This Row],[name w/o location]],metaboliteInfo[name w/o location],metaboliteInfo[MW for biomass normalization (g/mol)],0)</f>
        <v>138.14722</v>
      </c>
      <c r="F37" s="21">
        <f>_xlfn.NUMBERVALUE(SUBSTITUTE(_xlfn.TEXTAFTER(mets272130[[#This Row],[pasted JSON metabolite keys and values from GSM biomass rxn]],":"),",",""))</f>
        <v>-8.0182000000000003E-2</v>
      </c>
      <c r="G37" s="21" cm="1">
        <f t="array" ref="G37">_xlfn.LET(_xlpm.id,mets272130[[#This Row],[name w/o location]],IF(IsElementOfSet_DIY(_xlpm.id,{"atp","adp","h","pi","h2o"}),SIGN(mets272130[[#This Row],[raw (GSM) coefficient]])*(ABS(mets272130[[#This Row],[raw (GSM) coefficient]])-$J$2),mets272130[[#This Row],[raw (GSM) coefficient]]))</f>
        <v>-8.0182000000000003E-2</v>
      </c>
      <c r="H37" s="21">
        <f>mets272130[[#This Row],[coeff. w/o GAM]]</f>
        <v>-8.0182000000000003E-2</v>
      </c>
      <c r="I37" s="161">
        <f t="shared" si="0"/>
        <v>-7.9560561946306979E-2</v>
      </c>
      <c r="J37" s="21" cm="1">
        <f t="array" ref="J37">_xlfn.LET(_xlpm.id,mets272130[[#This Row],[name w/o location]],_xlpm.oldcoeff,mets272130[[#This Row],[normalized coeffs]],_xlpm.gam,$J$2-$G$2,_xlfn.IFS(IFERROR(MATCH(_xlpm.id,{"atp","h2o"},0),0)&gt;0,_xlpm.oldcoeff-_xlpm.gam,IFERROR(MATCH(_xlpm.id,{"adp","h","pi"},0),0)&gt;0,_xlpm.oldcoeff+_xlpm.gam,TRUE,_xlpm.oldcoeff))</f>
        <v>-7.9560561946306979E-2</v>
      </c>
      <c r="K37" t="str" cm="1">
        <f t="array" ref="K37">"BIOSYN-"&amp;_xlfn.IFS(IFERROR(MATCH(mets272130[[#This Row],[category]],{0,"0",""},0),0)&gt;0,mets272130[[#This Row],[name]],TRUE,mets272130[[#This Row],[category]]&amp;"-"&amp;mets272130[[#This Row],[name]])</f>
        <v>BIOSYN-PROT-histrna_c</v>
      </c>
      <c r="L37" s="149" t="str" cm="1">
        <f t="array" ref="L3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37" s="149" cm="1">
        <f t="array" ref="M3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-3.4170241348734413E-2</v>
      </c>
      <c r="N37" s="149"/>
      <c r="O37" s="149"/>
      <c r="P37" s="149" t="str">
        <v>"asn__L_c":0.192768</v>
      </c>
      <c r="R37" s="149" t="str">
        <v>"asntrna_c":-0.192768</v>
      </c>
      <c r="S37" s="149"/>
      <c r="T37" s="149" t="str">
        <v>0.207129</v>
      </c>
      <c r="U37" s="149" t="str">
        <v>odecoa_c</v>
      </c>
      <c r="V37" s="149"/>
      <c r="AB37" t="str">
        <v>BIOSYN-DNA-dctp_c</v>
      </c>
      <c r="AC37" t="str">
        <v>MET-dctp_c --&gt; MET-ppi_c + 0.288174 BIO-dctp_c</v>
      </c>
    </row>
    <row r="38" spans="1:29" ht="16" x14ac:dyDescent="0.2">
      <c r="A38" s="144" t="s">
        <v>1373</v>
      </c>
      <c r="B38" t="str">
        <f>SUBSTITUTE(_xlfn.TEXTBEFORE(mets272130[[#This Row],[pasted JSON metabolite keys and values from GSM biomass rxn]],":"),CHAR(34),"")</f>
        <v>hxccoa_c</v>
      </c>
      <c r="C38" t="str">
        <f>_xlfn.TEXTBEFORE(mets272130[[#This Row],[name]],"_",-1)</f>
        <v>hxccoa</v>
      </c>
      <c r="D38" t="str">
        <f>_xlfn.XLOOKUP(mets272130[[#This Row],[name w/o location]],metaboliteInfo[name w/o location],metaboliteInfo[suggested category],"")</f>
        <v>LIPID</v>
      </c>
      <c r="E38" s="21">
        <f>_xlfn.XLOOKUP(mets272130[[#This Row],[name w/o location]],metaboliteInfo[name w/o location],metaboliteInfo[MW for biomass normalization (g/mol)],0)</f>
        <v>1142.1769629999999</v>
      </c>
      <c r="F38" s="21">
        <f>_xlfn.NUMBERVALUE(SUBSTITUTE(_xlfn.TEXTAFTER(mets272130[[#This Row],[pasted JSON metabolite keys and values from GSM biomass rxn]],":"),",",""))</f>
        <v>-1E-3</v>
      </c>
      <c r="G38" s="21" cm="1">
        <f t="array" ref="G38">_xlfn.LET(_xlpm.id,mets272130[[#This Row],[name w/o location]],IF(IsElementOfSet_DIY(_xlpm.id,{"atp","adp","h","pi","h2o"}),SIGN(mets272130[[#This Row],[raw (GSM) coefficient]])*(ABS(mets272130[[#This Row],[raw (GSM) coefficient]])-$J$2),mets272130[[#This Row],[raw (GSM) coefficient]]))</f>
        <v>-1E-3</v>
      </c>
      <c r="H38" s="21">
        <f>mets272130[[#This Row],[coeff. w/o GAM]]</f>
        <v>-1E-3</v>
      </c>
      <c r="I38" s="161">
        <f t="shared" si="0"/>
        <v>-9.9224965636061685E-4</v>
      </c>
      <c r="J38" s="21" cm="1">
        <f t="array" ref="J38">_xlfn.LET(_xlpm.id,mets272130[[#This Row],[name w/o location]],_xlpm.oldcoeff,mets272130[[#This Row],[normalized coeffs]],_xlpm.gam,$J$2-$G$2,_xlfn.IFS(IFERROR(MATCH(_xlpm.id,{"atp","h2o"},0),0)&gt;0,_xlpm.oldcoeff-_xlpm.gam,IFERROR(MATCH(_xlpm.id,{"adp","h","pi"},0),0)&gt;0,_xlpm.oldcoeff+_xlpm.gam,TRUE,_xlpm.oldcoeff))</f>
        <v>-9.9224965636061685E-4</v>
      </c>
      <c r="K38" t="str" cm="1">
        <f t="array" ref="K38">"BIOSYN-"&amp;_xlfn.IFS(IFERROR(MATCH(mets272130[[#This Row],[category]],{0,"0",""},0),0)&gt;0,mets272130[[#This Row],[name]],TRUE,mets272130[[#This Row],[category]]&amp;"-"&amp;mets272130[[#This Row],[name]])</f>
        <v>BIOSYN-LIPID-hxccoa_c</v>
      </c>
      <c r="L38" s="149" t="str" cm="1">
        <f t="array" ref="L3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MET-hxccoa_c --&gt; 1.142177 BIO-hxccoa_c</v>
      </c>
      <c r="M38" s="149" cm="1">
        <f t="array" ref="M3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-2.3381957462400836E-3</v>
      </c>
      <c r="N38" s="149"/>
      <c r="O38" s="149"/>
      <c r="P38" s="149" t="str">
        <v>"asp__L_c":0.192768</v>
      </c>
      <c r="R38" s="149" t="str">
        <v>"asptrna_c":-0.192768</v>
      </c>
      <c r="S38" s="149"/>
      <c r="T38" s="149" t="str">
        <v>0.1694</v>
      </c>
      <c r="U38" s="149" t="str">
        <v>pmtcoa_c</v>
      </c>
      <c r="V38" s="149"/>
      <c r="AB38" t="str">
        <v>BIOSYN-DNA-dgtp_c</v>
      </c>
      <c r="AC38" t="str">
        <v>MET-dgtp_c --&gt; MET-ppi_c + 0.328198 BIO-dgtp_c</v>
      </c>
    </row>
    <row r="39" spans="1:29" ht="16" x14ac:dyDescent="0.2">
      <c r="A39" s="144" t="s">
        <v>1340</v>
      </c>
      <c r="B39" t="str">
        <f>SUBSTITUTE(_xlfn.TEXTBEFORE(mets272130[[#This Row],[pasted JSON metabolite keys and values from GSM biomass rxn]],":"),CHAR(34),"")</f>
        <v>iletrna_c</v>
      </c>
      <c r="C39" t="str">
        <f>_xlfn.TEXTBEFORE(mets272130[[#This Row],[name]],"_",-1)</f>
        <v>iletrna</v>
      </c>
      <c r="D39" t="str">
        <f>_xlfn.XLOOKUP(mets272130[[#This Row],[name w/o location]],metaboliteInfo[name w/o location],metaboliteInfo[suggested category],"")</f>
        <v>PROT</v>
      </c>
      <c r="E39" s="21">
        <f>_xlfn.XLOOKUP(mets272130[[#This Row],[name w/o location]],metaboliteInfo[name w/o location],metaboliteInfo[MW for biomass normalization (g/mol)],0)</f>
        <v>114.16558000000001</v>
      </c>
      <c r="F39" s="21">
        <f>_xlfn.NUMBERVALUE(SUBSTITUTE(_xlfn.TEXTAFTER(mets272130[[#This Row],[pasted JSON metabolite keys and values from GSM biomass rxn]],":"),",",""))</f>
        <v>-0.244699</v>
      </c>
      <c r="G39" s="21" cm="1">
        <f t="array" ref="G39">_xlfn.LET(_xlpm.id,mets272130[[#This Row],[name w/o location]],IF(IsElementOfSet_DIY(_xlpm.id,{"atp","adp","h","pi","h2o"}),SIGN(mets272130[[#This Row],[raw (GSM) coefficient]])*(ABS(mets272130[[#This Row],[raw (GSM) coefficient]])-$J$2),mets272130[[#This Row],[raw (GSM) coefficient]]))</f>
        <v>-0.244699</v>
      </c>
      <c r="H39" s="21">
        <f>mets272130[[#This Row],[coeff. w/o GAM]]</f>
        <v>-0.244699</v>
      </c>
      <c r="I39" s="161">
        <f t="shared" si="0"/>
        <v>-0.24280249866178658</v>
      </c>
      <c r="J39" s="21" cm="1">
        <f t="array" ref="J39">_xlfn.LET(_xlpm.id,mets272130[[#This Row],[name w/o location]],_xlpm.oldcoeff,mets272130[[#This Row],[normalized coeffs]],_xlpm.gam,$J$2-$G$2,_xlfn.IFS(IFERROR(MATCH(_xlpm.id,{"atp","h2o"},0),0)&gt;0,_xlpm.oldcoeff-_xlpm.gam,IFERROR(MATCH(_xlpm.id,{"adp","h","pi"},0),0)&gt;0,_xlpm.oldcoeff+_xlpm.gam,TRUE,_xlpm.oldcoeff))</f>
        <v>-0.24280249866178658</v>
      </c>
      <c r="K39" t="str" cm="1">
        <f t="array" ref="K39">"BIOSYN-"&amp;_xlfn.IFS(IFERROR(MATCH(mets272130[[#This Row],[category]],{0,"0",""},0),0)&gt;0,mets272130[[#This Row],[name]],TRUE,mets272130[[#This Row],[category]]&amp;"-"&amp;mets272130[[#This Row],[name]])</f>
        <v>BIOSYN-PROT-iletrna_c</v>
      </c>
      <c r="L39" s="149" t="str" cm="1">
        <f t="array" ref="L3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39" s="149" cm="1">
        <f t="array" ref="M3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-0.1042805603226904</v>
      </c>
      <c r="N39" s="149"/>
      <c r="O39" s="149"/>
      <c r="P39" s="149" t="str">
        <v>"atp_c":190.647337</v>
      </c>
      <c r="R39" s="149" t="str">
        <v>"atp_c":-190.647337</v>
      </c>
      <c r="S39" s="149"/>
      <c r="T39" s="149" t="str">
        <v>0.112806</v>
      </c>
      <c r="U39" s="149" t="str">
        <v>stcoa_c</v>
      </c>
      <c r="V39" s="149"/>
      <c r="AB39" t="str">
        <v>BIOSYN-DNA-dttp_c</v>
      </c>
      <c r="AC39" t="str">
        <v>MET-dttp_c --&gt; MET-ppi_c + 0.303185 BIO-dttp_c</v>
      </c>
    </row>
    <row r="40" spans="1:29" ht="16" x14ac:dyDescent="0.2">
      <c r="A40" s="144" t="s">
        <v>1341</v>
      </c>
      <c r="B40" t="str">
        <f>SUBSTITUTE(_xlfn.TEXTBEFORE(mets272130[[#This Row],[pasted JSON metabolite keys and values from GSM biomass rxn]],":"),CHAR(34),"")</f>
        <v>k_c</v>
      </c>
      <c r="C40" t="str">
        <f>_xlfn.TEXTBEFORE(mets272130[[#This Row],[name]],"_",-1)</f>
        <v>k</v>
      </c>
      <c r="D40" t="str">
        <f>_xlfn.XLOOKUP(mets272130[[#This Row],[name w/o location]],metaboliteInfo[name w/o location],metaboliteInfo[suggested category],"")</f>
        <v>METAL</v>
      </c>
      <c r="E40" s="21">
        <f>_xlfn.XLOOKUP(mets272130[[#This Row],[name w/o location]],metaboliteInfo[name w/o location],metaboliteInfo[MW for biomass normalization (g/mol)],0)</f>
        <v>39.098300000000002</v>
      </c>
      <c r="F40" s="21">
        <f>_xlfn.NUMBERVALUE(SUBSTITUTE(_xlfn.TEXTAFTER(mets272130[[#This Row],[pasted JSON metabolite keys and values from GSM biomass rxn]],":"),",",""))</f>
        <v>-0.60365000000000002</v>
      </c>
      <c r="G40" s="21" cm="1">
        <f t="array" ref="G40">_xlfn.LET(_xlpm.id,mets272130[[#This Row],[name w/o location]],IF(IsElementOfSet_DIY(_xlpm.id,{"atp","adp","h","pi","h2o"}),SIGN(mets272130[[#This Row],[raw (GSM) coefficient]])*(ABS(mets272130[[#This Row],[raw (GSM) coefficient]])-$J$2),mets272130[[#This Row],[raw (GSM) coefficient]]))</f>
        <v>-0.60365000000000002</v>
      </c>
      <c r="H40" s="21">
        <f>mets272130[[#This Row],[coeff. w/o GAM]]</f>
        <v>-0.60365000000000002</v>
      </c>
      <c r="I40" s="161">
        <f t="shared" si="0"/>
        <v>-0.59897150506208641</v>
      </c>
      <c r="J40" s="21" cm="1">
        <f t="array" ref="J40">_xlfn.LET(_xlpm.id,mets272130[[#This Row],[name w/o location]],_xlpm.oldcoeff,mets272130[[#This Row],[normalized coeffs]],_xlpm.gam,$J$2-$G$2,_xlfn.IFS(IFERROR(MATCH(_xlpm.id,{"atp","h2o"},0),0)&gt;0,_xlpm.oldcoeff-_xlpm.gam,IFERROR(MATCH(_xlpm.id,{"adp","h","pi"},0),0)&gt;0,_xlpm.oldcoeff+_xlpm.gam,TRUE,_xlpm.oldcoeff))</f>
        <v>-0.59897150506208641</v>
      </c>
      <c r="K40" t="str" cm="1">
        <f t="array" ref="K40">"BIOSYN-"&amp;_xlfn.IFS(IFERROR(MATCH(mets272130[[#This Row],[category]],{0,"0",""},0),0)&gt;0,mets272130[[#This Row],[name]],TRUE,mets272130[[#This Row],[category]]&amp;"-"&amp;mets272130[[#This Row],[name]])</f>
        <v>BIOSYN-METAL-k_c</v>
      </c>
      <c r="L40" s="149" t="str" cm="1">
        <f t="array" ref="L4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MET-k_c --&gt; 0.039098 BIO-k_c</v>
      </c>
      <c r="M40" s="149" cm="1">
        <f t="array" ref="M4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-0.81209126644149432</v>
      </c>
      <c r="N40" s="149"/>
      <c r="O40" s="149"/>
      <c r="P40" s="149" t="str">
        <v>"ca2_c":0.001286</v>
      </c>
      <c r="R40" s="149" t="str">
        <v>"ca2_c":-0.001286</v>
      </c>
      <c r="S40" s="149"/>
      <c r="T40" s="149" t="str">
        <v>0.048639</v>
      </c>
      <c r="U40" s="149" t="str">
        <v>ttccoa_c</v>
      </c>
      <c r="V40" s="149"/>
      <c r="AB40" t="str">
        <v>BIOSYN-LIPID-dag_c</v>
      </c>
      <c r="AC40" t="str">
        <v>MET-dag_c --&gt; 0.317078 BIO-dag_c</v>
      </c>
    </row>
    <row r="41" spans="1:29" ht="16" x14ac:dyDescent="0.2">
      <c r="A41" s="144" t="s">
        <v>1342</v>
      </c>
      <c r="B41" t="str">
        <f>SUBSTITUTE(_xlfn.TEXTBEFORE(mets272130[[#This Row],[pasted JSON metabolite keys and values from GSM biomass rxn]],":"),CHAR(34),"")</f>
        <v>leutrna_c</v>
      </c>
      <c r="C41" t="str">
        <f>_xlfn.TEXTBEFORE(mets272130[[#This Row],[name]],"_",-1)</f>
        <v>leutrna</v>
      </c>
      <c r="D41" t="str">
        <f>_xlfn.XLOOKUP(mets272130[[#This Row],[name w/o location]],metaboliteInfo[name w/o location],metaboliteInfo[suggested category],"")</f>
        <v>PROT</v>
      </c>
      <c r="E41" s="21">
        <f>_xlfn.XLOOKUP(mets272130[[#This Row],[name w/o location]],metaboliteInfo[name w/o location],metaboliteInfo[MW for biomass normalization (g/mol)],0)</f>
        <v>114.16558000000001</v>
      </c>
      <c r="F41" s="21">
        <f>_xlfn.NUMBERVALUE(SUBSTITUTE(_xlfn.TEXTAFTER(mets272130[[#This Row],[pasted JSON metabolite keys and values from GSM biomass rxn]],":"),",",""))</f>
        <v>-0.33277400000000001</v>
      </c>
      <c r="G41" s="21" cm="1">
        <f t="array" ref="G41">_xlfn.LET(_xlpm.id,mets272130[[#This Row],[name w/o location]],IF(IsElementOfSet_DIY(_xlpm.id,{"atp","adp","h","pi","h2o"}),SIGN(mets272130[[#This Row],[raw (GSM) coefficient]])*(ABS(mets272130[[#This Row],[raw (GSM) coefficient]])-$J$2),mets272130[[#This Row],[raw (GSM) coefficient]]))</f>
        <v>-0.33277400000000001</v>
      </c>
      <c r="H41" s="21">
        <f>mets272130[[#This Row],[coeff. w/o GAM]]</f>
        <v>-0.33277400000000001</v>
      </c>
      <c r="I41" s="161">
        <f t="shared" si="0"/>
        <v>-0.33019488714574791</v>
      </c>
      <c r="J41" s="21" cm="1">
        <f t="array" ref="J41">_xlfn.LET(_xlpm.id,mets272130[[#This Row],[name w/o location]],_xlpm.oldcoeff,mets272130[[#This Row],[normalized coeffs]],_xlpm.gam,$J$2-$G$2,_xlfn.IFS(IFERROR(MATCH(_xlpm.id,{"atp","h2o"},0),0)&gt;0,_xlpm.oldcoeff-_xlpm.gam,IFERROR(MATCH(_xlpm.id,{"adp","h","pi"},0),0)&gt;0,_xlpm.oldcoeff+_xlpm.gam,TRUE,_xlpm.oldcoeff))</f>
        <v>-0.33019488714574791</v>
      </c>
      <c r="K41" t="str" cm="1">
        <f t="array" ref="K41">"BIOSYN-"&amp;_xlfn.IFS(IFERROR(MATCH(mets272130[[#This Row],[category]],{0,"0",""},0),0)&gt;0,mets272130[[#This Row],[name]],TRUE,mets272130[[#This Row],[category]]&amp;"-"&amp;mets272130[[#This Row],[name]])</f>
        <v>BIOSYN-PROT-leutrna_c</v>
      </c>
      <c r="L41" s="149" t="str" cm="1">
        <f t="array" ref="L4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41" s="149" cm="1">
        <f t="array" ref="M4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-0.14181447076131481</v>
      </c>
      <c r="N41" s="149"/>
      <c r="O41" s="149"/>
      <c r="P41" s="149" t="str">
        <v>"chtn_c":0.016184</v>
      </c>
      <c r="R41" s="149" t="str">
        <v>"chtn_c":-0.016184</v>
      </c>
      <c r="S41" s="149"/>
      <c r="T41" s="149" t="str">
        <v>1</v>
      </c>
      <c r="U41" s="149" t="str">
        <v>coa_c</v>
      </c>
      <c r="V41" s="149"/>
      <c r="AB41" t="str">
        <v>BIOSYN-LIPID-docoscoa_c</v>
      </c>
      <c r="AC41" t="str">
        <v>MET-docoscoa_c --&gt; 1.086071 BIO-docoscoa_c</v>
      </c>
    </row>
    <row r="42" spans="1:29" ht="16" x14ac:dyDescent="0.2">
      <c r="A42" s="144" t="s">
        <v>1374</v>
      </c>
      <c r="B42" t="str">
        <f>SUBSTITUTE(_xlfn.TEXTBEFORE(mets272130[[#This Row],[pasted JSON metabolite keys and values from GSM biomass rxn]],":"),CHAR(34),"")</f>
        <v>linocoa_c</v>
      </c>
      <c r="C42" t="str">
        <f>_xlfn.TEXTBEFORE(mets272130[[#This Row],[name]],"_",-1)</f>
        <v>linocoa</v>
      </c>
      <c r="D42" t="str">
        <f>_xlfn.XLOOKUP(mets272130[[#This Row],[name w/o location]],metaboliteInfo[name w/o location],metaboliteInfo[suggested category],"")</f>
        <v>LIPID</v>
      </c>
      <c r="E42" s="21">
        <f>_xlfn.XLOOKUP(mets272130[[#This Row],[name w/o location]],metaboliteInfo[name w/o location],metaboliteInfo[MW for biomass normalization (g/mol)],0)</f>
        <v>1025.9325630000001</v>
      </c>
      <c r="F42" s="21">
        <f>_xlfn.NUMBERVALUE(SUBSTITUTE(_xlfn.TEXTAFTER(mets272130[[#This Row],[pasted JSON metabolite keys and values from GSM biomass rxn]],":"),",",""))</f>
        <v>-2.6425835200000002E-4</v>
      </c>
      <c r="G42" s="21" cm="1">
        <f t="array" ref="G42">_xlfn.LET(_xlpm.id,mets272130[[#This Row],[name w/o location]],IF(IsElementOfSet_DIY(_xlpm.id,{"atp","adp","h","pi","h2o"}),SIGN(mets272130[[#This Row],[raw (GSM) coefficient]])*(ABS(mets272130[[#This Row],[raw (GSM) coefficient]])-$J$2),mets272130[[#This Row],[raw (GSM) coefficient]]))</f>
        <v>-2.6425835200000002E-4</v>
      </c>
      <c r="H42" s="21">
        <f>mets272130[[#This Row],[coeff. w/o GAM]]</f>
        <v>-2.6425835200000002E-4</v>
      </c>
      <c r="I42" s="161">
        <f t="shared" si="0"/>
        <v>-2.6221025896242293E-4</v>
      </c>
      <c r="J42" s="21" cm="1">
        <f t="array" ref="J42">_xlfn.LET(_xlpm.id,mets272130[[#This Row],[name w/o location]],_xlpm.oldcoeff,mets272130[[#This Row],[normalized coeffs]],_xlpm.gam,$J$2-$G$2,_xlfn.IFS(IFERROR(MATCH(_xlpm.id,{"atp","h2o"},0),0)&gt;0,_xlpm.oldcoeff-_xlpm.gam,IFERROR(MATCH(_xlpm.id,{"adp","h","pi"},0),0)&gt;0,_xlpm.oldcoeff+_xlpm.gam,TRUE,_xlpm.oldcoeff))</f>
        <v>-2.6221025896242293E-4</v>
      </c>
      <c r="K42" t="str" cm="1">
        <f t="array" ref="K42">"BIOSYN-"&amp;_xlfn.IFS(IFERROR(MATCH(mets272130[[#This Row],[category]],{0,"0",""},0),0)&gt;0,mets272130[[#This Row],[name]],TRUE,mets272130[[#This Row],[category]]&amp;"-"&amp;mets272130[[#This Row],[name]])</f>
        <v>BIOSYN-LIPID-linocoa_c</v>
      </c>
      <c r="L42" s="149" t="str" cm="1">
        <f t="array" ref="L4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MET-linocoa_c --&gt; 1.025933 BIO-linocoa_c</v>
      </c>
      <c r="M42" s="149" cm="1">
        <f t="array" ref="M4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-6.178877545548147E-4</v>
      </c>
      <c r="N42" s="149"/>
      <c r="O42" s="149"/>
      <c r="P42" s="149" t="str">
        <v>"ctp_c":0.119302</v>
      </c>
      <c r="R42" s="149" t="str">
        <v>"ctp_c":-0.119302</v>
      </c>
      <c r="S42" s="149"/>
      <c r="T42" s="149" t="str">
        <v>1</v>
      </c>
      <c r="U42" s="149" t="str">
        <v>ffabiom_c</v>
      </c>
      <c r="V42" s="149"/>
      <c r="AB42" t="str">
        <v>BIOSYN-LIPID-ergst_c</v>
      </c>
      <c r="AC42" t="str">
        <v>MET-ergst_c --&gt; 0.396648 BIO-ergst_c</v>
      </c>
    </row>
    <row r="43" spans="1:29" ht="16" x14ac:dyDescent="0.2">
      <c r="A43" s="144" t="s">
        <v>1375</v>
      </c>
      <c r="B43" t="str">
        <f>SUBSTITUTE(_xlfn.TEXTBEFORE(mets272130[[#This Row],[pasted JSON metabolite keys and values from GSM biomass rxn]],":"),CHAR(34),"")</f>
        <v>linolncoa_c</v>
      </c>
      <c r="C43" t="str">
        <f>_xlfn.TEXTBEFORE(mets272130[[#This Row],[name]],"_",-1)</f>
        <v>linolncoa</v>
      </c>
      <c r="D43" t="str">
        <f>_xlfn.XLOOKUP(mets272130[[#This Row],[name w/o location]],metaboliteInfo[name w/o location],metaboliteInfo[suggested category],"")</f>
        <v>LIPID</v>
      </c>
      <c r="E43" s="21">
        <f>_xlfn.XLOOKUP(mets272130[[#This Row],[name w/o location]],metaboliteInfo[name w/o location],metaboliteInfo[MW for biomass normalization (g/mol)],0)</f>
        <v>1023.91668299999</v>
      </c>
      <c r="F43" s="21">
        <f>_xlfn.NUMBERVALUE(SUBSTITUTE(_xlfn.TEXTAFTER(mets272130[[#This Row],[pasted JSON metabolite keys and values from GSM biomass rxn]],":"),",",""))</f>
        <v>-6.5095715999999998E-5</v>
      </c>
      <c r="G43" s="21" cm="1">
        <f t="array" ref="G43">_xlfn.LET(_xlpm.id,mets272130[[#This Row],[name w/o location]],IF(IsElementOfSet_DIY(_xlpm.id,{"atp","adp","h","pi","h2o"}),SIGN(mets272130[[#This Row],[raw (GSM) coefficient]])*(ABS(mets272130[[#This Row],[raw (GSM) coefficient]])-$J$2),mets272130[[#This Row],[raw (GSM) coefficient]]))</f>
        <v>-6.5095715999999998E-5</v>
      </c>
      <c r="H43" s="21">
        <f>mets272130[[#This Row],[coeff. w/o GAM]]</f>
        <v>-6.5095715999999998E-5</v>
      </c>
      <c r="I43" s="161">
        <f t="shared" si="0"/>
        <v>-6.4591201831548306E-5</v>
      </c>
      <c r="J43" s="21" cm="1">
        <f t="array" ref="J43">_xlfn.LET(_xlpm.id,mets272130[[#This Row],[name w/o location]],_xlpm.oldcoeff,mets272130[[#This Row],[normalized coeffs]],_xlpm.gam,$J$2-$G$2,_xlfn.IFS(IFERROR(MATCH(_xlpm.id,{"atp","h2o"},0),0)&gt;0,_xlpm.oldcoeff-_xlpm.gam,IFERROR(MATCH(_xlpm.id,{"adp","h","pi"},0),0)&gt;0,_xlpm.oldcoeff+_xlpm.gam,TRUE,_xlpm.oldcoeff))</f>
        <v>-6.4591201831548306E-5</v>
      </c>
      <c r="K43" t="str" cm="1">
        <f t="array" ref="K43">"BIOSYN-"&amp;_xlfn.IFS(IFERROR(MATCH(mets272130[[#This Row],[category]],{0,"0",""},0),0)&gt;0,mets272130[[#This Row],[name]],TRUE,mets272130[[#This Row],[category]]&amp;"-"&amp;mets272130[[#This Row],[name]])</f>
        <v>BIOSYN-LIPID-linolncoa_c</v>
      </c>
      <c r="L43" s="149" t="str" cm="1">
        <f t="array" ref="L4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MET-linolncoa_c --&gt; 1.023917 BIO-linolncoa_c</v>
      </c>
      <c r="M43" s="149" cm="1">
        <f t="array" ref="M4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-1.5220652624965255E-4</v>
      </c>
      <c r="N43" s="149"/>
      <c r="O43" s="149"/>
      <c r="P43" s="149" t="str">
        <v>"cu2_c":0.000114</v>
      </c>
      <c r="R43" s="149" t="str">
        <v>"cu2_c":-0.000114</v>
      </c>
      <c r="S43" s="149"/>
      <c r="T43" s="149" t="str">
        <v>1</v>
      </c>
      <c r="U43" s="149" t="str">
        <v>h_c</v>
      </c>
      <c r="V43" s="149"/>
      <c r="AB43" t="str">
        <v>BIOSYN-LIPID-ergstest_c</v>
      </c>
      <c r="AC43" t="str">
        <v>MET-ergstest_c --&gt; 0.660084 BIO-ergstest_c</v>
      </c>
    </row>
    <row r="44" spans="1:29" ht="16" x14ac:dyDescent="0.2">
      <c r="A44" s="144" t="s">
        <v>1343</v>
      </c>
      <c r="B44" t="str">
        <f>SUBSTITUTE(_xlfn.TEXTBEFORE(mets272130[[#This Row],[pasted JSON metabolite keys and values from GSM biomass rxn]],":"),CHAR(34),"")</f>
        <v>lystrna_c</v>
      </c>
      <c r="C44" t="str">
        <f>_xlfn.TEXTBEFORE(mets272130[[#This Row],[name]],"_",-1)</f>
        <v>lystrna</v>
      </c>
      <c r="D44" t="str">
        <f>_xlfn.XLOOKUP(mets272130[[#This Row],[name w/o location]],metaboliteInfo[name w/o location],metaboliteInfo[suggested category],"")</f>
        <v>PROT</v>
      </c>
      <c r="E44" s="21">
        <f>_xlfn.XLOOKUP(mets272130[[#This Row],[name w/o location]],metaboliteInfo[name w/o location],metaboliteInfo[MW for biomass normalization (g/mol)],0)</f>
        <v>130.18816000000001</v>
      </c>
      <c r="F44" s="21">
        <f>_xlfn.NUMBERVALUE(SUBSTITUTE(_xlfn.TEXTAFTER(mets272130[[#This Row],[pasted JSON metabolite keys and values from GSM biomass rxn]],":"),",",""))</f>
        <v>-0.27295000000000003</v>
      </c>
      <c r="G44" s="21" cm="1">
        <f t="array" ref="G44">_xlfn.LET(_xlpm.id,mets272130[[#This Row],[name w/o location]],IF(IsElementOfSet_DIY(_xlpm.id,{"atp","adp","h","pi","h2o"}),SIGN(mets272130[[#This Row],[raw (GSM) coefficient]])*(ABS(mets272130[[#This Row],[raw (GSM) coefficient]])-$J$2),mets272130[[#This Row],[raw (GSM) coefficient]]))</f>
        <v>-0.27295000000000003</v>
      </c>
      <c r="H44" s="21">
        <f>mets272130[[#This Row],[coeff. w/o GAM]]</f>
        <v>-0.27295000000000003</v>
      </c>
      <c r="I44" s="161">
        <f t="shared" si="0"/>
        <v>-0.27083454370363041</v>
      </c>
      <c r="J44" s="21" cm="1">
        <f t="array" ref="J44">_xlfn.LET(_xlpm.id,mets272130[[#This Row],[name w/o location]],_xlpm.oldcoeff,mets272130[[#This Row],[normalized coeffs]],_xlpm.gam,$J$2-$G$2,_xlfn.IFS(IFERROR(MATCH(_xlpm.id,{"atp","h2o"},0),0)&gt;0,_xlpm.oldcoeff-_xlpm.gam,IFERROR(MATCH(_xlpm.id,{"adp","h","pi"},0),0)&gt;0,_xlpm.oldcoeff+_xlpm.gam,TRUE,_xlpm.oldcoeff))</f>
        <v>-0.27083454370363041</v>
      </c>
      <c r="K44" t="str" cm="1">
        <f t="array" ref="K44">"BIOSYN-"&amp;_xlfn.IFS(IFERROR(MATCH(mets272130[[#This Row],[category]],{0,"0",""},0),0)&gt;0,mets272130[[#This Row],[name]],TRUE,mets272130[[#This Row],[category]]&amp;"-"&amp;mets272130[[#This Row],[name]])</f>
        <v>BIOSYN-PROT-lystrna_c</v>
      </c>
      <c r="L44" s="149" t="str" cm="1">
        <f t="array" ref="L4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44" s="149" cm="1">
        <f t="array" ref="M4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-0.11631996428296948</v>
      </c>
      <c r="N44" s="149"/>
      <c r="O44" s="149"/>
      <c r="P44" s="149" t="str">
        <v>"cys__L_c":0.005816</v>
      </c>
      <c r="R44" s="149" t="str">
        <v>"cystrna_c":-0.005816</v>
      </c>
      <c r="S44" s="149"/>
      <c r="T44" s="149"/>
      <c r="U44" s="149"/>
      <c r="V44" s="149"/>
      <c r="AB44" t="str">
        <v>BIOSYN-LIPID-hxccoa_c</v>
      </c>
      <c r="AC44" t="str">
        <v>MET-hxccoa_c --&gt; 1.142177 BIO-hxccoa_c</v>
      </c>
    </row>
    <row r="45" spans="1:29" ht="16" x14ac:dyDescent="0.2">
      <c r="A45" s="144" t="s">
        <v>1344</v>
      </c>
      <c r="B45" t="str">
        <f>SUBSTITUTE(_xlfn.TEXTBEFORE(mets272130[[#This Row],[pasted JSON metabolite keys and values from GSM biomass rxn]],":"),CHAR(34),"")</f>
        <v>mannan_c</v>
      </c>
      <c r="C45" t="str">
        <f>_xlfn.TEXTBEFORE(mets272130[[#This Row],[name]],"_",-1)</f>
        <v>mannan</v>
      </c>
      <c r="D45" t="str">
        <f>_xlfn.XLOOKUP(mets272130[[#This Row],[name w/o location]],metaboliteInfo[name w/o location],metaboliteInfo[suggested category],"")</f>
        <v>CARB</v>
      </c>
      <c r="E45" s="21">
        <f>_xlfn.XLOOKUP(mets272130[[#This Row],[name w/o location]],metaboliteInfo[name w/o location],metaboliteInfo[MW for biomass normalization (g/mol)],0)</f>
        <v>162.14060000000001</v>
      </c>
      <c r="F45" s="21">
        <f>_xlfn.NUMBERVALUE(SUBSTITUTE(_xlfn.TEXTAFTER(mets272130[[#This Row],[pasted JSON metabolite keys and values from GSM biomass rxn]],":"),",",""))</f>
        <v>-0.49014999999999997</v>
      </c>
      <c r="G45" s="21" cm="1">
        <f t="array" ref="G45">_xlfn.LET(_xlpm.id,mets272130[[#This Row],[name w/o location]],IF(IsElementOfSet_DIY(_xlpm.id,{"atp","adp","h","pi","h2o"}),SIGN(mets272130[[#This Row],[raw (GSM) coefficient]])*(ABS(mets272130[[#This Row],[raw (GSM) coefficient]])-$J$2),mets272130[[#This Row],[raw (GSM) coefficient]]))</f>
        <v>-0.49014999999999997</v>
      </c>
      <c r="H45" s="21">
        <f>mets272130[[#This Row],[coeff. w/o GAM]]</f>
        <v>-0.49014999999999997</v>
      </c>
      <c r="I45" s="161">
        <f t="shared" si="0"/>
        <v>-0.4863511690651563</v>
      </c>
      <c r="J45" s="21" cm="1">
        <f t="array" ref="J45">_xlfn.LET(_xlpm.id,mets272130[[#This Row],[name w/o location]],_xlpm.oldcoeff,mets272130[[#This Row],[normalized coeffs]],_xlpm.gam,$J$2-$G$2,_xlfn.IFS(IFERROR(MATCH(_xlpm.id,{"atp","h2o"},0),0)&gt;0,_xlpm.oldcoeff-_xlpm.gam,IFERROR(MATCH(_xlpm.id,{"adp","h","pi"},0),0)&gt;0,_xlpm.oldcoeff+_xlpm.gam,TRUE,_xlpm.oldcoeff))</f>
        <v>-0.4863511690651563</v>
      </c>
      <c r="K45" t="str" cm="1">
        <f t="array" ref="K45">"BIOSYN-"&amp;_xlfn.IFS(IFERROR(MATCH(mets272130[[#This Row],[category]],{0,"0",""},0),0)&gt;0,mets272130[[#This Row],[name]],TRUE,mets272130[[#This Row],[category]]&amp;"-"&amp;mets272130[[#This Row],[name]])</f>
        <v>BIOSYN-CARB-mannan_c</v>
      </c>
      <c r="L45" s="149" t="str" cm="1">
        <f t="array" ref="L4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MET-mannan_c --&gt; 0.162141 BIO-mannan_c</v>
      </c>
      <c r="M45" s="149" cm="1">
        <f t="array" ref="M4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-0.65939954318942828</v>
      </c>
      <c r="N45" s="149"/>
      <c r="O45" s="149"/>
      <c r="P45" s="149" t="str">
        <v>"datp_c":0.006009</v>
      </c>
      <c r="R45" s="149" t="str">
        <v>"datp_c":-0.006009</v>
      </c>
      <c r="S45" s="149"/>
      <c r="T45" s="149" cm="1">
        <f t="array" ref="T45:T55">_xlfn.CHOOSECOLS(_xlfn.ANCHORARRAY(T33),1)*0.000743</f>
        <v>1.3931249999999998E-5</v>
      </c>
      <c r="U45" s="149"/>
      <c r="V45" s="149"/>
      <c r="AB45" t="str">
        <v>BIOSYN-LIPID-linocoa_c</v>
      </c>
      <c r="AC45" t="str">
        <v>MET-linocoa_c --&gt; 1.025933 BIO-linocoa_c</v>
      </c>
    </row>
    <row r="46" spans="1:29" ht="16" x14ac:dyDescent="0.2">
      <c r="A46" s="144" t="s">
        <v>1345</v>
      </c>
      <c r="B46" t="str">
        <f>SUBSTITUTE(_xlfn.TEXTBEFORE(mets272130[[#This Row],[pasted JSON metabolite keys and values from GSM biomass rxn]],":"),CHAR(34),"")</f>
        <v>mettrna_c</v>
      </c>
      <c r="C46" t="str">
        <f>_xlfn.TEXTBEFORE(mets272130[[#This Row],[name]],"_",-1)</f>
        <v>mettrna</v>
      </c>
      <c r="D46" t="str">
        <f>_xlfn.XLOOKUP(mets272130[[#This Row],[name w/o location]],metaboliteInfo[name w/o location],metaboliteInfo[suggested category],"")</f>
        <v>PROT</v>
      </c>
      <c r="E46" s="21">
        <f>_xlfn.XLOOKUP(mets272130[[#This Row],[name w/o location]],metaboliteInfo[name w/o location],metaboliteInfo[MW for biomass normalization (g/mol)],0)</f>
        <v>132.20400000000001</v>
      </c>
      <c r="F46" s="21">
        <f>_xlfn.NUMBERVALUE(SUBSTITUTE(_xlfn.TEXTAFTER(mets272130[[#This Row],[pasted JSON metabolite keys and values from GSM biomass rxn]],":"),",",""))</f>
        <v>-4.7361E-2</v>
      </c>
      <c r="G46" s="21" cm="1">
        <f t="array" ref="G46">_xlfn.LET(_xlpm.id,mets272130[[#This Row],[name w/o location]],IF(IsElementOfSet_DIY(_xlpm.id,{"atp","adp","h","pi","h2o"}),SIGN(mets272130[[#This Row],[raw (GSM) coefficient]])*(ABS(mets272130[[#This Row],[raw (GSM) coefficient]])-$J$2),mets272130[[#This Row],[raw (GSM) coefficient]]))</f>
        <v>-4.7361E-2</v>
      </c>
      <c r="H46" s="21">
        <f>mets272130[[#This Row],[coeff. w/o GAM]]</f>
        <v>-4.7361E-2</v>
      </c>
      <c r="I46" s="161">
        <f t="shared" si="0"/>
        <v>-4.6993935974895172E-2</v>
      </c>
      <c r="J46" s="21" cm="1">
        <f t="array" ref="J46">_xlfn.LET(_xlpm.id,mets272130[[#This Row],[name w/o location]],_xlpm.oldcoeff,mets272130[[#This Row],[normalized coeffs]],_xlpm.gam,$J$2-$G$2,_xlfn.IFS(IFERROR(MATCH(_xlpm.id,{"atp","h2o"},0),0)&gt;0,_xlpm.oldcoeff-_xlpm.gam,IFERROR(MATCH(_xlpm.id,{"adp","h","pi"},0),0)&gt;0,_xlpm.oldcoeff+_xlpm.gam,TRUE,_xlpm.oldcoeff))</f>
        <v>-4.6993935974895172E-2</v>
      </c>
      <c r="K46" t="str" cm="1">
        <f t="array" ref="K46">"BIOSYN-"&amp;_xlfn.IFS(IFERROR(MATCH(mets272130[[#This Row],[category]],{0,"0",""},0),0)&gt;0,mets272130[[#This Row],[name]],TRUE,mets272130[[#This Row],[category]]&amp;"-"&amp;mets272130[[#This Row],[name]])</f>
        <v>BIOSYN-PROT-mettrna_c</v>
      </c>
      <c r="L46" s="149" t="str" cm="1">
        <f t="array" ref="L4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46" s="149" cm="1">
        <f t="array" ref="M4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-2.0183293014858824E-2</v>
      </c>
      <c r="N46" s="149"/>
      <c r="O46" s="149"/>
      <c r="P46" s="149" t="str">
        <v>"dctp_c":0.009379</v>
      </c>
      <c r="R46" s="149" t="str">
        <v>"dctp_c":-0.009379</v>
      </c>
      <c r="S46" s="149"/>
      <c r="T46" s="149">
        <v>7.4299999999999995E-4</v>
      </c>
      <c r="U46" s="149"/>
      <c r="V46" s="149"/>
      <c r="AB46" t="str">
        <v>BIOSYN-LIPID-linolncoa_c</v>
      </c>
      <c r="AC46" t="str">
        <v>MET-linolncoa_c --&gt; 1.023917 BIO-linolncoa_c</v>
      </c>
    </row>
    <row r="47" spans="1:29" ht="16" x14ac:dyDescent="0.2">
      <c r="A47" s="144" t="s">
        <v>1346</v>
      </c>
      <c r="B47" t="str">
        <f>SUBSTITUTE(_xlfn.TEXTBEFORE(mets272130[[#This Row],[pasted JSON metabolite keys and values from GSM biomass rxn]],":"),CHAR(34),"")</f>
        <v>mg2_c</v>
      </c>
      <c r="C47" t="str">
        <f>_xlfn.TEXTBEFORE(mets272130[[#This Row],[name]],"_",-1)</f>
        <v>mg2</v>
      </c>
      <c r="D47" t="str">
        <f>_xlfn.XLOOKUP(mets272130[[#This Row],[name w/o location]],metaboliteInfo[name w/o location],metaboliteInfo[suggested category],"")</f>
        <v>METAL</v>
      </c>
      <c r="E47" s="21">
        <f>_xlfn.XLOOKUP(mets272130[[#This Row],[name w/o location]],metaboliteInfo[name w/o location],metaboliteInfo[MW for biomass normalization (g/mol)],0)</f>
        <v>24.305</v>
      </c>
      <c r="F47" s="21">
        <f>_xlfn.NUMBERVALUE(SUBSTITUTE(_xlfn.TEXTAFTER(mets272130[[#This Row],[pasted JSON metabolite keys and values from GSM biomass rxn]],":"),",",""))</f>
        <v>-6.3606999999999997E-2</v>
      </c>
      <c r="G47" s="21" cm="1">
        <f t="array" ref="G47">_xlfn.LET(_xlpm.id,mets272130[[#This Row],[name w/o location]],IF(IsElementOfSet_DIY(_xlpm.id,{"atp","adp","h","pi","h2o"}),SIGN(mets272130[[#This Row],[raw (GSM) coefficient]])*(ABS(mets272130[[#This Row],[raw (GSM) coefficient]])-$J$2),mets272130[[#This Row],[raw (GSM) coefficient]]))</f>
        <v>-6.3606999999999997E-2</v>
      </c>
      <c r="H47" s="21">
        <f>mets272130[[#This Row],[coeff. w/o GAM]]</f>
        <v>-6.3606999999999997E-2</v>
      </c>
      <c r="I47" s="161">
        <f t="shared" si="0"/>
        <v>-6.311402389212975E-2</v>
      </c>
      <c r="J47" s="21" cm="1">
        <f t="array" ref="J47">_xlfn.LET(_xlpm.id,mets272130[[#This Row],[name w/o location]],_xlpm.oldcoeff,mets272130[[#This Row],[normalized coeffs]],_xlpm.gam,$J$2-$G$2,_xlfn.IFS(IFERROR(MATCH(_xlpm.id,{"atp","h2o"},0),0)&gt;0,_xlpm.oldcoeff-_xlpm.gam,IFERROR(MATCH(_xlpm.id,{"adp","h","pi"},0),0)&gt;0,_xlpm.oldcoeff+_xlpm.gam,TRUE,_xlpm.oldcoeff))</f>
        <v>-6.311402389212975E-2</v>
      </c>
      <c r="K47" t="str" cm="1">
        <f t="array" ref="K47">"BIOSYN-"&amp;_xlfn.IFS(IFERROR(MATCH(mets272130[[#This Row],[category]],{0,"0",""},0),0)&gt;0,mets272130[[#This Row],[name]],TRUE,mets272130[[#This Row],[category]]&amp;"-"&amp;mets272130[[#This Row],[name]])</f>
        <v>BIOSYN-METAL-mg2_c</v>
      </c>
      <c r="L47" s="149" t="str" cm="1">
        <f t="array" ref="L4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MET-mg2_c --&gt; 0.024305 BIO-mg2_c</v>
      </c>
      <c r="M47" s="149" cm="1">
        <f t="array" ref="M4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-8.5570594192900057E-2</v>
      </c>
      <c r="N47" s="149"/>
      <c r="O47" s="149"/>
      <c r="P47" s="149" t="str">
        <v>"dgtp_c":0.009379</v>
      </c>
      <c r="R47" s="149" t="str">
        <v>"dgtp_c":-0.009379</v>
      </c>
      <c r="S47" s="149"/>
      <c r="T47" s="149">
        <v>2.6425835199999997E-4</v>
      </c>
      <c r="U47" s="149"/>
      <c r="V47" s="149"/>
      <c r="AB47" t="str">
        <v>BIOSYN-LIPID-odecoa_c</v>
      </c>
      <c r="AC47" t="str">
        <v>MET-odecoa_c --&gt; 1.027948 BIO-odecoa_c</v>
      </c>
    </row>
    <row r="48" spans="1:29" ht="16" x14ac:dyDescent="0.2">
      <c r="A48" s="144" t="s">
        <v>1376</v>
      </c>
      <c r="B48" t="str">
        <f>SUBSTITUTE(_xlfn.TEXTBEFORE(mets272130[[#This Row],[pasted JSON metabolite keys and values from GSM biomass rxn]],":"),CHAR(34),"")</f>
        <v>mn2_c</v>
      </c>
      <c r="C48" t="str">
        <f>_xlfn.TEXTBEFORE(mets272130[[#This Row],[name]],"_",-1)</f>
        <v>mn2</v>
      </c>
      <c r="D48" t="str">
        <f>_xlfn.XLOOKUP(mets272130[[#This Row],[name w/o location]],metaboliteInfo[name w/o location],metaboliteInfo[suggested category],"")</f>
        <v>METAL</v>
      </c>
      <c r="E48" s="21">
        <f>_xlfn.XLOOKUP(mets272130[[#This Row],[name w/o location]],metaboliteInfo[name w/o location],metaboliteInfo[MW for biomass normalization (g/mol)],0)</f>
        <v>54.938043999999998</v>
      </c>
      <c r="F48" s="21">
        <f>_xlfn.NUMBERVALUE(SUBSTITUTE(_xlfn.TEXTAFTER(mets272130[[#This Row],[pasted JSON metabolite keys and values from GSM biomass rxn]],":"),",",""))</f>
        <v>-9.3999999999999994E-5</v>
      </c>
      <c r="G48" s="21" cm="1">
        <f t="array" ref="G48">_xlfn.LET(_xlpm.id,mets272130[[#This Row],[name w/o location]],IF(IsElementOfSet_DIY(_xlpm.id,{"atp","adp","h","pi","h2o"}),SIGN(mets272130[[#This Row],[raw (GSM) coefficient]])*(ABS(mets272130[[#This Row],[raw (GSM) coefficient]])-$J$2),mets272130[[#This Row],[raw (GSM) coefficient]]))</f>
        <v>-9.3999999999999994E-5</v>
      </c>
      <c r="H48" s="21">
        <f>mets272130[[#This Row],[coeff. w/o GAM]]</f>
        <v>-9.3999999999999994E-5</v>
      </c>
      <c r="I48" s="161">
        <f t="shared" si="0"/>
        <v>-9.3271467697897983E-5</v>
      </c>
      <c r="J48" s="21" cm="1">
        <f t="array" ref="J48">_xlfn.LET(_xlpm.id,mets272130[[#This Row],[name w/o location]],_xlpm.oldcoeff,mets272130[[#This Row],[normalized coeffs]],_xlpm.gam,$J$2-$G$2,_xlfn.IFS(IFERROR(MATCH(_xlpm.id,{"atp","h2o"},0),0)&gt;0,_xlpm.oldcoeff-_xlpm.gam,IFERROR(MATCH(_xlpm.id,{"adp","h","pi"},0),0)&gt;0,_xlpm.oldcoeff+_xlpm.gam,TRUE,_xlpm.oldcoeff))</f>
        <v>-9.3271467697897983E-5</v>
      </c>
      <c r="K48" t="str" cm="1">
        <f t="array" ref="K48">"BIOSYN-"&amp;_xlfn.IFS(IFERROR(MATCH(mets272130[[#This Row],[category]],{0,"0",""},0),0)&gt;0,mets272130[[#This Row],[name]],TRUE,mets272130[[#This Row],[category]]&amp;"-"&amp;mets272130[[#This Row],[name]])</f>
        <v>BIOSYN-METAL-mn2_c</v>
      </c>
      <c r="L48" s="149" t="str" cm="1">
        <f t="array" ref="L4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MET-mn2_c --&gt; 0.054938 BIO-mn2_c</v>
      </c>
      <c r="M48" s="149" cm="1">
        <f t="array" ref="M4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-1.264583434862925E-4</v>
      </c>
      <c r="N48" s="149"/>
      <c r="O48" s="149"/>
      <c r="P48" s="149" t="str">
        <v>"dttp_c":0.006009</v>
      </c>
      <c r="R48" s="149" t="str">
        <v>"dttp_c":-0.006009</v>
      </c>
      <c r="S48" s="149"/>
      <c r="T48" s="149">
        <v>6.5095715999999998E-5</v>
      </c>
      <c r="U48" s="149"/>
      <c r="V48" s="149"/>
      <c r="AB48" t="str">
        <v>BIOSYN-LIPID-pail_c</v>
      </c>
      <c r="AC48" t="str">
        <v>MET-pail_c --&gt; 0.862149 BIO-pail_c</v>
      </c>
    </row>
    <row r="49" spans="1:29" ht="16" x14ac:dyDescent="0.2">
      <c r="A49" s="144" t="s">
        <v>1377</v>
      </c>
      <c r="B49" t="str">
        <f>SUBSTITUTE(_xlfn.TEXTBEFORE(mets272130[[#This Row],[pasted JSON metabolite keys and values from GSM biomass rxn]],":"),CHAR(34),"")</f>
        <v>nadp_c</v>
      </c>
      <c r="C49" t="str">
        <f>_xlfn.TEXTBEFORE(mets272130[[#This Row],[name]],"_",-1)</f>
        <v>nadp</v>
      </c>
      <c r="D49" t="str">
        <f>_xlfn.XLOOKUP(mets272130[[#This Row],[name w/o location]],metaboliteInfo[name w/o location],metaboliteInfo[suggested category],"")</f>
        <v>COFACTOR</v>
      </c>
      <c r="E49" s="21">
        <f>_xlfn.XLOOKUP(mets272130[[#This Row],[name w/o location]],metaboliteInfo[name w/o location],metaboliteInfo[MW for biomass normalization (g/mol)],0)</f>
        <v>740.38118299999996</v>
      </c>
      <c r="F49" s="21">
        <f>_xlfn.NUMBERVALUE(SUBSTITUTE(_xlfn.TEXTAFTER(mets272130[[#This Row],[pasted JSON metabolite keys and values from GSM biomass rxn]],":"),",",""))</f>
        <v>3.0000000000000001E-3</v>
      </c>
      <c r="G49" s="21" cm="1">
        <f t="array" ref="G49">_xlfn.LET(_xlpm.id,mets272130[[#This Row],[name w/o location]],IF(IsElementOfSet_DIY(_xlpm.id,{"atp","adp","h","pi","h2o"}),SIGN(mets272130[[#This Row],[raw (GSM) coefficient]])*(ABS(mets272130[[#This Row],[raw (GSM) coefficient]])-$J$2),mets272130[[#This Row],[raw (GSM) coefficient]]))</f>
        <v>3.0000000000000001E-3</v>
      </c>
      <c r="H49" s="21">
        <f>mets272130[[#This Row],[coeff. w/o GAM]]</f>
        <v>3.0000000000000001E-3</v>
      </c>
      <c r="I49" s="161">
        <f t="shared" si="0"/>
        <v>2.9767489690818508E-3</v>
      </c>
      <c r="J49" s="21" cm="1">
        <f t="array" ref="J49">_xlfn.LET(_xlpm.id,mets272130[[#This Row],[name w/o location]],_xlpm.oldcoeff,mets272130[[#This Row],[normalized coeffs]],_xlpm.gam,$J$2-$G$2,_xlfn.IFS(IFERROR(MATCH(_xlpm.id,{"atp","h2o"},0),0)&gt;0,_xlpm.oldcoeff-_xlpm.gam,IFERROR(MATCH(_xlpm.id,{"adp","h","pi"},0),0)&gt;0,_xlpm.oldcoeff+_xlpm.gam,TRUE,_xlpm.oldcoeff))</f>
        <v>2.9767489690818508E-3</v>
      </c>
      <c r="K49" t="str" cm="1">
        <f t="array" ref="K49">"BIOSYN-"&amp;_xlfn.IFS(IFERROR(MATCH(mets272130[[#This Row],[category]],{0,"0",""},0),0)&gt;0,mets272130[[#This Row],[name]],TRUE,mets272130[[#This Row],[category]]&amp;"-"&amp;mets272130[[#This Row],[name]])</f>
        <v>BIOSYN-COFACTOR-nadp_c</v>
      </c>
      <c r="L49" s="149" t="str" cm="1">
        <f t="array" ref="L4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MET-nadp_c --&gt; 0.740381 BIO-nadp_c</v>
      </c>
      <c r="M49" s="149" cm="1">
        <f t="array" ref="M4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4.0359045793497608E-3</v>
      </c>
      <c r="N49" s="149"/>
      <c r="O49" s="149"/>
      <c r="P49" s="149" t="str">
        <v>"ergst_c":0.042867</v>
      </c>
      <c r="R49" s="149" t="str">
        <v>"ergst_c":-0.042867</v>
      </c>
      <c r="S49" s="149"/>
      <c r="T49" s="149">
        <v>1.53896847E-4</v>
      </c>
      <c r="U49" s="149"/>
      <c r="V49" s="149"/>
      <c r="AB49" t="str">
        <v>BIOSYN-LIPID-pc_c</v>
      </c>
      <c r="AC49" t="str">
        <v>MET-pc_c --&gt; 0.786166 BIO-pc_c</v>
      </c>
    </row>
    <row r="50" spans="1:29" ht="16" x14ac:dyDescent="0.2">
      <c r="A50" s="144" t="s">
        <v>1378</v>
      </c>
      <c r="B50" t="str">
        <f>SUBSTITUTE(_xlfn.TEXTBEFORE(mets272130[[#This Row],[pasted JSON metabolite keys and values from GSM biomass rxn]],":"),CHAR(34),"")</f>
        <v>nadph_c</v>
      </c>
      <c r="C50" t="str">
        <f>_xlfn.TEXTBEFORE(mets272130[[#This Row],[name]],"_",-1)</f>
        <v>nadph</v>
      </c>
      <c r="D50" t="str">
        <f>_xlfn.XLOOKUP(mets272130[[#This Row],[name w/o location]],metaboliteInfo[name w/o location],metaboliteInfo[suggested category],"")</f>
        <v>COFACTOR</v>
      </c>
      <c r="E50" s="21">
        <f>_xlfn.XLOOKUP(mets272130[[#This Row],[name w/o location]],metaboliteInfo[name w/o location],metaboliteInfo[MW for biomass normalization (g/mol)],0)</f>
        <v>741.38912300000004</v>
      </c>
      <c r="F50" s="21">
        <f>_xlfn.NUMBERVALUE(SUBSTITUTE(_xlfn.TEXTAFTER(mets272130[[#This Row],[pasted JSON metabolite keys and values from GSM biomass rxn]],":"),",",""))</f>
        <v>-3.0000000000000001E-3</v>
      </c>
      <c r="G50" s="21" cm="1">
        <f t="array" ref="G50">_xlfn.LET(_xlpm.id,mets272130[[#This Row],[name w/o location]],IF(IsElementOfSet_DIY(_xlpm.id,{"atp","adp","h","pi","h2o"}),SIGN(mets272130[[#This Row],[raw (GSM) coefficient]])*(ABS(mets272130[[#This Row],[raw (GSM) coefficient]])-$J$2),mets272130[[#This Row],[raw (GSM) coefficient]]))</f>
        <v>-3.0000000000000001E-3</v>
      </c>
      <c r="H50" s="21">
        <f>mets272130[[#This Row],[coeff. w/o GAM]]</f>
        <v>-3.0000000000000001E-3</v>
      </c>
      <c r="I50" s="161">
        <f t="shared" si="0"/>
        <v>-2.9767489690818508E-3</v>
      </c>
      <c r="J50" s="21" cm="1">
        <f t="array" ref="J50">_xlfn.LET(_xlpm.id,mets272130[[#This Row],[name w/o location]],_xlpm.oldcoeff,mets272130[[#This Row],[normalized coeffs]],_xlpm.gam,$J$2-$G$2,_xlfn.IFS(IFERROR(MATCH(_xlpm.id,{"atp","h2o"},0),0)&gt;0,_xlpm.oldcoeff-_xlpm.gam,IFERROR(MATCH(_xlpm.id,{"adp","h","pi"},0),0)&gt;0,_xlpm.oldcoeff+_xlpm.gam,TRUE,_xlpm.oldcoeff))</f>
        <v>-2.9767489690818508E-3</v>
      </c>
      <c r="K50" t="str" cm="1">
        <f t="array" ref="K50">"BIOSYN-"&amp;_xlfn.IFS(IFERROR(MATCH(mets272130[[#This Row],[category]],{0,"0",""},0),0)&gt;0,mets272130[[#This Row],[name]],TRUE,mets272130[[#This Row],[category]]&amp;"-"&amp;mets272130[[#This Row],[name]])</f>
        <v>BIOSYN-COFACTOR-nadph_c</v>
      </c>
      <c r="L50" s="149" t="str" cm="1">
        <f t="array" ref="L5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MET-nadph_c --&gt; 0.741389 BIO-nadph_c</v>
      </c>
      <c r="M50" s="149" cm="1">
        <f t="array" ref="M5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-4.0359045793497608E-3</v>
      </c>
      <c r="N50" s="149"/>
      <c r="O50" s="149"/>
      <c r="P50" s="149" t="str">
        <v>"ergstest_c":0.010634</v>
      </c>
      <c r="R50" s="149" t="str">
        <v>"ergstest_c":-0.010634</v>
      </c>
      <c r="S50" s="149"/>
      <c r="T50" s="149">
        <v>1.2586419999999999E-4</v>
      </c>
      <c r="U50" s="149"/>
      <c r="V50" s="149"/>
      <c r="AB50" t="str">
        <v>BIOSYN-LIPID-pe_c</v>
      </c>
      <c r="AC50" t="str">
        <v>MET-pe_c --&gt; 0.744086 BIO-pe_c</v>
      </c>
    </row>
    <row r="51" spans="1:29" ht="16" x14ac:dyDescent="0.2">
      <c r="A51" s="144" t="s">
        <v>1379</v>
      </c>
      <c r="B51" t="str">
        <f>SUBSTITUTE(_xlfn.TEXTBEFORE(mets272130[[#This Row],[pasted JSON metabolite keys and values from GSM biomass rxn]],":"),CHAR(34),"")</f>
        <v>o2_c</v>
      </c>
      <c r="C51" t="str">
        <f>_xlfn.TEXTBEFORE(mets272130[[#This Row],[name]],"_",-1)</f>
        <v>o2</v>
      </c>
      <c r="D51" t="str">
        <f>_xlfn.XLOOKUP(mets272130[[#This Row],[name w/o location]],metaboliteInfo[name w/o location],metaboliteInfo[suggested category],"")</f>
        <v>other</v>
      </c>
      <c r="E51" s="21">
        <f>_xlfn.XLOOKUP(mets272130[[#This Row],[name w/o location]],metaboliteInfo[name w/o location],metaboliteInfo[MW for biomass normalization (g/mol)],0)</f>
        <v>31.998799999999999</v>
      </c>
      <c r="F51" s="21">
        <f>_xlfn.NUMBERVALUE(SUBSTITUTE(_xlfn.TEXTAFTER(mets272130[[#This Row],[pasted JSON metabolite keys and values from GSM biomass rxn]],":"),",",""))</f>
        <v>-1E-3</v>
      </c>
      <c r="G51" s="21" cm="1">
        <f t="array" ref="G51">_xlfn.LET(_xlpm.id,mets272130[[#This Row],[name w/o location]],IF(IsElementOfSet_DIY(_xlpm.id,{"atp","adp","h","pi","h2o"}),SIGN(mets272130[[#This Row],[raw (GSM) coefficient]])*(ABS(mets272130[[#This Row],[raw (GSM) coefficient]])-$J$2),mets272130[[#This Row],[raw (GSM) coefficient]]))</f>
        <v>-1E-3</v>
      </c>
      <c r="H51" s="21">
        <f>mets272130[[#This Row],[coeff. w/o GAM]]</f>
        <v>-1E-3</v>
      </c>
      <c r="I51" s="161">
        <f t="shared" si="0"/>
        <v>-9.9224965636061685E-4</v>
      </c>
      <c r="J51" s="21" cm="1">
        <f t="array" ref="J51">_xlfn.LET(_xlpm.id,mets272130[[#This Row],[name w/o location]],_xlpm.oldcoeff,mets272130[[#This Row],[normalized coeffs]],_xlpm.gam,$J$2-$G$2,_xlfn.IFS(IFERROR(MATCH(_xlpm.id,{"atp","h2o"},0),0)&gt;0,_xlpm.oldcoeff-_xlpm.gam,IFERROR(MATCH(_xlpm.id,{"adp","h","pi"},0),0)&gt;0,_xlpm.oldcoeff+_xlpm.gam,TRUE,_xlpm.oldcoeff))</f>
        <v>-9.9224965636061685E-4</v>
      </c>
      <c r="K51" t="str" cm="1">
        <f t="array" ref="K51">"BIOSYN-"&amp;_xlfn.IFS(IFERROR(MATCH(mets272130[[#This Row],[category]],{0,"0",""},0),0)&gt;0,mets272130[[#This Row],[name]],TRUE,mets272130[[#This Row],[category]]&amp;"-"&amp;mets272130[[#This Row],[name]])</f>
        <v>BIOSYN-other-o2_c</v>
      </c>
      <c r="L51" s="149" t="str" cm="1">
        <f t="array" ref="L5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MET-o2_c --&gt; 0.031999 BIO-o2_c</v>
      </c>
      <c r="M51" s="149" cm="1">
        <f t="array" ref="M5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-1.3453015264499203E-3</v>
      </c>
      <c r="N51" s="149"/>
      <c r="O51" s="149"/>
      <c r="P51" s="149" t="str">
        <v>"fe2_c":0.000664</v>
      </c>
      <c r="R51" s="149" t="str">
        <v>"fe2_c":-0.000664</v>
      </c>
      <c r="S51" s="149"/>
      <c r="T51" s="149">
        <v>8.3814857999999994E-5</v>
      </c>
      <c r="U51" s="149"/>
      <c r="V51" s="149"/>
      <c r="AB51" t="str">
        <v>BIOSYN-LIPID-pmtcoa_c</v>
      </c>
      <c r="AC51" t="str">
        <v>MET-pmtcoa_c --&gt; 1.001911 BIO-pmtcoa_c</v>
      </c>
    </row>
    <row r="52" spans="1:29" ht="16" x14ac:dyDescent="0.2">
      <c r="A52" s="144" t="s">
        <v>1380</v>
      </c>
      <c r="B52" t="str">
        <f>SUBSTITUTE(_xlfn.TEXTBEFORE(mets272130[[#This Row],[pasted JSON metabolite keys and values from GSM biomass rxn]],":"),CHAR(34),"")</f>
        <v>odecoa_c</v>
      </c>
      <c r="C52" t="str">
        <f>_xlfn.TEXTBEFORE(mets272130[[#This Row],[name]],"_",-1)</f>
        <v>odecoa</v>
      </c>
      <c r="D52" t="str">
        <f>_xlfn.XLOOKUP(mets272130[[#This Row],[name w/o location]],metaboliteInfo[name w/o location],metaboliteInfo[suggested category],"")</f>
        <v>LIPID</v>
      </c>
      <c r="E52" s="21">
        <f>_xlfn.XLOOKUP(mets272130[[#This Row],[name w/o location]],metaboliteInfo[name w/o location],metaboliteInfo[MW for biomass normalization (g/mol)],0)</f>
        <v>1027.948443</v>
      </c>
      <c r="F52" s="21">
        <f>_xlfn.NUMBERVALUE(SUBSTITUTE(_xlfn.TEXTAFTER(mets272130[[#This Row],[pasted JSON metabolite keys and values from GSM biomass rxn]],":"),",",""))</f>
        <v>-1.53896847E-4</v>
      </c>
      <c r="G52" s="21" cm="1">
        <f t="array" ref="G52">_xlfn.LET(_xlpm.id,mets272130[[#This Row],[name w/o location]],IF(IsElementOfSet_DIY(_xlpm.id,{"atp","adp","h","pi","h2o"}),SIGN(mets272130[[#This Row],[raw (GSM) coefficient]])*(ABS(mets272130[[#This Row],[raw (GSM) coefficient]])-$J$2),mets272130[[#This Row],[raw (GSM) coefficient]]))</f>
        <v>-1.53896847E-4</v>
      </c>
      <c r="H52" s="21">
        <f>mets272130[[#This Row],[coeff. w/o GAM]]</f>
        <v>-1.53896847E-4</v>
      </c>
      <c r="I52" s="161">
        <f t="shared" si="0"/>
        <v>-1.5270409355073243E-4</v>
      </c>
      <c r="J52" s="21" cm="1">
        <f t="array" ref="J52">_xlfn.LET(_xlpm.id,mets272130[[#This Row],[name w/o location]],_xlpm.oldcoeff,mets272130[[#This Row],[normalized coeffs]],_xlpm.gam,$J$2-$G$2,_xlfn.IFS(IFERROR(MATCH(_xlpm.id,{"atp","h2o"},0),0)&gt;0,_xlpm.oldcoeff-_xlpm.gam,IFERROR(MATCH(_xlpm.id,{"adp","h","pi"},0),0)&gt;0,_xlpm.oldcoeff+_xlpm.gam,TRUE,_xlpm.oldcoeff))</f>
        <v>-1.5270409355073243E-4</v>
      </c>
      <c r="K52" t="str" cm="1">
        <f t="array" ref="K52">"BIOSYN-"&amp;_xlfn.IFS(IFERROR(MATCH(mets272130[[#This Row],[category]],{0,"0",""},0),0)&gt;0,mets272130[[#This Row],[name]],TRUE,mets272130[[#This Row],[category]]&amp;"-"&amp;mets272130[[#This Row],[name]])</f>
        <v>BIOSYN-LIPID-odecoa_c</v>
      </c>
      <c r="L52" s="149" t="str" cm="1">
        <f t="array" ref="L5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MET-odecoa_c --&gt; 1.027948 BIO-odecoa_c</v>
      </c>
      <c r="M52" s="149" cm="1">
        <f t="array" ref="M5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-3.5984095301516098E-4</v>
      </c>
      <c r="N52" s="149"/>
      <c r="O52" s="149"/>
      <c r="P52" s="149" t="str">
        <v>"ffabiom_c":0.001922</v>
      </c>
      <c r="R52" s="149" t="str">
        <v>"ffabiom_c":-0.001922</v>
      </c>
      <c r="S52" s="149"/>
      <c r="T52" s="149">
        <v>3.6138776999999997E-5</v>
      </c>
      <c r="U52" s="149"/>
      <c r="V52" s="149"/>
      <c r="AB52" t="str">
        <v>BIOSYN-LIPID-ps_c</v>
      </c>
      <c r="AC52" t="str">
        <v>MET-ps_c --&gt; 0.786079 BIO-ps_c</v>
      </c>
    </row>
    <row r="53" spans="1:29" ht="16" x14ac:dyDescent="0.2">
      <c r="A53" s="144" t="s">
        <v>1381</v>
      </c>
      <c r="B53" t="str">
        <f>SUBSTITUTE(_xlfn.TEXTBEFORE(mets272130[[#This Row],[pasted JSON metabolite keys and values from GSM biomass rxn]],":"),CHAR(34),"")</f>
        <v>pail_c</v>
      </c>
      <c r="C53" t="str">
        <f>_xlfn.TEXTBEFORE(mets272130[[#This Row],[name]],"_",-1)</f>
        <v>pail</v>
      </c>
      <c r="D53" t="str">
        <f>_xlfn.XLOOKUP(mets272130[[#This Row],[name w/o location]],metaboliteInfo[name w/o location],metaboliteInfo[suggested category],"")</f>
        <v>LIPID</v>
      </c>
      <c r="E53" s="21">
        <f>_xlfn.XLOOKUP(mets272130[[#This Row],[name w/o location]],metaboliteInfo[name w/o location],metaboliteInfo[MW for biomass normalization (g/mol)],0)</f>
        <v>862.14885442176001</v>
      </c>
      <c r="F53" s="21">
        <f>_xlfn.NUMBERVALUE(SUBSTITUTE(_xlfn.TEXTAFTER(mets272130[[#This Row],[pasted JSON metabolite keys and values from GSM biomass rxn]],":"),",",""))</f>
        <v>-9.7380000000000001E-3</v>
      </c>
      <c r="G53" s="21" cm="1">
        <f t="array" ref="G53">_xlfn.LET(_xlpm.id,mets272130[[#This Row],[name w/o location]],IF(IsElementOfSet_DIY(_xlpm.id,{"atp","adp","h","pi","h2o"}),SIGN(mets272130[[#This Row],[raw (GSM) coefficient]])*(ABS(mets272130[[#This Row],[raw (GSM) coefficient]])-$J$2),mets272130[[#This Row],[raw (GSM) coefficient]]))</f>
        <v>-9.7380000000000001E-3</v>
      </c>
      <c r="H53" s="21">
        <f>mets272130[[#This Row],[coeff. w/o GAM]]</f>
        <v>-9.7380000000000001E-3</v>
      </c>
      <c r="I53" s="161">
        <f t="shared" si="0"/>
        <v>-9.6625271536396867E-3</v>
      </c>
      <c r="J53" s="21" cm="1">
        <f t="array" ref="J53">_xlfn.LET(_xlpm.id,mets272130[[#This Row],[name w/o location]],_xlpm.oldcoeff,mets272130[[#This Row],[normalized coeffs]],_xlpm.gam,$J$2-$G$2,_xlfn.IFS(IFERROR(MATCH(_xlpm.id,{"atp","h2o"},0),0)&gt;0,_xlpm.oldcoeff-_xlpm.gam,IFERROR(MATCH(_xlpm.id,{"adp","h","pi"},0),0)&gt;0,_xlpm.oldcoeff+_xlpm.gam,TRUE,_xlpm.oldcoeff))</f>
        <v>-9.6625271536396867E-3</v>
      </c>
      <c r="K53" t="str" cm="1">
        <f t="array" ref="K53">"BIOSYN-"&amp;_xlfn.IFS(IFERROR(MATCH(mets272130[[#This Row],[category]],{0,"0",""},0),0)&gt;0,mets272130[[#This Row],[name]],TRUE,mets272130[[#This Row],[category]]&amp;"-"&amp;mets272130[[#This Row],[name]])</f>
        <v>BIOSYN-LIPID-pail_c</v>
      </c>
      <c r="L53" s="149" t="str" cm="1">
        <f t="array" ref="L5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MET-pail_c --&gt; 0.862149 BIO-pail_c</v>
      </c>
      <c r="M53" s="149" cm="1">
        <f t="array" ref="M5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-2.2769350176885934E-2</v>
      </c>
      <c r="N53" s="149"/>
      <c r="O53" s="149"/>
      <c r="P53" s="149" t="str">
        <v>"gln__L_c":0.321557</v>
      </c>
      <c r="R53" s="149" t="str">
        <v>"glntrna_c":-0.321557</v>
      </c>
      <c r="S53" s="149"/>
      <c r="T53" s="149">
        <v>7.4299999999999995E-4</v>
      </c>
      <c r="U53" s="149"/>
      <c r="V53" s="149"/>
      <c r="AB53" t="str">
        <v>BIOSYN-LIPID-stcoa_c</v>
      </c>
      <c r="AC53" t="str">
        <v>MET-stcoa_c --&gt; 1.029964 BIO-stcoa_c</v>
      </c>
    </row>
    <row r="54" spans="1:29" ht="16" x14ac:dyDescent="0.2">
      <c r="A54" s="144" t="s">
        <v>1347</v>
      </c>
      <c r="B54" t="str">
        <f>SUBSTITUTE(_xlfn.TEXTBEFORE(mets272130[[#This Row],[pasted JSON metabolite keys and values from GSM biomass rxn]],":"),CHAR(34),"")</f>
        <v>pc_c</v>
      </c>
      <c r="C54" t="str">
        <f>_xlfn.TEXTBEFORE(mets272130[[#This Row],[name]],"_",-1)</f>
        <v>pc</v>
      </c>
      <c r="D54" t="str">
        <f>_xlfn.XLOOKUP(mets272130[[#This Row],[name w/o location]],metaboliteInfo[name w/o location],metaboliteInfo[suggested category],"")</f>
        <v>LIPID</v>
      </c>
      <c r="E54" s="21">
        <f>_xlfn.XLOOKUP(mets272130[[#This Row],[name w/o location]],metaboliteInfo[name w/o location],metaboliteInfo[MW for biomass normalization (g/mol)],0)</f>
        <v>786.16573442176002</v>
      </c>
      <c r="F54" s="21">
        <f>_xlfn.NUMBERVALUE(SUBSTITUTE(_xlfn.TEXTAFTER(mets272130[[#This Row],[pasted JSON metabolite keys and values from GSM biomass rxn]],":"),",",""))</f>
        <v>-2.8783E-2</v>
      </c>
      <c r="G54" s="21" cm="1">
        <f t="array" ref="G54">_xlfn.LET(_xlpm.id,mets272130[[#This Row],[name w/o location]],IF(IsElementOfSet_DIY(_xlpm.id,{"atp","adp","h","pi","h2o"}),SIGN(mets272130[[#This Row],[raw (GSM) coefficient]])*(ABS(mets272130[[#This Row],[raw (GSM) coefficient]])-$J$2),mets272130[[#This Row],[raw (GSM) coefficient]]))</f>
        <v>-2.8783E-2</v>
      </c>
      <c r="H54" s="21">
        <f>mets272130[[#This Row],[coeff. w/o GAM]]</f>
        <v>-2.8783E-2</v>
      </c>
      <c r="I54" s="161">
        <f t="shared" si="0"/>
        <v>-2.8559921859027632E-2</v>
      </c>
      <c r="J54" s="21" cm="1">
        <f t="array" ref="J54">_xlfn.LET(_xlpm.id,mets272130[[#This Row],[name w/o location]],_xlpm.oldcoeff,mets272130[[#This Row],[normalized coeffs]],_xlpm.gam,$J$2-$G$2,_xlfn.IFS(IFERROR(MATCH(_xlpm.id,{"atp","h2o"},0),0)&gt;0,_xlpm.oldcoeff-_xlpm.gam,IFERROR(MATCH(_xlpm.id,{"adp","h","pi"},0),0)&gt;0,_xlpm.oldcoeff+_xlpm.gam,TRUE,_xlpm.oldcoeff))</f>
        <v>-2.8559921859027632E-2</v>
      </c>
      <c r="K54" t="str" cm="1">
        <f t="array" ref="K54">"BIOSYN-"&amp;_xlfn.IFS(IFERROR(MATCH(mets272130[[#This Row],[category]],{0,"0",""},0),0)&gt;0,mets272130[[#This Row],[name]],TRUE,mets272130[[#This Row],[category]]&amp;"-"&amp;mets272130[[#This Row],[name]])</f>
        <v>BIOSYN-LIPID-pc_c</v>
      </c>
      <c r="L54" s="149" t="str" cm="1">
        <f t="array" ref="L5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MET-pc_c --&gt; 0.786166 BIO-pc_c</v>
      </c>
      <c r="M54" s="149" cm="1">
        <f t="array" ref="M5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-6.7300288164028318E-2</v>
      </c>
      <c r="N54" s="149"/>
      <c r="O54" s="149"/>
      <c r="P54" s="149" t="str">
        <v>"glu__L_c":0.321557</v>
      </c>
      <c r="R54" s="149" t="str">
        <v>"glutrna_c":-0.321557</v>
      </c>
      <c r="S54" s="149"/>
      <c r="T54" s="149">
        <v>7.4299999999999995E-4</v>
      </c>
      <c r="U54" s="149"/>
      <c r="V54" s="149"/>
      <c r="AB54" t="str">
        <v>BIOSYN-LIPID-tag_c</v>
      </c>
      <c r="AC54" t="str">
        <v>MET-tag_c --&gt; 0.885513 BIO-tag_c</v>
      </c>
    </row>
    <row r="55" spans="1:29" ht="16" x14ac:dyDescent="0.2">
      <c r="A55" s="144" t="s">
        <v>1348</v>
      </c>
      <c r="B55" t="str">
        <f>SUBSTITUTE(_xlfn.TEXTBEFORE(mets272130[[#This Row],[pasted JSON metabolite keys and values from GSM biomass rxn]],":"),CHAR(34),"")</f>
        <v>pe_c</v>
      </c>
      <c r="C55" t="str">
        <f>_xlfn.TEXTBEFORE(mets272130[[#This Row],[name]],"_",-1)</f>
        <v>pe</v>
      </c>
      <c r="D55" t="str">
        <f>_xlfn.XLOOKUP(mets272130[[#This Row],[name w/o location]],metaboliteInfo[name w/o location],metaboliteInfo[suggested category],"")</f>
        <v>LIPID</v>
      </c>
      <c r="E55" s="21">
        <f>_xlfn.XLOOKUP(mets272130[[#This Row],[name w/o location]],metaboliteInfo[name w/o location],metaboliteInfo[MW for biomass normalization (g/mol)],0)</f>
        <v>744.08599442176001</v>
      </c>
      <c r="F55" s="21">
        <f>_xlfn.NUMBERVALUE(SUBSTITUTE(_xlfn.TEXTAFTER(mets272130[[#This Row],[pasted JSON metabolite keys and values from GSM biomass rxn]],":"),",",""))</f>
        <v>-7.7200000000000003E-3</v>
      </c>
      <c r="G55" s="21" cm="1">
        <f t="array" ref="G55">_xlfn.LET(_xlpm.id,mets272130[[#This Row],[name w/o location]],IF(IsElementOfSet_DIY(_xlpm.id,{"atp","adp","h","pi","h2o"}),SIGN(mets272130[[#This Row],[raw (GSM) coefficient]])*(ABS(mets272130[[#This Row],[raw (GSM) coefficient]])-$J$2),mets272130[[#This Row],[raw (GSM) coefficient]]))</f>
        <v>-7.7200000000000003E-3</v>
      </c>
      <c r="H55" s="21">
        <f>mets272130[[#This Row],[coeff. w/o GAM]]</f>
        <v>-7.7200000000000003E-3</v>
      </c>
      <c r="I55" s="161">
        <f t="shared" si="0"/>
        <v>-7.6601673471039626E-3</v>
      </c>
      <c r="J55" s="21" cm="1">
        <f t="array" ref="J55">_xlfn.LET(_xlpm.id,mets272130[[#This Row],[name w/o location]],_xlpm.oldcoeff,mets272130[[#This Row],[normalized coeffs]],_xlpm.gam,$J$2-$G$2,_xlfn.IFS(IFERROR(MATCH(_xlpm.id,{"atp","h2o"},0),0)&gt;0,_xlpm.oldcoeff-_xlpm.gam,IFERROR(MATCH(_xlpm.id,{"adp","h","pi"},0),0)&gt;0,_xlpm.oldcoeff+_xlpm.gam,TRUE,_xlpm.oldcoeff))</f>
        <v>-7.6601673471039626E-3</v>
      </c>
      <c r="K55" t="str" cm="1">
        <f t="array" ref="K55">"BIOSYN-"&amp;_xlfn.IFS(IFERROR(MATCH(mets272130[[#This Row],[category]],{0,"0",""},0),0)&gt;0,mets272130[[#This Row],[name]],TRUE,mets272130[[#This Row],[category]]&amp;"-"&amp;mets272130[[#This Row],[name]])</f>
        <v>BIOSYN-LIPID-pe_c</v>
      </c>
      <c r="L55" s="149" t="str" cm="1">
        <f t="array" ref="L5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MET-pe_c --&gt; 0.744086 BIO-pe_c</v>
      </c>
      <c r="M55" s="149" cm="1">
        <f t="array" ref="M5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-1.8050871160973446E-2</v>
      </c>
      <c r="N55" s="149"/>
      <c r="O55" s="149"/>
      <c r="P55" s="149" t="str">
        <v>"gly_c":0.369334</v>
      </c>
      <c r="R55" s="149" t="str">
        <v>"gly_c":-0.369334</v>
      </c>
      <c r="S55" s="149"/>
      <c r="T55" s="149">
        <v>7.4299999999999995E-4</v>
      </c>
      <c r="U55" s="149"/>
      <c r="V55" s="149"/>
      <c r="AB55" t="str">
        <v>BIOSYN-LIPID-ttccoa_c</v>
      </c>
      <c r="AC55" t="str">
        <v>MET-ttccoa_c --&gt; 1.114124 BIO-ttccoa_c</v>
      </c>
    </row>
    <row r="56" spans="1:29" ht="16" x14ac:dyDescent="0.2">
      <c r="A56" s="144" t="s">
        <v>1349</v>
      </c>
      <c r="B56" t="str">
        <f>SUBSTITUTE(_xlfn.TEXTBEFORE(mets272130[[#This Row],[pasted JSON metabolite keys and values from GSM biomass rxn]],":"),CHAR(34),"")</f>
        <v>phetrna_c</v>
      </c>
      <c r="C56" t="str">
        <f>_xlfn.TEXTBEFORE(mets272130[[#This Row],[name]],"_",-1)</f>
        <v>phetrna</v>
      </c>
      <c r="D56" t="str">
        <f>_xlfn.XLOOKUP(mets272130[[#This Row],[name w/o location]],metaboliteInfo[name w/o location],metaboliteInfo[suggested category],"")</f>
        <v>PROT</v>
      </c>
      <c r="E56" s="21">
        <f>_xlfn.XLOOKUP(mets272130[[#This Row],[name w/o location]],metaboliteInfo[name w/o location],metaboliteInfo[MW for biomass normalization (g/mol)],0)</f>
        <v>148.18180000000001</v>
      </c>
      <c r="F56" s="21">
        <f>_xlfn.NUMBERVALUE(SUBSTITUTE(_xlfn.TEXTAFTER(mets272130[[#This Row],[pasted JSON metabolite keys and values from GSM biomass rxn]],":"),",",""))</f>
        <v>-0.15620899999999999</v>
      </c>
      <c r="G56" s="21" cm="1">
        <f t="array" ref="G56">_xlfn.LET(_xlpm.id,mets272130[[#This Row],[name w/o location]],IF(IsElementOfSet_DIY(_xlpm.id,{"atp","adp","h","pi","h2o"}),SIGN(mets272130[[#This Row],[raw (GSM) coefficient]])*(ABS(mets272130[[#This Row],[raw (GSM) coefficient]])-$J$2),mets272130[[#This Row],[raw (GSM) coefficient]]))</f>
        <v>-0.15620899999999999</v>
      </c>
      <c r="H56" s="21">
        <f>mets272130[[#This Row],[coeff. w/o GAM]]</f>
        <v>-0.15620899999999999</v>
      </c>
      <c r="I56" s="161">
        <f t="shared" si="0"/>
        <v>-0.15499832657043558</v>
      </c>
      <c r="J56" s="21" cm="1">
        <f t="array" ref="J56">_xlfn.LET(_xlpm.id,mets272130[[#This Row],[name w/o location]],_xlpm.oldcoeff,mets272130[[#This Row],[normalized coeffs]],_xlpm.gam,$J$2-$G$2,_xlfn.IFS(IFERROR(MATCH(_xlpm.id,{"atp","h2o"},0),0)&gt;0,_xlpm.oldcoeff-_xlpm.gam,IFERROR(MATCH(_xlpm.id,{"adp","h","pi"},0),0)&gt;0,_xlpm.oldcoeff+_xlpm.gam,TRUE,_xlpm.oldcoeff))</f>
        <v>-0.15499832657043558</v>
      </c>
      <c r="K56" t="str" cm="1">
        <f t="array" ref="K56">"BIOSYN-"&amp;_xlfn.IFS(IFERROR(MATCH(mets272130[[#This Row],[category]],{0,"0",""},0),0)&gt;0,mets272130[[#This Row],[name]],TRUE,mets272130[[#This Row],[category]]&amp;"-"&amp;mets272130[[#This Row],[name]])</f>
        <v>BIOSYN-PROT-phetrna_c</v>
      </c>
      <c r="L56" s="149" t="str" cm="1">
        <f t="array" ref="L5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56" s="149" cm="1">
        <f t="array" ref="M5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-6.6569794103969127E-2</v>
      </c>
      <c r="N56" s="149"/>
      <c r="O56" s="149"/>
      <c r="P56" s="149" t="str">
        <v>"glycogen_c":0.234811</v>
      </c>
      <c r="R56" s="149" t="str">
        <v>"glycogen_c":-0.234811</v>
      </c>
      <c r="S56" s="149"/>
      <c r="T56" s="149"/>
      <c r="U56" s="149"/>
      <c r="V56" s="149"/>
      <c r="AB56" t="str">
        <v>BIOSYN-METAL-ca2_c</v>
      </c>
      <c r="AC56" t="str">
        <v>MET-ca2_c --&gt; 0.040078 BIO-ca2_c</v>
      </c>
    </row>
    <row r="57" spans="1:29" ht="16" x14ac:dyDescent="0.2">
      <c r="A57" s="144" t="s">
        <v>1315</v>
      </c>
      <c r="B57" t="str">
        <f>SUBSTITUTE(_xlfn.TEXTBEFORE(mets272130[[#This Row],[pasted JSON metabolite keys and values from GSM biomass rxn]],":"),CHAR(34),"")</f>
        <v>pi_c</v>
      </c>
      <c r="C57" t="str">
        <f>_xlfn.TEXTBEFORE(mets272130[[#This Row],[name]],"_",-1)</f>
        <v>pi</v>
      </c>
      <c r="D57" t="str">
        <f>_xlfn.XLOOKUP(mets272130[[#This Row],[name w/o location]],metaboliteInfo[name w/o location],metaboliteInfo[suggested category],"")</f>
        <v>PI</v>
      </c>
      <c r="E57" s="21">
        <f>_xlfn.XLOOKUP(mets272130[[#This Row],[name w/o location]],metaboliteInfo[name w/o location],metaboliteInfo[MW for biomass normalization (g/mol)],0)</f>
        <v>95.979301000000007</v>
      </c>
      <c r="F57" s="21">
        <f>_xlfn.NUMBERVALUE(SUBSTITUTE(_xlfn.TEXTAFTER(mets272130[[#This Row],[pasted JSON metabolite keys and values from GSM biomass rxn]],":"),",",""))</f>
        <v>190.47333499999999</v>
      </c>
      <c r="G57" s="21" cm="1">
        <f t="array" ref="G57">_xlfn.LET(_xlpm.id,mets272130[[#This Row],[name w/o location]],IF(IsElementOfSet_DIY(_xlpm.id,{"atp","adp","h","pi","h2o"}),SIGN(mets272130[[#This Row],[raw (GSM) coefficient]])*(ABS(mets272130[[#This Row],[raw (GSM) coefficient]])-$J$2),mets272130[[#This Row],[raw (GSM) coefficient]]))</f>
        <v>-0.10565500000001293</v>
      </c>
      <c r="H57" s="21">
        <f>mets272130[[#This Row],[coeff. w/o GAM]]</f>
        <v>-0.10565500000001293</v>
      </c>
      <c r="I57" s="161">
        <f t="shared" si="0"/>
        <v>-0.10483613744279381</v>
      </c>
      <c r="J57" s="21" cm="1">
        <f t="array" ref="J57">_xlfn.LET(_xlpm.id,mets272130[[#This Row],[name w/o location]],_xlpm.oldcoeff,mets272130[[#This Row],[normalized coeffs]],_xlpm.gam,$J$2-$G$2,_xlfn.IFS(IFERROR(MATCH(_xlpm.id,{"atp","h2o"},0),0)&gt;0,_xlpm.oldcoeff-_xlpm.gam,IFERROR(MATCH(_xlpm.id,{"adp","h","pi"},0),0)&gt;0,_xlpm.oldcoeff+_xlpm.gam,TRUE,_xlpm.oldcoeff))</f>
        <v>187.20201503624136</v>
      </c>
      <c r="K57" t="str" cm="1">
        <f t="array" ref="K57">"BIOSYN-"&amp;_xlfn.IFS(IFERROR(MATCH(mets272130[[#This Row],[category]],{0,"0",""},0),0)&gt;0,mets272130[[#This Row],[name]],TRUE,mets272130[[#This Row],[category]]&amp;"-"&amp;mets272130[[#This Row],[name]])</f>
        <v>BIOSYN-PI-pi_c</v>
      </c>
      <c r="L57" s="149" t="str" cm="1">
        <f t="array" ref="L5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MET-pi_c --&gt; 0.095979 BIO-pi_c</v>
      </c>
      <c r="M57" s="149" cm="1">
        <f t="array" ref="M5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190.43685216722292</v>
      </c>
      <c r="N57" s="149"/>
      <c r="O57" s="149"/>
      <c r="P57" s="149" t="str">
        <v>"gtp_c":0.104534</v>
      </c>
      <c r="R57" s="149" t="str">
        <v>"gtp_c":-0.104534</v>
      </c>
      <c r="S57" s="149"/>
      <c r="T57" s="149"/>
      <c r="U57" s="149"/>
      <c r="V57" s="149"/>
      <c r="AB57" t="str">
        <v>BIOSYN-METAL-cu2_c</v>
      </c>
      <c r="AC57" t="str">
        <v>MET-cu2_c --&gt; 0.063546 BIO-cu2_c</v>
      </c>
    </row>
    <row r="58" spans="1:29" ht="16" x14ac:dyDescent="0.2">
      <c r="A58" s="144" t="s">
        <v>1382</v>
      </c>
      <c r="B58" t="str">
        <f>SUBSTITUTE(_xlfn.TEXTBEFORE(mets272130[[#This Row],[pasted JSON metabolite keys and values from GSM biomass rxn]],":"),CHAR(34),"")</f>
        <v>pmtcoa_c</v>
      </c>
      <c r="C58" t="str">
        <f>_xlfn.TEXTBEFORE(mets272130[[#This Row],[name]],"_",-1)</f>
        <v>pmtcoa</v>
      </c>
      <c r="D58" t="str">
        <f>_xlfn.XLOOKUP(mets272130[[#This Row],[name w/o location]],metaboliteInfo[name w/o location],metaboliteInfo[suggested category],"")</f>
        <v>LIPID</v>
      </c>
      <c r="E58" s="21">
        <f>_xlfn.XLOOKUP(mets272130[[#This Row],[name w/o location]],metaboliteInfo[name w/o location],metaboliteInfo[MW for biomass normalization (g/mol)],0)</f>
        <v>1001.911163</v>
      </c>
      <c r="F58" s="21">
        <f>_xlfn.NUMBERVALUE(SUBSTITUTE(_xlfn.TEXTAFTER(mets272130[[#This Row],[pasted JSON metabolite keys and values from GSM biomass rxn]],":"),",",""))</f>
        <v>-2.1258641999999999E-3</v>
      </c>
      <c r="G58" s="21" cm="1">
        <f t="array" ref="G58">_xlfn.LET(_xlpm.id,mets272130[[#This Row],[name w/o location]],IF(IsElementOfSet_DIY(_xlpm.id,{"atp","adp","h","pi","h2o"}),SIGN(mets272130[[#This Row],[raw (GSM) coefficient]])*(ABS(mets272130[[#This Row],[raw (GSM) coefficient]])-$J$2),mets272130[[#This Row],[raw (GSM) coefficient]]))</f>
        <v>-2.1258641999999999E-3</v>
      </c>
      <c r="H58" s="21">
        <f>mets272130[[#This Row],[coeff. w/o GAM]]</f>
        <v>-2.1258641999999999E-3</v>
      </c>
      <c r="I58" s="161">
        <f t="shared" si="0"/>
        <v>-2.1093880219193377E-3</v>
      </c>
      <c r="J58" s="21" cm="1">
        <f t="array" ref="J58">_xlfn.LET(_xlpm.id,mets272130[[#This Row],[name w/o location]],_xlpm.oldcoeff,mets272130[[#This Row],[normalized coeffs]],_xlpm.gam,$J$2-$G$2,_xlfn.IFS(IFERROR(MATCH(_xlpm.id,{"atp","h2o"},0),0)&gt;0,_xlpm.oldcoeff-_xlpm.gam,IFERROR(MATCH(_xlpm.id,{"adp","h","pi"},0),0)&gt;0,_xlpm.oldcoeff+_xlpm.gam,TRUE,_xlpm.oldcoeff))</f>
        <v>-2.1093880219193377E-3</v>
      </c>
      <c r="K58" t="str" cm="1">
        <f t="array" ref="K58">"BIOSYN-"&amp;_xlfn.IFS(IFERROR(MATCH(mets272130[[#This Row],[category]],{0,"0",""},0),0)&gt;0,mets272130[[#This Row],[name]],TRUE,mets272130[[#This Row],[category]]&amp;"-"&amp;mets272130[[#This Row],[name]])</f>
        <v>BIOSYN-LIPID-pmtcoa_c</v>
      </c>
      <c r="L58" s="149" t="str" cm="1">
        <f t="array" ref="L5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MET-pmtcoa_c --&gt; 1.001911 BIO-pmtcoa_c</v>
      </c>
      <c r="M58" s="149" cm="1">
        <f t="array" ref="M5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-4.970686629524078E-3</v>
      </c>
      <c r="N58" s="149"/>
      <c r="O58" s="149"/>
      <c r="P58" s="149" t="str">
        <v>"h2o_c":186.43364699999998</v>
      </c>
      <c r="R58" s="149" t="str">
        <v>"h2o_c":-186.43364699999998</v>
      </c>
      <c r="S58" s="149"/>
      <c r="T58" s="149"/>
      <c r="U58" s="149"/>
      <c r="V58" s="149"/>
      <c r="AB58" t="str">
        <v>BIOSYN-METAL-fe2_c</v>
      </c>
      <c r="AC58" t="str">
        <v>MET-fe2_c --&gt; 0.055845 BIO-fe2_c</v>
      </c>
    </row>
    <row r="59" spans="1:29" ht="16" x14ac:dyDescent="0.2">
      <c r="A59" s="144" t="s">
        <v>1316</v>
      </c>
      <c r="B59" t="str">
        <f>SUBSTITUTE(_xlfn.TEXTBEFORE(mets272130[[#This Row],[pasted JSON metabolite keys and values from GSM biomass rxn]],":"),CHAR(34),"")</f>
        <v>ppi_c</v>
      </c>
      <c r="C59" t="str">
        <f>_xlfn.TEXTBEFORE(mets272130[[#This Row],[name]],"_",-1)</f>
        <v>ppi</v>
      </c>
      <c r="D59">
        <f>_xlfn.XLOOKUP(mets272130[[#This Row],[name w/o location]],metaboliteInfo[name w/o location],metaboliteInfo[suggested category],"")</f>
        <v>0</v>
      </c>
      <c r="E59" s="21">
        <f>_xlfn.XLOOKUP(mets272130[[#This Row],[name w/o location]],metaboliteInfo[name w/o location],metaboliteInfo[MW for biomass normalization (g/mol)],0)</f>
        <v>174.95126200000001</v>
      </c>
      <c r="F59" s="21">
        <f>_xlfn.NUMBERVALUE(SUBSTITUTE(_xlfn.TEXTAFTER(mets272130[[#This Row],[pasted JSON metabolite keys and values from GSM biomass rxn]],":"),",",""))</f>
        <v>0.38549499999999998</v>
      </c>
      <c r="G59" s="21" cm="1">
        <f t="array" ref="G59">_xlfn.LET(_xlpm.id,mets272130[[#This Row],[name w/o location]],IF(IsElementOfSet_DIY(_xlpm.id,{"atp","adp","h","pi","h2o"}),SIGN(mets272130[[#This Row],[raw (GSM) coefficient]])*(ABS(mets272130[[#This Row],[raw (GSM) coefficient]])-$J$2),mets272130[[#This Row],[raw (GSM) coefficient]]))</f>
        <v>0.38549499999999998</v>
      </c>
      <c r="H59" s="21">
        <f>mets272130[[#This Row],[coeff. w/o GAM]]</f>
        <v>0.38549499999999998</v>
      </c>
      <c r="I59" s="161">
        <f t="shared" si="0"/>
        <v>0.38250728127873596</v>
      </c>
      <c r="J59" s="21" cm="1">
        <f t="array" ref="J59">_xlfn.LET(_xlpm.id,mets272130[[#This Row],[name w/o location]],_xlpm.oldcoeff,mets272130[[#This Row],[normalized coeffs]],_xlpm.gam,$J$2-$G$2,_xlfn.IFS(IFERROR(MATCH(_xlpm.id,{"atp","h2o"},0),0)&gt;0,_xlpm.oldcoeff-_xlpm.gam,IFERROR(MATCH(_xlpm.id,{"adp","h","pi"},0),0)&gt;0,_xlpm.oldcoeff+_xlpm.gam,TRUE,_xlpm.oldcoeff))</f>
        <v>0.38250728127873596</v>
      </c>
      <c r="K59" t="str" cm="1">
        <f t="array" ref="K59">"BIOSYN-"&amp;_xlfn.IFS(IFERROR(MATCH(mets272130[[#This Row],[category]],{0,"0",""},0),0)&gt;0,mets272130[[#This Row],[name]],TRUE,mets272130[[#This Row],[category]]&amp;"-"&amp;mets272130[[#This Row],[name]])</f>
        <v>BIOSYN-ppi_c</v>
      </c>
      <c r="L59" s="149" t="str" cm="1">
        <f t="array" ref="L5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MET-ppi_c --&gt; 0.174951 BIO-ppi_c</v>
      </c>
      <c r="M59" s="149" cm="1">
        <f t="array" ref="M5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0.51860701193881187</v>
      </c>
      <c r="N59" s="149"/>
      <c r="O59" s="149"/>
      <c r="P59" s="149" t="str">
        <v>"his__L_c":0.080182</v>
      </c>
      <c r="R59" s="149" t="str">
        <v>"histrna_c":-0.080182</v>
      </c>
      <c r="S59" s="149" t="s">
        <v>1416</v>
      </c>
      <c r="T59" s="149">
        <f>(1-T67)/(1-S67)</f>
        <v>0.98206425501775463</v>
      </c>
      <c r="V59" s="149"/>
      <c r="AB59" t="str">
        <v>BIOSYN-METAL-k_c</v>
      </c>
      <c r="AC59" t="str">
        <v>MET-k_c --&gt; 0.039098 BIO-k_c</v>
      </c>
    </row>
    <row r="60" spans="1:29" ht="16" x14ac:dyDescent="0.2">
      <c r="A60" s="144" t="s">
        <v>1350</v>
      </c>
      <c r="B60" t="str">
        <f>SUBSTITUTE(_xlfn.TEXTBEFORE(mets272130[[#This Row],[pasted JSON metabolite keys and values from GSM biomass rxn]],":"),CHAR(34),"")</f>
        <v>protrna_c</v>
      </c>
      <c r="C60" t="str">
        <f>_xlfn.TEXTBEFORE(mets272130[[#This Row],[name]],"_",-1)</f>
        <v>protrna</v>
      </c>
      <c r="D60" t="str">
        <f>_xlfn.XLOOKUP(mets272130[[#This Row],[name w/o location]],metaboliteInfo[name w/o location],metaboliteInfo[suggested category],"")</f>
        <v>PROT</v>
      </c>
      <c r="E60" s="21">
        <f>_xlfn.XLOOKUP(mets272130[[#This Row],[name w/o location]],metaboliteInfo[name w/o location],metaboliteInfo[MW for biomass normalization (g/mol)],0)</f>
        <v>97.115179999999995</v>
      </c>
      <c r="F60" s="21">
        <f>_xlfn.NUMBERVALUE(SUBSTITUTE(_xlfn.TEXTAFTER(mets272130[[#This Row],[pasted JSON metabolite keys and values from GSM biomass rxn]],":"),",",""))</f>
        <v>-0.175319</v>
      </c>
      <c r="G60" s="21" cm="1">
        <f t="array" ref="G60">_xlfn.LET(_xlpm.id,mets272130[[#This Row],[name w/o location]],IF(IsElementOfSet_DIY(_xlpm.id,{"atp","adp","h","pi","h2o"}),SIGN(mets272130[[#This Row],[raw (GSM) coefficient]])*(ABS(mets272130[[#This Row],[raw (GSM) coefficient]])-$J$2),mets272130[[#This Row],[raw (GSM) coefficient]]))</f>
        <v>-0.175319</v>
      </c>
      <c r="H60" s="21">
        <f>mets272130[[#This Row],[coeff. w/o GAM]]</f>
        <v>-0.175319</v>
      </c>
      <c r="I60" s="161">
        <f t="shared" si="0"/>
        <v>-0.17396021750348697</v>
      </c>
      <c r="J60" s="21" cm="1">
        <f t="array" ref="J60">_xlfn.LET(_xlpm.id,mets272130[[#This Row],[name w/o location]],_xlpm.oldcoeff,mets272130[[#This Row],[normalized coeffs]],_xlpm.gam,$J$2-$G$2,_xlfn.IFS(IFERROR(MATCH(_xlpm.id,{"atp","h2o"},0),0)&gt;0,_xlpm.oldcoeff-_xlpm.gam,IFERROR(MATCH(_xlpm.id,{"adp","h","pi"},0),0)&gt;0,_xlpm.oldcoeff+_xlpm.gam,TRUE,_xlpm.oldcoeff))</f>
        <v>-0.17396021750348697</v>
      </c>
      <c r="K60" t="str" cm="1">
        <f t="array" ref="K60">"BIOSYN-"&amp;_xlfn.IFS(IFERROR(MATCH(mets272130[[#This Row],[category]],{0,"0",""},0),0)&gt;0,mets272130[[#This Row],[name]],TRUE,mets272130[[#This Row],[category]]&amp;"-"&amp;mets272130[[#This Row],[name]])</f>
        <v>BIOSYN-PROT-protrna_c</v>
      </c>
      <c r="L60" s="149" t="str" cm="1">
        <f t="array" ref="L6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60" s="149" cm="1">
        <f t="array" ref="M6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-7.4713683158548899E-2</v>
      </c>
      <c r="N60" s="149"/>
      <c r="O60" s="149"/>
      <c r="P60" s="149" t="str">
        <v>"ile__L_c":0.244699</v>
      </c>
      <c r="R60" s="149" t="str">
        <v>"iletrna_c":-0.244699</v>
      </c>
      <c r="S60" s="173">
        <v>0.30578393847914032</v>
      </c>
      <c r="T60" s="149">
        <f>S60*$T$59</f>
        <v>0.30029947573891186</v>
      </c>
      <c r="U60" cm="1">
        <f t="array" ref="U60:U69">IF(T60:T69&lt;&gt;"",T60:T69,S60:S69)</f>
        <v>0.30029947573891186</v>
      </c>
      <c r="V60" cm="1">
        <f t="array" ref="V60:V69">_xlfn.ANCHORARRAY(U60)/SUM(_xlfn.ANCHORARRAY(U60))</f>
        <v>0.30029947573891191</v>
      </c>
      <c r="AB60" t="str">
        <v>BIOSYN-METAL-mg2_c</v>
      </c>
      <c r="AC60" t="str">
        <v>MET-mg2_c --&gt; 0.024305 BIO-mg2_c</v>
      </c>
    </row>
    <row r="61" spans="1:29" ht="16" x14ac:dyDescent="0.2">
      <c r="A61" s="144" t="s">
        <v>1351</v>
      </c>
      <c r="B61" t="str">
        <f>SUBSTITUTE(_xlfn.TEXTBEFORE(mets272130[[#This Row],[pasted JSON metabolite keys and values from GSM biomass rxn]],":"),CHAR(34),"")</f>
        <v>ps_c</v>
      </c>
      <c r="C61" t="str">
        <f>_xlfn.TEXTBEFORE(mets272130[[#This Row],[name]],"_",-1)</f>
        <v>ps</v>
      </c>
      <c r="D61" t="str">
        <f>_xlfn.XLOOKUP(mets272130[[#This Row],[name w/o location]],metaboliteInfo[name w/o location],metaboliteInfo[suggested category],"")</f>
        <v>LIPID</v>
      </c>
      <c r="E61" s="21">
        <f>_xlfn.XLOOKUP(mets272130[[#This Row],[name w/o location]],metaboliteInfo[name w/o location],metaboliteInfo[MW for biomass normalization (g/mol)],0)</f>
        <v>786.07881442175994</v>
      </c>
      <c r="F61" s="21">
        <f>_xlfn.NUMBERVALUE(SUBSTITUTE(_xlfn.TEXTAFTER(mets272130[[#This Row],[pasted JSON metabolite keys and values from GSM biomass rxn]],":"),",",""))</f>
        <v>-6.6429999999999996E-3</v>
      </c>
      <c r="G61" s="21" cm="1">
        <f t="array" ref="G61">_xlfn.LET(_xlpm.id,mets272130[[#This Row],[name w/o location]],IF(IsElementOfSet_DIY(_xlpm.id,{"atp","adp","h","pi","h2o"}),SIGN(mets272130[[#This Row],[raw (GSM) coefficient]])*(ABS(mets272130[[#This Row],[raw (GSM) coefficient]])-$J$2),mets272130[[#This Row],[raw (GSM) coefficient]]))</f>
        <v>-6.6429999999999996E-3</v>
      </c>
      <c r="H61" s="21">
        <f>mets272130[[#This Row],[coeff. w/o GAM]]</f>
        <v>-6.6429999999999996E-3</v>
      </c>
      <c r="I61" s="161">
        <f t="shared" si="0"/>
        <v>-6.5915144672035776E-3</v>
      </c>
      <c r="J61" s="21" cm="1">
        <f t="array" ref="J61">_xlfn.LET(_xlpm.id,mets272130[[#This Row],[name w/o location]],_xlpm.oldcoeff,mets272130[[#This Row],[normalized coeffs]],_xlpm.gam,$J$2-$G$2,_xlfn.IFS(IFERROR(MATCH(_xlpm.id,{"atp","h2o"},0),0)&gt;0,_xlpm.oldcoeff-_xlpm.gam,IFERROR(MATCH(_xlpm.id,{"adp","h","pi"},0),0)&gt;0,_xlpm.oldcoeff+_xlpm.gam,TRUE,_xlpm.oldcoeff))</f>
        <v>-6.5915144672035776E-3</v>
      </c>
      <c r="K61" t="str" cm="1">
        <f t="array" ref="K61">"BIOSYN-"&amp;_xlfn.IFS(IFERROR(MATCH(mets272130[[#This Row],[category]],{0,"0",""},0),0)&gt;0,mets272130[[#This Row],[name]],TRUE,mets272130[[#This Row],[category]]&amp;"-"&amp;mets272130[[#This Row],[name]])</f>
        <v>BIOSYN-LIPID-ps_c</v>
      </c>
      <c r="L61" s="149" t="str" cm="1">
        <f t="array" ref="L6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MET-ps_c --&gt; 0.786079 BIO-ps_c</v>
      </c>
      <c r="M61" s="149" cm="1">
        <f t="array" ref="M6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-1.5532634342272875E-2</v>
      </c>
      <c r="N61" s="149"/>
      <c r="O61" s="149"/>
      <c r="P61" s="149" t="str">
        <v>"ipcbiom_c":0.005176</v>
      </c>
      <c r="R61" s="149" t="str">
        <v>"ipcbiom_c":-0.005176</v>
      </c>
      <c r="S61" s="174">
        <v>-3.5902250681999095E-3</v>
      </c>
      <c r="T61" s="149">
        <f t="shared" ref="T61:T66" si="2">S61*$T$59</f>
        <v>-3.5258317069478116E-3</v>
      </c>
      <c r="U61">
        <v>-3.5258317069478116E-3</v>
      </c>
      <c r="V61" s="149">
        <v>-3.525831706947812E-3</v>
      </c>
      <c r="AB61" t="str">
        <v>BIOSYN-METAL-mn2_c</v>
      </c>
      <c r="AC61" t="str">
        <v>MET-mn2_c --&gt; 0.054938 BIO-mn2_c</v>
      </c>
    </row>
    <row r="62" spans="1:29" ht="16" x14ac:dyDescent="0.2">
      <c r="A62" s="144" t="s">
        <v>1404</v>
      </c>
      <c r="B62" t="str">
        <f>SUBSTITUTE(_xlfn.TEXTBEFORE(mets272130[[#This Row],[pasted JSON metabolite keys and values from GSM biomass rxn]],":"),CHAR(34),"")</f>
        <v>sertrna_c</v>
      </c>
      <c r="C62" t="str">
        <f>_xlfn.TEXTBEFORE(mets272130[[#This Row],[name]],"_",-1)</f>
        <v>sertrna</v>
      </c>
      <c r="D62" t="str">
        <f>_xlfn.XLOOKUP(mets272130[[#This Row],[name w/o location]],metaboliteInfo[name w/o location],metaboliteInfo[suggested category],"")</f>
        <v>PROT</v>
      </c>
      <c r="E62" s="21">
        <f>_xlfn.XLOOKUP(mets272130[[#This Row],[name w/o location]],metaboliteInfo[name w/o location],metaboliteInfo[MW for biomass normalization (g/mol)],0)</f>
        <v>88.085239999999999</v>
      </c>
      <c r="F62" s="21">
        <f>_xlfn.NUMBERVALUE(SUBSTITUTE(_xlfn.TEXTAFTER(mets272130[[#This Row],[pasted JSON metabolite keys and values from GSM biomass rxn]],":"),",",""))</f>
        <v>-0.22343399999999999</v>
      </c>
      <c r="G62" s="21" cm="1">
        <f t="array" ref="G62">_xlfn.LET(_xlpm.id,mets272130[[#This Row],[name w/o location]],IF(IsElementOfSet_DIY(_xlpm.id,{"atp","adp","h","pi","h2o"}),SIGN(mets272130[[#This Row],[raw (GSM) coefficient]])*(ABS(mets272130[[#This Row],[raw (GSM) coefficient]])-$J$2),mets272130[[#This Row],[raw (GSM) coefficient]]))</f>
        <v>-0.22343399999999999</v>
      </c>
      <c r="H62" s="21">
        <f>mets272130[[#This Row],[coeff. w/o GAM]]</f>
        <v>-0.22343399999999999</v>
      </c>
      <c r="I62" s="161">
        <f t="shared" si="0"/>
        <v>-0.22170230971927807</v>
      </c>
      <c r="J62" s="21" cm="1">
        <f t="array" ref="J62">_xlfn.LET(_xlpm.id,mets272130[[#This Row],[name w/o location]],_xlpm.oldcoeff,mets272130[[#This Row],[normalized coeffs]],_xlpm.gam,$J$2-$G$2,_xlfn.IFS(IFERROR(MATCH(_xlpm.id,{"atp","h2o"},0),0)&gt;0,_xlpm.oldcoeff-_xlpm.gam,IFERROR(MATCH(_xlpm.id,{"adp","h","pi"},0),0)&gt;0,_xlpm.oldcoeff+_xlpm.gam,TRUE,_xlpm.oldcoeff))</f>
        <v>-0.22170230971927807</v>
      </c>
      <c r="K62" t="str" cm="1">
        <f t="array" ref="K62">"BIOSYN-"&amp;_xlfn.IFS(IFERROR(MATCH(mets272130[[#This Row],[category]],{0,"0",""},0),0)&gt;0,mets272130[[#This Row],[name]],TRUE,mets272130[[#This Row],[category]]&amp;"-"&amp;mets272130[[#This Row],[name]])</f>
        <v>BIOSYN-PROT-sertrna_c</v>
      </c>
      <c r="L62" s="149" t="str" cm="1">
        <f t="array" ref="L6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62" s="149" cm="1">
        <f t="array" ref="M6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-9.5218299687125849E-2</v>
      </c>
      <c r="N62" s="149"/>
      <c r="O62" s="149"/>
      <c r="P62" s="149" t="str">
        <v>"k_c":0.60365</v>
      </c>
      <c r="R62" s="149" t="str">
        <v>"k_c":-0.60365</v>
      </c>
      <c r="S62" s="173">
        <v>9.4053296679395947E-3</v>
      </c>
      <c r="T62" s="149">
        <f t="shared" si="2"/>
        <v>9.2366380735414838E-3</v>
      </c>
      <c r="U62">
        <v>9.2366380735414838E-3</v>
      </c>
      <c r="V62" s="149">
        <v>9.2366380735414855E-3</v>
      </c>
      <c r="AB62" t="str">
        <v>BIOSYN-METAL-zn2_c</v>
      </c>
      <c r="AC62" t="str">
        <v>MET-zn2_c --&gt; 0.06538 BIO-zn2_c</v>
      </c>
    </row>
    <row r="63" spans="1:29" ht="16" x14ac:dyDescent="0.2">
      <c r="A63" s="144" t="s">
        <v>1352</v>
      </c>
      <c r="B63" t="str">
        <f>SUBSTITUTE(_xlfn.TEXTBEFORE(mets272130[[#This Row],[pasted JSON metabolite keys and values from GSM biomass rxn]],":"),CHAR(34),"")</f>
        <v>so4_c</v>
      </c>
      <c r="C63" t="str">
        <f>_xlfn.TEXTBEFORE(mets272130[[#This Row],[name]],"_",-1)</f>
        <v>so4</v>
      </c>
      <c r="D63" t="str">
        <f>_xlfn.XLOOKUP(mets272130[[#This Row],[name w/o location]],metaboliteInfo[name w/o location],metaboliteInfo[suggested category],"")</f>
        <v>SO4</v>
      </c>
      <c r="E63" s="21">
        <f>_xlfn.XLOOKUP(mets272130[[#This Row],[name w/o location]],metaboliteInfo[name w/o location],metaboliteInfo[MW for biomass normalization (g/mol)],0)</f>
        <v>96.062600000000003</v>
      </c>
      <c r="F63" s="21">
        <f>_xlfn.NUMBERVALUE(SUBSTITUTE(_xlfn.TEXTAFTER(mets272130[[#This Row],[pasted JSON metabolite keys and values from GSM biomass rxn]],":"),",",""))</f>
        <v>-3.1223000000000001E-2</v>
      </c>
      <c r="G63" s="21" cm="1">
        <f t="array" ref="G63">_xlfn.LET(_xlpm.id,mets272130[[#This Row],[name w/o location]],IF(IsElementOfSet_DIY(_xlpm.id,{"atp","adp","h","pi","h2o"}),SIGN(mets272130[[#This Row],[raw (GSM) coefficient]])*(ABS(mets272130[[#This Row],[raw (GSM) coefficient]])-$J$2),mets272130[[#This Row],[raw (GSM) coefficient]]))</f>
        <v>-3.1223000000000001E-2</v>
      </c>
      <c r="H63" s="21">
        <f>mets272130[[#This Row],[coeff. w/o GAM]]</f>
        <v>-3.1223000000000001E-2</v>
      </c>
      <c r="I63" s="161">
        <f t="shared" si="0"/>
        <v>-3.0981011020547539E-2</v>
      </c>
      <c r="J63" s="21" cm="1">
        <f t="array" ref="J63">_xlfn.LET(_xlpm.id,mets272130[[#This Row],[name w/o location]],_xlpm.oldcoeff,mets272130[[#This Row],[normalized coeffs]],_xlpm.gam,$J$2-$G$2,_xlfn.IFS(IFERROR(MATCH(_xlpm.id,{"atp","h2o"},0),0)&gt;0,_xlpm.oldcoeff-_xlpm.gam,IFERROR(MATCH(_xlpm.id,{"adp","h","pi"},0),0)&gt;0,_xlpm.oldcoeff+_xlpm.gam,TRUE,_xlpm.oldcoeff))</f>
        <v>-3.0981011020547539E-2</v>
      </c>
      <c r="K63" t="str" cm="1">
        <f t="array" ref="K63">"BIOSYN-"&amp;_xlfn.IFS(IFERROR(MATCH(mets272130[[#This Row],[category]],{0,"0",""},0),0)&gt;0,mets272130[[#This Row],[name]],TRUE,mets272130[[#This Row],[category]]&amp;"-"&amp;mets272130[[#This Row],[name]])</f>
        <v>BIOSYN-SO4-so4_c</v>
      </c>
      <c r="L63" s="149" t="str" cm="1">
        <f t="array" ref="L6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MET-so4_c --&gt; 0.096063 BIO-so4_c</v>
      </c>
      <c r="M63" s="149" cm="1">
        <f t="array" ref="M6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-4.2004349560345856E-2</v>
      </c>
      <c r="N63" s="149"/>
      <c r="O63" s="149"/>
      <c r="P63" s="149" t="str">
        <v>"leu__L_c":0.332774</v>
      </c>
      <c r="R63" s="149" t="str">
        <v>"leutrna_c":-0.332774</v>
      </c>
      <c r="S63" s="174">
        <v>7.9077198839356502E-2</v>
      </c>
      <c r="T63" s="149">
        <f t="shared" si="2"/>
        <v>7.7658890367063499E-2</v>
      </c>
      <c r="U63">
        <v>7.7658890367063499E-2</v>
      </c>
      <c r="V63" s="149">
        <v>7.7658890367063513E-2</v>
      </c>
      <c r="AB63" t="str">
        <v>BIOSYN-other-co2_c</v>
      </c>
      <c r="AC63" t="str">
        <v>MET-co2_c --&gt; 0.04401 BIO-co2_c</v>
      </c>
    </row>
    <row r="64" spans="1:29" ht="16" x14ac:dyDescent="0.2">
      <c r="A64" s="144" t="s">
        <v>1383</v>
      </c>
      <c r="B64" t="str">
        <f>SUBSTITUTE(_xlfn.TEXTBEFORE(mets272130[[#This Row],[pasted JSON metabolite keys and values from GSM biomass rxn]],":"),CHAR(34),"")</f>
        <v>stcoa_c</v>
      </c>
      <c r="C64" t="str">
        <f>_xlfn.TEXTBEFORE(mets272130[[#This Row],[name]],"_",-1)</f>
        <v>stcoa</v>
      </c>
      <c r="D64" t="str">
        <f>_xlfn.XLOOKUP(mets272130[[#This Row],[name w/o location]],metaboliteInfo[name w/o location],metaboliteInfo[suggested category],"")</f>
        <v>LIPID</v>
      </c>
      <c r="E64" s="21">
        <f>_xlfn.XLOOKUP(mets272130[[#This Row],[name w/o location]],metaboliteInfo[name w/o location],metaboliteInfo[MW for biomass normalization (g/mol)],0)</f>
        <v>1029.9643229999999</v>
      </c>
      <c r="F64" s="21">
        <f>_xlfn.NUMBERVALUE(SUBSTITUTE(_xlfn.TEXTAFTER(mets272130[[#This Row],[pasted JSON metabolite keys and values from GSM biomass rxn]],":"),",",""))</f>
        <v>-8.3814857999999994E-5</v>
      </c>
      <c r="G64" s="21" cm="1">
        <f t="array" ref="G64">_xlfn.LET(_xlpm.id,mets272130[[#This Row],[name w/o location]],IF(IsElementOfSet_DIY(_xlpm.id,{"atp","adp","h","pi","h2o"}),SIGN(mets272130[[#This Row],[raw (GSM) coefficient]])*(ABS(mets272130[[#This Row],[raw (GSM) coefficient]])-$J$2),mets272130[[#This Row],[raw (GSM) coefficient]]))</f>
        <v>-8.3814857999999994E-5</v>
      </c>
      <c r="H64" s="21">
        <f>mets272130[[#This Row],[coeff. w/o GAM]]</f>
        <v>-8.3814857999999994E-5</v>
      </c>
      <c r="I64" s="161">
        <f t="shared" si="0"/>
        <v>-8.3165264048413892E-5</v>
      </c>
      <c r="J64" s="21" cm="1">
        <f t="array" ref="J64">_xlfn.LET(_xlpm.id,mets272130[[#This Row],[name w/o location]],_xlpm.oldcoeff,mets272130[[#This Row],[normalized coeffs]],_xlpm.gam,$J$2-$G$2,_xlfn.IFS(IFERROR(MATCH(_xlpm.id,{"atp","h2o"},0),0)&gt;0,_xlpm.oldcoeff-_xlpm.gam,IFERROR(MATCH(_xlpm.id,{"adp","h","pi"},0),0)&gt;0,_xlpm.oldcoeff+_xlpm.gam,TRUE,_xlpm.oldcoeff))</f>
        <v>-8.3165264048413892E-5</v>
      </c>
      <c r="K64" t="str" cm="1">
        <f t="array" ref="K64">"BIOSYN-"&amp;_xlfn.IFS(IFERROR(MATCH(mets272130[[#This Row],[category]],{0,"0",""},0),0)&gt;0,mets272130[[#This Row],[name]],TRUE,mets272130[[#This Row],[category]]&amp;"-"&amp;mets272130[[#This Row],[name]])</f>
        <v>BIOSYN-LIPID-stcoa_c</v>
      </c>
      <c r="L64" s="149" t="str" cm="1">
        <f t="array" ref="L6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MET-stcoa_c --&gt; 1.029964 BIO-stcoa_c</v>
      </c>
      <c r="M64" s="149" cm="1">
        <f t="array" ref="M6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-1.9597554444731661E-4</v>
      </c>
      <c r="N64" s="149"/>
      <c r="O64" s="149"/>
      <c r="P64" s="149" t="str">
        <v>"lys__L_c":0.27295</v>
      </c>
      <c r="R64" s="149" t="str">
        <v>"lystrna_c":-0.27295</v>
      </c>
      <c r="S64" s="173">
        <v>2.5155241032744094E-2</v>
      </c>
      <c r="T64" s="149">
        <f t="shared" si="2"/>
        <v>2.470406304461388E-2</v>
      </c>
      <c r="U64">
        <v>2.470406304461388E-2</v>
      </c>
      <c r="V64" s="149">
        <v>2.4704063044613884E-2</v>
      </c>
      <c r="AB64" t="str">
        <v>BIOSYN-other-o2_c</v>
      </c>
      <c r="AC64" t="str">
        <v>MET-o2_c --&gt; 0.031999 BIO-o2_c</v>
      </c>
    </row>
    <row r="65" spans="1:29" ht="16" x14ac:dyDescent="0.2">
      <c r="A65" s="144" t="s">
        <v>1353</v>
      </c>
      <c r="B65" t="str">
        <f>SUBSTITUTE(_xlfn.TEXTBEFORE(mets272130[[#This Row],[pasted JSON metabolite keys and values from GSM biomass rxn]],":"),CHAR(34),"")</f>
        <v>tag_c</v>
      </c>
      <c r="C65" t="str">
        <f>_xlfn.TEXTBEFORE(mets272130[[#This Row],[name]],"_",-1)</f>
        <v>tag</v>
      </c>
      <c r="D65" t="str">
        <f>_xlfn.XLOOKUP(mets272130[[#This Row],[name w/o location]],metaboliteInfo[name w/o location],metaboliteInfo[suggested category],"")</f>
        <v>LIPID</v>
      </c>
      <c r="E65" s="21">
        <f>_xlfn.XLOOKUP(mets272130[[#This Row],[name w/o location]],metaboliteInfo[name w/o location],metaboliteInfo[MW for biomass normalization (g/mol)],0)</f>
        <v>885.51292863263996</v>
      </c>
      <c r="F65" s="21">
        <f>_xlfn.NUMBERVALUE(SUBSTITUTE(_xlfn.TEXTAFTER(mets272130[[#This Row],[pasted JSON metabolite keys and values from GSM biomass rxn]],":"),",",""))</f>
        <v>-1.0494E-2</v>
      </c>
      <c r="G65" s="21" cm="1">
        <f t="array" ref="G65">_xlfn.LET(_xlpm.id,mets272130[[#This Row],[name w/o location]],IF(IsElementOfSet_DIY(_xlpm.id,{"atp","adp","h","pi","h2o"}),SIGN(mets272130[[#This Row],[raw (GSM) coefficient]])*(ABS(mets272130[[#This Row],[raw (GSM) coefficient]])-$J$2),mets272130[[#This Row],[raw (GSM) coefficient]]))</f>
        <v>-1.0494E-2</v>
      </c>
      <c r="H65" s="21">
        <f>mets272130[[#This Row],[coeff. w/o GAM]]</f>
        <v>-1.0494E-2</v>
      </c>
      <c r="I65" s="161">
        <f t="shared" si="0"/>
        <v>-1.0412667893848314E-2</v>
      </c>
      <c r="J65" s="21" cm="1">
        <f t="array" ref="J65">_xlfn.LET(_xlpm.id,mets272130[[#This Row],[name w/o location]],_xlpm.oldcoeff,mets272130[[#This Row],[normalized coeffs]],_xlpm.gam,$J$2-$G$2,_xlfn.IFS(IFERROR(MATCH(_xlpm.id,{"atp","h2o"},0),0)&gt;0,_xlpm.oldcoeff-_xlpm.gam,IFERROR(MATCH(_xlpm.id,{"adp","h","pi"},0),0)&gt;0,_xlpm.oldcoeff+_xlpm.gam,TRUE,_xlpm.oldcoeff))</f>
        <v>-1.0412667893848314E-2</v>
      </c>
      <c r="K65" t="str" cm="1">
        <f t="array" ref="K65">"BIOSYN-"&amp;_xlfn.IFS(IFERROR(MATCH(mets272130[[#This Row],[category]],{0,"0",""},0),0)&gt;0,mets272130[[#This Row],[name]],TRUE,mets272130[[#This Row],[category]]&amp;"-"&amp;mets272130[[#This Row],[name]])</f>
        <v>BIOSYN-LIPID-tag_c</v>
      </c>
      <c r="L65" s="149" t="str" cm="1">
        <f t="array" ref="L6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MET-tag_c --&gt; 0.885513 BIO-tag_c</v>
      </c>
      <c r="M65" s="149" cm="1">
        <f t="array" ref="M6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-2.4537026161043439E-2</v>
      </c>
      <c r="N65" s="149"/>
      <c r="O65" s="149"/>
      <c r="P65" s="149" t="str">
        <v>"mannan_c":0.49015</v>
      </c>
      <c r="R65" s="149" t="str">
        <v>"mannan_c":-0.49015</v>
      </c>
      <c r="S65" s="174">
        <v>-5.5586024199253041E-5</v>
      </c>
      <c r="T65" s="149">
        <f t="shared" si="2"/>
        <v>-5.4589047444638315E-5</v>
      </c>
      <c r="U65">
        <v>-5.4589047444638315E-5</v>
      </c>
      <c r="V65" s="149">
        <v>-5.4589047444638322E-5</v>
      </c>
      <c r="AB65" t="str">
        <v>BIOSYN-PI-pi_c</v>
      </c>
      <c r="AC65" t="str">
        <v>MET-pi_c --&gt; 0.095979 BIO-pi_c</v>
      </c>
    </row>
    <row r="66" spans="1:29" ht="16" x14ac:dyDescent="0.2">
      <c r="A66" s="144" t="s">
        <v>1354</v>
      </c>
      <c r="B66" t="str">
        <f>SUBSTITUTE(_xlfn.TEXTBEFORE(mets272130[[#This Row],[pasted JSON metabolite keys and values from GSM biomass rxn]],":"),CHAR(34),"")</f>
        <v>thrtrna_c</v>
      </c>
      <c r="C66" t="str">
        <f>_xlfn.TEXTBEFORE(mets272130[[#This Row],[name]],"_",-1)</f>
        <v>thrtrna</v>
      </c>
      <c r="D66" t="str">
        <f>_xlfn.XLOOKUP(mets272130[[#This Row],[name w/o location]],metaboliteInfo[name w/o location],metaboliteInfo[suggested category],"")</f>
        <v>PROT</v>
      </c>
      <c r="E66" s="21">
        <f>_xlfn.XLOOKUP(mets272130[[#This Row],[name w/o location]],metaboliteInfo[name w/o location],metaboliteInfo[MW for biomass normalization (g/mol)],0)</f>
        <v>102.11181999999999</v>
      </c>
      <c r="F66" s="21">
        <f>_xlfn.NUMBERVALUE(SUBSTITUTE(_xlfn.TEXTAFTER(mets272130[[#This Row],[pasted JSON metabolite keys and values from GSM biomass rxn]],":"),",",""))</f>
        <v>-0.231405</v>
      </c>
      <c r="G66" s="21" cm="1">
        <f t="array" ref="G66">_xlfn.LET(_xlpm.id,mets272130[[#This Row],[name w/o location]],IF(IsElementOfSet_DIY(_xlpm.id,{"atp","adp","h","pi","h2o"}),SIGN(mets272130[[#This Row],[raw (GSM) coefficient]])*(ABS(mets272130[[#This Row],[raw (GSM) coefficient]])-$J$2),mets272130[[#This Row],[raw (GSM) coefficient]]))</f>
        <v>-0.231405</v>
      </c>
      <c r="H66" s="21">
        <f>mets272130[[#This Row],[coeff. w/o GAM]]</f>
        <v>-0.231405</v>
      </c>
      <c r="I66" s="161">
        <f t="shared" si="0"/>
        <v>-0.22961153173012855</v>
      </c>
      <c r="J66" s="21" cm="1">
        <f t="array" ref="J66">_xlfn.LET(_xlpm.id,mets272130[[#This Row],[name w/o location]],_xlpm.oldcoeff,mets272130[[#This Row],[normalized coeffs]],_xlpm.gam,$J$2-$G$2,_xlfn.IFS(IFERROR(MATCH(_xlpm.id,{"atp","h2o"},0),0)&gt;0,_xlpm.oldcoeff-_xlpm.gam,IFERROR(MATCH(_xlpm.id,{"adp","h","pi"},0),0)&gt;0,_xlpm.oldcoeff+_xlpm.gam,TRUE,_xlpm.oldcoeff))</f>
        <v>-0.22961153173012855</v>
      </c>
      <c r="K66" t="str" cm="1">
        <f t="array" ref="K66">"BIOSYN-"&amp;_xlfn.IFS(IFERROR(MATCH(mets272130[[#This Row],[category]],{0,"0",""},0),0)&gt;0,mets272130[[#This Row],[name]],TRUE,mets272130[[#This Row],[category]]&amp;"-"&amp;mets272130[[#This Row],[name]])</f>
        <v>BIOSYN-PROT-thrtrna_c</v>
      </c>
      <c r="L66" s="149" t="str" cm="1">
        <f t="array" ref="L6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66" s="149" cm="1">
        <f t="array" ref="M6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-9.8615209140503937E-2</v>
      </c>
      <c r="N66" s="149"/>
      <c r="O66" s="149"/>
      <c r="P66" s="149" t="str">
        <v>"met__L_c":0.047361</v>
      </c>
      <c r="R66" s="149" t="str">
        <v>"mettrna_c":-0.047361</v>
      </c>
      <c r="S66" s="173">
        <v>1.0062099191299278E-2</v>
      </c>
      <c r="T66" s="149">
        <f t="shared" si="2"/>
        <v>9.8816279462180766E-3</v>
      </c>
      <c r="U66">
        <v>9.8816279462180766E-3</v>
      </c>
      <c r="V66" s="149">
        <v>9.8816279462180783E-3</v>
      </c>
      <c r="AB66" t="str">
        <v>BIOSYN-RNA-atp_c</v>
      </c>
      <c r="AC66" t="str">
        <v>MET-atp_c --&gt; MET-ppi_c + 0.328198 BIO-atp_c</v>
      </c>
    </row>
    <row r="67" spans="1:29" ht="16" x14ac:dyDescent="0.2">
      <c r="A67" s="144" t="s">
        <v>1355</v>
      </c>
      <c r="B67" t="str">
        <f>SUBSTITUTE(_xlfn.TEXTBEFORE(mets272130[[#This Row],[pasted JSON metabolite keys and values from GSM biomass rxn]],":"),CHAR(34),"")</f>
        <v>tre_c</v>
      </c>
      <c r="C67" t="str">
        <f>_xlfn.TEXTBEFORE(mets272130[[#This Row],[name]],"_",-1)</f>
        <v>tre</v>
      </c>
      <c r="D67" t="str">
        <f>_xlfn.XLOOKUP(mets272130[[#This Row],[name w/o location]],metaboliteInfo[name w/o location],metaboliteInfo[suggested category],"")</f>
        <v>CARB</v>
      </c>
      <c r="E67" s="21">
        <f>_xlfn.XLOOKUP(mets272130[[#This Row],[name w/o location]],metaboliteInfo[name w/o location],metaboliteInfo[MW for biomass normalization (g/mol)],0)</f>
        <v>342.29647999999997</v>
      </c>
      <c r="F67" s="21">
        <f>_xlfn.NUMBERVALUE(SUBSTITUTE(_xlfn.TEXTAFTER(mets272130[[#This Row],[pasted JSON metabolite keys and values from GSM biomass rxn]],":"),",",""))</f>
        <v>-0.137707</v>
      </c>
      <c r="G67" s="21" cm="1">
        <f t="array" ref="G67">_xlfn.LET(_xlpm.id,mets272130[[#This Row],[name w/o location]],IF(IsElementOfSet_DIY(_xlpm.id,{"atp","adp","h","pi","h2o"}),SIGN(mets272130[[#This Row],[raw (GSM) coefficient]])*(ABS(mets272130[[#This Row],[raw (GSM) coefficient]])-$J$2),mets272130[[#This Row],[raw (GSM) coefficient]]))</f>
        <v>-0.137707</v>
      </c>
      <c r="H67" s="21">
        <f>mets272130[[#This Row],[coeff. w/o GAM]]</f>
        <v>-0.137707</v>
      </c>
      <c r="I67" s="161">
        <f t="shared" si="0"/>
        <v>-0.13663972342845146</v>
      </c>
      <c r="J67" s="21" cm="1">
        <f t="array" ref="J67">_xlfn.LET(_xlpm.id,mets272130[[#This Row],[name w/o location]],_xlpm.oldcoeff,mets272130[[#This Row],[normalized coeffs]],_xlpm.gam,$J$2-$G$2,_xlfn.IFS(IFERROR(MATCH(_xlpm.id,{"atp","h2o"},0),0)&gt;0,_xlpm.oldcoeff-_xlpm.gam,IFERROR(MATCH(_xlpm.id,{"adp","h","pi"},0),0)&gt;0,_xlpm.oldcoeff+_xlpm.gam,TRUE,_xlpm.oldcoeff))</f>
        <v>-0.13663972342845146</v>
      </c>
      <c r="K67" t="str" cm="1">
        <f t="array" ref="K67">"BIOSYN-"&amp;_xlfn.IFS(IFERROR(MATCH(mets272130[[#This Row],[category]],{0,"0",""},0),0)&gt;0,mets272130[[#This Row],[name]],TRUE,mets272130[[#This Row],[category]]&amp;"-"&amp;mets272130[[#This Row],[name]])</f>
        <v>BIOSYN-CARB-tre_c</v>
      </c>
      <c r="L67" s="149" t="str" cm="1">
        <f t="array" ref="L6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MET-tre_c --&gt; 0.342296 BIO-tre_c</v>
      </c>
      <c r="M67" s="149" cm="1">
        <f t="array" ref="M6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-0.18525743730283914</v>
      </c>
      <c r="N67" s="149"/>
      <c r="O67" s="149"/>
      <c r="P67" s="149" t="str">
        <v>"mg2_c":0.063607</v>
      </c>
      <c r="R67" s="149" t="str">
        <v>"mg2_c":-0.063607</v>
      </c>
      <c r="S67" s="174">
        <v>0.45828391850960704</v>
      </c>
      <c r="T67" s="149">
        <v>0.46800000000000003</v>
      </c>
      <c r="U67">
        <v>0.46800000000000003</v>
      </c>
      <c r="V67" s="149">
        <v>0.46800000000000008</v>
      </c>
      <c r="AB67" t="str">
        <v>BIOSYN-RNA-ctp_c</v>
      </c>
      <c r="AC67" t="str">
        <v>MET-ctp_c --&gt; MET-ppi_c + 0.304173 BIO-ctp_c</v>
      </c>
    </row>
    <row r="68" spans="1:29" ht="16" x14ac:dyDescent="0.2">
      <c r="A68" s="144" t="s">
        <v>1356</v>
      </c>
      <c r="B68" t="str">
        <f>SUBSTITUTE(_xlfn.TEXTBEFORE(mets272130[[#This Row],[pasted JSON metabolite keys and values from GSM biomass rxn]],":"),CHAR(34),"")</f>
        <v>trptrna_c</v>
      </c>
      <c r="C68" t="str">
        <f>_xlfn.TEXTBEFORE(mets272130[[#This Row],[name]],"_",-1)</f>
        <v>trptrna</v>
      </c>
      <c r="D68" t="str">
        <f>_xlfn.XLOOKUP(mets272130[[#This Row],[name w/o location]],metaboliteInfo[name w/o location],metaboliteInfo[suggested category],"")</f>
        <v>PROT</v>
      </c>
      <c r="E68" s="21">
        <f>_xlfn.XLOOKUP(mets272130[[#This Row],[name w/o location]],metaboliteInfo[name w/o location],metaboliteInfo[MW for biomass normalization (g/mol)],0)</f>
        <v>187.21784</v>
      </c>
      <c r="F68" s="21">
        <f>_xlfn.NUMBERVALUE(SUBSTITUTE(_xlfn.TEXTAFTER(mets272130[[#This Row],[pasted JSON metabolite keys and values from GSM biomass rxn]],":"),",",""))</f>
        <v>-2.7004E-2</v>
      </c>
      <c r="G68" s="21" cm="1">
        <f t="array" ref="G68">_xlfn.LET(_xlpm.id,mets272130[[#This Row],[name w/o location]],IF(IsElementOfSet_DIY(_xlpm.id,{"atp","adp","h","pi","h2o"}),SIGN(mets272130[[#This Row],[raw (GSM) coefficient]])*(ABS(mets272130[[#This Row],[raw (GSM) coefficient]])-$J$2),mets272130[[#This Row],[raw (GSM) coefficient]]))</f>
        <v>-2.7004E-2</v>
      </c>
      <c r="H68" s="21">
        <f>mets272130[[#This Row],[coeff. w/o GAM]]</f>
        <v>-2.7004E-2</v>
      </c>
      <c r="I68" s="161">
        <f t="shared" si="0"/>
        <v>-2.6794709720362096E-2</v>
      </c>
      <c r="J68" s="21" cm="1">
        <f t="array" ref="J68">_xlfn.LET(_xlpm.id,mets272130[[#This Row],[name w/o location]],_xlpm.oldcoeff,mets272130[[#This Row],[normalized coeffs]],_xlpm.gam,$J$2-$G$2,_xlfn.IFS(IFERROR(MATCH(_xlpm.id,{"atp","h2o"},0),0)&gt;0,_xlpm.oldcoeff-_xlpm.gam,IFERROR(MATCH(_xlpm.id,{"adp","h","pi"},0),0)&gt;0,_xlpm.oldcoeff+_xlpm.gam,TRUE,_xlpm.oldcoeff))</f>
        <v>-2.6794709720362096E-2</v>
      </c>
      <c r="K68" t="str" cm="1">
        <f t="array" ref="K68">"BIOSYN-"&amp;_xlfn.IFS(IFERROR(MATCH(mets272130[[#This Row],[category]],{0,"0",""},0),0)&gt;0,mets272130[[#This Row],[name]],TRUE,mets272130[[#This Row],[category]]&amp;"-"&amp;mets272130[[#This Row],[name]])</f>
        <v>BIOSYN-PROT-trptrna_c</v>
      </c>
      <c r="L68" s="149" t="str" cm="1">
        <f t="array" ref="L6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68" s="149" cm="1">
        <f t="array" ref="M6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-1.1507984302976029E-2</v>
      </c>
      <c r="N68" s="149"/>
      <c r="O68" s="149"/>
      <c r="P68" s="149" t="str">
        <v>"mn2_c":9.4e-05</v>
      </c>
      <c r="R68" s="149" t="str">
        <v>"mn2_c":-9.4e-05</v>
      </c>
      <c r="S68" s="173">
        <v>0.11290196890304988</v>
      </c>
      <c r="T68" s="149">
        <f t="shared" ref="T68:T69" si="3">S68*$T$59</f>
        <v>0.11087698798081137</v>
      </c>
      <c r="U68">
        <v>0.11087698798081137</v>
      </c>
      <c r="V68" s="149">
        <v>0.11087698798081139</v>
      </c>
      <c r="AB68" t="str">
        <v>BIOSYN-RNA-gtp_c</v>
      </c>
      <c r="AC68" t="str">
        <v>MET-gtp_c --&gt; MET-ppi_c + 0.344197 BIO-gtp_c</v>
      </c>
    </row>
    <row r="69" spans="1:29" ht="16" x14ac:dyDescent="0.2">
      <c r="A69" s="144" t="s">
        <v>1384</v>
      </c>
      <c r="B69" t="str">
        <f>SUBSTITUTE(_xlfn.TEXTBEFORE(mets272130[[#This Row],[pasted JSON metabolite keys and values from GSM biomass rxn]],":"),CHAR(34),"")</f>
        <v>ttccoa_c</v>
      </c>
      <c r="C69" t="str">
        <f>_xlfn.TEXTBEFORE(mets272130[[#This Row],[name]],"_",-1)</f>
        <v>ttccoa</v>
      </c>
      <c r="D69" t="str">
        <f>_xlfn.XLOOKUP(mets272130[[#This Row],[name w/o location]],metaboliteInfo[name w/o location],metaboliteInfo[suggested category],"")</f>
        <v>LIPID</v>
      </c>
      <c r="E69" s="21">
        <f>_xlfn.XLOOKUP(mets272130[[#This Row],[name w/o location]],metaboliteInfo[name w/o location],metaboliteInfo[MW for biomass normalization (g/mol)],0)</f>
        <v>1114.123803</v>
      </c>
      <c r="F69" s="21">
        <f>_xlfn.NUMBERVALUE(SUBSTITUTE(_xlfn.TEXTAFTER(mets272130[[#This Row],[pasted JSON metabolite keys and values from GSM biomass rxn]],":"),",",""))</f>
        <v>-1.036138777E-3</v>
      </c>
      <c r="G69" s="21" cm="1">
        <f t="array" ref="G69">_xlfn.LET(_xlpm.id,mets272130[[#This Row],[name w/o location]],IF(IsElementOfSet_DIY(_xlpm.id,{"atp","adp","h","pi","h2o"}),SIGN(mets272130[[#This Row],[raw (GSM) coefficient]])*(ABS(mets272130[[#This Row],[raw (GSM) coefficient]])-$J$2),mets272130[[#This Row],[raw (GSM) coefficient]]))</f>
        <v>-1.036138777E-3</v>
      </c>
      <c r="H69" s="21">
        <f>mets272130[[#This Row],[coeff. w/o GAM]]</f>
        <v>-1.036138777E-3</v>
      </c>
      <c r="I69" s="161">
        <f t="shared" si="0"/>
        <v>-1.0281083454201597E-3</v>
      </c>
      <c r="J69" s="21" cm="1">
        <f t="array" ref="J69">_xlfn.LET(_xlpm.id,mets272130[[#This Row],[name w/o location]],_xlpm.oldcoeff,mets272130[[#This Row],[normalized coeffs]],_xlpm.gam,$J$2-$G$2,_xlfn.IFS(IFERROR(MATCH(_xlpm.id,{"atp","h2o"},0),0)&gt;0,_xlpm.oldcoeff-_xlpm.gam,IFERROR(MATCH(_xlpm.id,{"adp","h","pi"},0),0)&gt;0,_xlpm.oldcoeff+_xlpm.gam,TRUE,_xlpm.oldcoeff))</f>
        <v>-1.0281083454201597E-3</v>
      </c>
      <c r="K69" t="str" cm="1">
        <f t="array" ref="K69">"BIOSYN-"&amp;_xlfn.IFS(IFERROR(MATCH(mets272130[[#This Row],[category]],{0,"0",""},0),0)&gt;0,mets272130[[#This Row],[name]],TRUE,mets272130[[#This Row],[category]]&amp;"-"&amp;mets272130[[#This Row],[name]])</f>
        <v>BIOSYN-LIPID-ttccoa_c</v>
      </c>
      <c r="L69" s="149" t="str" cm="1">
        <f t="array" ref="L6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MET-ttccoa_c --&gt; 1.114124 BIO-ttccoa_c</v>
      </c>
      <c r="M69" s="149" cm="1">
        <f t="array" ref="M6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-2.4226952808958022E-3</v>
      </c>
      <c r="N69" s="149"/>
      <c r="O69" s="149"/>
      <c r="P69" s="149" t="str">
        <v>"pail_c":0.007738</v>
      </c>
      <c r="R69" s="149" t="str">
        <v>"pail_c":-0.007738</v>
      </c>
      <c r="S69" s="174">
        <v>2.9761164692624501E-3</v>
      </c>
      <c r="T69" s="149">
        <f t="shared" si="3"/>
        <v>2.9227376032322982E-3</v>
      </c>
      <c r="U69">
        <v>2.9227376032322982E-3</v>
      </c>
      <c r="V69" s="149">
        <v>2.9227376032322987E-3</v>
      </c>
      <c r="AB69" t="str">
        <v>BIOSYN-RNA-utp_c</v>
      </c>
      <c r="AC69" t="str">
        <v>MET-utp_c --&gt; MET-ppi_c + 0.305158 BIO-utp_c</v>
      </c>
    </row>
    <row r="70" spans="1:29" ht="16" x14ac:dyDescent="0.2">
      <c r="A70" s="144" t="s">
        <v>1357</v>
      </c>
      <c r="B70" t="str">
        <f>SUBSTITUTE(_xlfn.TEXTBEFORE(mets272130[[#This Row],[pasted JSON metabolite keys and values from GSM biomass rxn]],":"),CHAR(34),"")</f>
        <v>tyrtrna_c</v>
      </c>
      <c r="C70" t="str">
        <f>_xlfn.TEXTBEFORE(mets272130[[#This Row],[name]],"_",-1)</f>
        <v>tyrtrna</v>
      </c>
      <c r="D70" t="str">
        <f>_xlfn.XLOOKUP(mets272130[[#This Row],[name w/o location]],metaboliteInfo[name w/o location],metaboliteInfo[suggested category],"")</f>
        <v>PROT</v>
      </c>
      <c r="E70" s="21">
        <f>_xlfn.XLOOKUP(mets272130[[#This Row],[name w/o location]],metaboliteInfo[name w/o location],metaboliteInfo[MW for biomass normalization (g/mol)],0)</f>
        <v>164.18119999999999</v>
      </c>
      <c r="F70" s="21">
        <f>_xlfn.NUMBERVALUE(SUBSTITUTE(_xlfn.TEXTAFTER(mets272130[[#This Row],[pasted JSON metabolite keys and values from GSM biomass rxn]],":"),",",""))</f>
        <v>-8.1428E-2</v>
      </c>
      <c r="G70" s="21" cm="1">
        <f t="array" ref="G70">_xlfn.LET(_xlpm.id,mets272130[[#This Row],[name w/o location]],IF(IsElementOfSet_DIY(_xlpm.id,{"atp","adp","h","pi","h2o"}),SIGN(mets272130[[#This Row],[raw (GSM) coefficient]])*(ABS(mets272130[[#This Row],[raw (GSM) coefficient]])-$J$2),mets272130[[#This Row],[raw (GSM) coefficient]]))</f>
        <v>-8.1428E-2</v>
      </c>
      <c r="H70" s="21">
        <f>mets272130[[#This Row],[coeff. w/o GAM]]</f>
        <v>-8.1428E-2</v>
      </c>
      <c r="I70" s="161">
        <f t="shared" ref="I70:I92" si="4">H70/($H$3)</f>
        <v>-8.0796905018132303E-2</v>
      </c>
      <c r="J70" s="21" cm="1">
        <f t="array" ref="J70">_xlfn.LET(_xlpm.id,mets272130[[#This Row],[name w/o location]],_xlpm.oldcoeff,mets272130[[#This Row],[normalized coeffs]],_xlpm.gam,$J$2-$G$2,_xlfn.IFS(IFERROR(MATCH(_xlpm.id,{"atp","h2o"},0),0)&gt;0,_xlpm.oldcoeff-_xlpm.gam,IFERROR(MATCH(_xlpm.id,{"adp","h","pi"},0),0)&gt;0,_xlpm.oldcoeff+_xlpm.gam,TRUE,_xlpm.oldcoeff))</f>
        <v>-8.0796905018132303E-2</v>
      </c>
      <c r="K70" t="str" cm="1">
        <f t="array" ref="K70">"BIOSYN-"&amp;_xlfn.IFS(IFERROR(MATCH(mets272130[[#This Row],[category]],{0,"0",""},0),0)&gt;0,mets272130[[#This Row],[name]],TRUE,mets272130[[#This Row],[category]]&amp;"-"&amp;mets272130[[#This Row],[name]])</f>
        <v>BIOSYN-PROT-tyrtrna_c</v>
      </c>
      <c r="L70" s="149" t="str" cm="1">
        <f t="array" ref="L7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0" s="149" cm="1">
        <f t="array" ref="M7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-3.4701234847531182E-2</v>
      </c>
      <c r="N70" s="149"/>
      <c r="O70" s="149"/>
      <c r="P70" s="149" t="str">
        <v>"pc_c":0.028783</v>
      </c>
      <c r="R70" s="149" t="str">
        <v>"pc_c":-0.028783</v>
      </c>
      <c r="S70" s="149"/>
      <c r="T70" s="149"/>
      <c r="V70" s="149"/>
      <c r="AB70" t="str">
        <v>BIOSYN-SO4-so4_c</v>
      </c>
      <c r="AC70" t="str">
        <v>MET-so4_c --&gt; 0.096063 BIO-so4_c</v>
      </c>
    </row>
    <row r="71" spans="1:29" ht="16" x14ac:dyDescent="0.2">
      <c r="A71" s="144" t="s">
        <v>1358</v>
      </c>
      <c r="B71" t="str">
        <f>SUBSTITUTE(_xlfn.TEXTBEFORE(mets272130[[#This Row],[pasted JSON metabolite keys and values from GSM biomass rxn]],":"),CHAR(34),"")</f>
        <v>utp_c</v>
      </c>
      <c r="C71" t="str">
        <f>_xlfn.TEXTBEFORE(mets272130[[#This Row],[name]],"_",-1)</f>
        <v>utp</v>
      </c>
      <c r="D71" t="str">
        <f>_xlfn.XLOOKUP(mets272130[[#This Row],[name w/o location]],metaboliteInfo[name w/o location],metaboliteInfo[suggested category],"")</f>
        <v>RNA</v>
      </c>
      <c r="E71" s="21">
        <f>_xlfn.XLOOKUP(mets272130[[#This Row],[name w/o location]],metaboliteInfo[name w/o location],metaboliteInfo[MW for biomass normalization (g/mol)],0)</f>
        <v>305.15806099999998</v>
      </c>
      <c r="F71" s="21">
        <f>_xlfn.NUMBERVALUE(SUBSTITUTE(_xlfn.TEXTAFTER(mets272130[[#This Row],[pasted JSON metabolite keys and values from GSM biomass rxn]],":"),",",""))</f>
        <v>-6.2536999999999995E-2</v>
      </c>
      <c r="G71" s="21" cm="1">
        <f t="array" ref="G71">_xlfn.LET(_xlpm.id,mets272130[[#This Row],[name w/o location]],IF(IsElementOfSet_DIY(_xlpm.id,{"atp","adp","h","pi","h2o"}),SIGN(mets272130[[#This Row],[raw (GSM) coefficient]])*(ABS(mets272130[[#This Row],[raw (GSM) coefficient]])-$J$2),mets272130[[#This Row],[raw (GSM) coefficient]]))</f>
        <v>-6.2536999999999995E-2</v>
      </c>
      <c r="H71" s="21">
        <f>mets272130[[#This Row],[coeff. w/o GAM]]</f>
        <v>-6.2536999999999995E-2</v>
      </c>
      <c r="I71" s="161">
        <f t="shared" si="4"/>
        <v>-6.2052316759823888E-2</v>
      </c>
      <c r="J71" s="21" cm="1">
        <f t="array" ref="J71">_xlfn.LET(_xlpm.id,mets272130[[#This Row],[name w/o location]],_xlpm.oldcoeff,mets272130[[#This Row],[normalized coeffs]],_xlpm.gam,$J$2-$G$2,_xlfn.IFS(IFERROR(MATCH(_xlpm.id,{"atp","h2o"},0),0)&gt;0,_xlpm.oldcoeff-_xlpm.gam,IFERROR(MATCH(_xlpm.id,{"adp","h","pi"},0),0)&gt;0,_xlpm.oldcoeff+_xlpm.gam,TRUE,_xlpm.oldcoeff))</f>
        <v>-6.2052316759823888E-2</v>
      </c>
      <c r="K71" t="str" cm="1">
        <f t="array" ref="K71">"BIOSYN-"&amp;_xlfn.IFS(IFERROR(MATCH(mets272130[[#This Row],[category]],{0,"0",""},0),0)&gt;0,mets272130[[#This Row],[name]],TRUE,mets272130[[#This Row],[category]]&amp;"-"&amp;mets272130[[#This Row],[name]])</f>
        <v>BIOSYN-RNA-utp_c</v>
      </c>
      <c r="L71" s="149" t="str" cm="1">
        <f t="array" ref="L7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MET-utp_c --&gt; MET-ppi_c + 0.305158 BIO-utp_c</v>
      </c>
      <c r="M71" s="149" cm="1">
        <f t="array" ref="M7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-8.4131121559598648E-2</v>
      </c>
      <c r="N71" s="149"/>
      <c r="O71" s="149"/>
      <c r="P71" s="149" t="str">
        <v>"pe_c":0.00772</v>
      </c>
      <c r="R71" s="149" t="str">
        <v>"pe_c":-0.00772</v>
      </c>
      <c r="S71" s="149" cm="1">
        <f t="array" ref="S71:S80">S60:S69*S67/T67</f>
        <v>0.29943560158872012</v>
      </c>
      <c r="T71" s="149"/>
      <c r="V71" s="149"/>
    </row>
    <row r="72" spans="1:29" ht="16" x14ac:dyDescent="0.2">
      <c r="A72" s="144" t="s">
        <v>1359</v>
      </c>
      <c r="B72" t="str">
        <f>SUBSTITUTE(_xlfn.TEXTBEFORE(mets272130[[#This Row],[pasted JSON metabolite keys and values from GSM biomass rxn]],":"),CHAR(34),"")</f>
        <v>valtrna_c</v>
      </c>
      <c r="C72" t="str">
        <f>_xlfn.TEXTBEFORE(mets272130[[#This Row],[name]],"_",-1)</f>
        <v>valtrna</v>
      </c>
      <c r="D72" t="str">
        <f>_xlfn.XLOOKUP(mets272130[[#This Row],[name w/o location]],metaboliteInfo[name w/o location],metaboliteInfo[suggested category],"")</f>
        <v>PROT</v>
      </c>
      <c r="E72" s="21">
        <f>_xlfn.XLOOKUP(mets272130[[#This Row],[name w/o location]],metaboliteInfo[name w/o location],metaboliteInfo[MW for biomass normalization (g/mol)],0)</f>
        <v>100.139</v>
      </c>
      <c r="F72" s="21">
        <f>_xlfn.NUMBERVALUE(SUBSTITUTE(_xlfn.TEXTAFTER(mets272130[[#This Row],[pasted JSON metabolite keys and values from GSM biomass rxn]],":"),",",""))</f>
        <v>-0.30452400000000002</v>
      </c>
      <c r="G72" s="21" cm="1">
        <f t="array" ref="G72">_xlfn.LET(_xlpm.id,mets272130[[#This Row],[name w/o location]],IF(IsElementOfSet_DIY(_xlpm.id,{"atp","adp","h","pi","h2o"}),SIGN(mets272130[[#This Row],[raw (GSM) coefficient]])*(ABS(mets272130[[#This Row],[raw (GSM) coefficient]])-$J$2),mets272130[[#This Row],[raw (GSM) coefficient]]))</f>
        <v>-0.30452400000000002</v>
      </c>
      <c r="H72" s="21">
        <f>mets272130[[#This Row],[coeff. w/o GAM]]</f>
        <v>-0.30452400000000002</v>
      </c>
      <c r="I72" s="161">
        <f t="shared" si="4"/>
        <v>-0.30216383435356048</v>
      </c>
      <c r="J72" s="21" cm="1">
        <f t="array" ref="J72">_xlfn.LET(_xlpm.id,mets272130[[#This Row],[name w/o location]],_xlpm.oldcoeff,mets272130[[#This Row],[normalized coeffs]],_xlpm.gam,$J$2-$G$2,_xlfn.IFS(IFERROR(MATCH(_xlpm.id,{"atp","h2o"},0),0)&gt;0,_xlpm.oldcoeff-_xlpm.gam,IFERROR(MATCH(_xlpm.id,{"adp","h","pi"},0),0)&gt;0,_xlpm.oldcoeff+_xlpm.gam,TRUE,_xlpm.oldcoeff))</f>
        <v>-0.30216383435356048</v>
      </c>
      <c r="K72" t="str" cm="1">
        <f t="array" ref="K72">"BIOSYN-"&amp;_xlfn.IFS(IFERROR(MATCH(mets272130[[#This Row],[category]],{0,"0",""},0),0)&gt;0,mets272130[[#This Row],[name]],TRUE,mets272130[[#This Row],[category]]&amp;"-"&amp;mets272130[[#This Row],[name]])</f>
        <v>BIOSYN-PROT-valtrna_c</v>
      </c>
      <c r="L72" s="149" t="str" cm="1">
        <f t="array" ref="L7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2" s="149" cm="1">
        <f t="array" ref="M7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-0.12977549295954202</v>
      </c>
      <c r="N72" s="149"/>
      <c r="O72" s="149"/>
      <c r="P72" s="149" t="str">
        <v>"phe__L_c":0.156209</v>
      </c>
      <c r="R72" s="149" t="str">
        <v>"phetrna_c":-0.156209</v>
      </c>
      <c r="S72" s="149">
        <v>-3.515688915782213E-3</v>
      </c>
      <c r="T72" s="149"/>
      <c r="V72" s="149"/>
    </row>
    <row r="73" spans="1:29" ht="16" x14ac:dyDescent="0.2">
      <c r="A73" s="144" t="s">
        <v>1360</v>
      </c>
      <c r="B73" t="str">
        <f>SUBSTITUTE(_xlfn.TEXTBEFORE(mets272130[[#This Row],[pasted JSON metabolite keys and values from GSM biomass rxn]],":"),CHAR(34),"")</f>
        <v>zn2_c</v>
      </c>
      <c r="C73" t="str">
        <f>_xlfn.TEXTBEFORE(mets272130[[#This Row],[name]],"_",-1)</f>
        <v>zn2</v>
      </c>
      <c r="D73" t="str">
        <f>_xlfn.XLOOKUP(mets272130[[#This Row],[name w/o location]],metaboliteInfo[name w/o location],metaboliteInfo[suggested category],"")</f>
        <v>METAL</v>
      </c>
      <c r="E73" s="21">
        <f>_xlfn.XLOOKUP(mets272130[[#This Row],[name w/o location]],metaboliteInfo[name w/o location],metaboliteInfo[MW for biomass normalization (g/mol)],0)</f>
        <v>65.38</v>
      </c>
      <c r="F73" s="21">
        <f>_xlfn.NUMBERVALUE(SUBSTITUTE(_xlfn.TEXTAFTER(mets272130[[#This Row],[pasted JSON metabolite keys and values from GSM biomass rxn]],":"),",",""))</f>
        <v>-1.5759999999999999E-3</v>
      </c>
      <c r="G73" s="21" cm="1">
        <f t="array" ref="G73">_xlfn.LET(_xlpm.id,mets272130[[#This Row],[name w/o location]],IF(IsElementOfSet_DIY(_xlpm.id,{"atp","adp","h","pi","h2o"}),SIGN(mets272130[[#This Row],[raw (GSM) coefficient]])*(ABS(mets272130[[#This Row],[raw (GSM) coefficient]])-$J$2),mets272130[[#This Row],[raw (GSM) coefficient]]))</f>
        <v>-1.5759999999999999E-3</v>
      </c>
      <c r="H73" s="21">
        <f>mets272130[[#This Row],[coeff. w/o GAM]]</f>
        <v>-1.5759999999999999E-3</v>
      </c>
      <c r="I73" s="161">
        <f t="shared" si="4"/>
        <v>-1.563785458424332E-3</v>
      </c>
      <c r="J73" s="21" cm="1">
        <f t="array" ref="J73">_xlfn.LET(_xlpm.id,mets272130[[#This Row],[name w/o location]],_xlpm.oldcoeff,mets272130[[#This Row],[normalized coeffs]],_xlpm.gam,$J$2-$G$2,_xlfn.IFS(IFERROR(MATCH(_xlpm.id,{"atp","h2o"},0),0)&gt;0,_xlpm.oldcoeff-_xlpm.gam,IFERROR(MATCH(_xlpm.id,{"adp","h","pi"},0),0)&gt;0,_xlpm.oldcoeff+_xlpm.gam,TRUE,_xlpm.oldcoeff))</f>
        <v>-1.563785458424332E-3</v>
      </c>
      <c r="K73" t="str" cm="1">
        <f t="array" ref="K73">"BIOSYN-"&amp;_xlfn.IFS(IFERROR(MATCH(mets272130[[#This Row],[category]],{0,"0",""},0),0)&gt;0,mets272130[[#This Row],[name]],TRUE,mets272130[[#This Row],[category]]&amp;"-"&amp;mets272130[[#This Row],[name]])</f>
        <v>BIOSYN-METAL-zn2_c</v>
      </c>
      <c r="L73" s="149" t="str" cm="1">
        <f t="array" ref="L7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MET-zn2_c --&gt; 0.06538 BIO-zn2_c</v>
      </c>
      <c r="M73" s="149" cm="1">
        <f t="array" ref="M7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-2.1201952056850741E-3</v>
      </c>
      <c r="N73" s="149"/>
      <c r="O73" s="149"/>
      <c r="P73" s="149" t="str">
        <v>"pro__L_c":0.175319</v>
      </c>
      <c r="R73" s="149" t="str">
        <v>"protrna_c":-0.175319</v>
      </c>
      <c r="S73" s="149">
        <v>9.2100669553376469E-3</v>
      </c>
      <c r="T73" s="149"/>
      <c r="V73" s="149"/>
    </row>
    <row r="74" spans="1:29" ht="16" x14ac:dyDescent="0.2">
      <c r="A74" s="144" t="s">
        <v>1385</v>
      </c>
      <c r="B74" t="str">
        <f>SUBSTITUTE(_xlfn.TEXTBEFORE(mets272130[[#This Row],[pasted JSON metabolite keys and values from GSM biomass rxn]],":"),CHAR(34),"")</f>
        <v>trnaala_c</v>
      </c>
      <c r="C74" t="str">
        <f>_xlfn.TEXTBEFORE(mets272130[[#This Row],[name]],"_",-1)</f>
        <v>trnaala</v>
      </c>
      <c r="D74" t="str">
        <f>_xlfn.XLOOKUP(mets272130[[#This Row],[name w/o location]],metaboliteInfo[name w/o location],metaboliteInfo[suggested category],"")</f>
        <v>ignore</v>
      </c>
      <c r="E74" s="21">
        <f>_xlfn.XLOOKUP(mets272130[[#This Row],[name w/o location]],metaboliteInfo[name w/o location],metaboliteInfo[MW for biomass normalization (g/mol)],0)</f>
        <v>0</v>
      </c>
      <c r="F74" s="21">
        <f>_xlfn.NUMBERVALUE(SUBSTITUTE(_xlfn.TEXTAFTER(mets272130[[#This Row],[pasted JSON metabolite keys and values from GSM biomass rxn]],":"),",",""))</f>
        <v>-0.405893</v>
      </c>
      <c r="G74" s="21" cm="1">
        <f t="array" ref="G74">_xlfn.LET(_xlpm.id,mets272130[[#This Row],[name w/o location]],IF(IsElementOfSet_DIY(_xlpm.id,{"atp","adp","h","pi","h2o"}),SIGN(mets272130[[#This Row],[raw (GSM) coefficient]])*(ABS(mets272130[[#This Row],[raw (GSM) coefficient]])-$J$2),mets272130[[#This Row],[raw (GSM) coefficient]]))</f>
        <v>-0.405893</v>
      </c>
      <c r="H74" s="21">
        <f>mets272130[[#This Row],[coeff. w/o GAM]]</f>
        <v>-0.405893</v>
      </c>
      <c r="I74" s="161">
        <f t="shared" si="4"/>
        <v>-0.40274718976917984</v>
      </c>
      <c r="J74" s="21" cm="1">
        <f t="array" ref="J74">_xlfn.LET(_xlpm.id,mets272130[[#This Row],[name w/o location]],_xlpm.oldcoeff,mets272130[[#This Row],[normalized coeffs]],_xlpm.gam,$J$2-$G$2,_xlfn.IFS(IFERROR(MATCH(_xlpm.id,{"atp","h2o"},0),0)&gt;0,_xlpm.oldcoeff-_xlpm.gam,IFERROR(MATCH(_xlpm.id,{"adp","h","pi"},0),0)&gt;0,_xlpm.oldcoeff+_xlpm.gam,TRUE,_xlpm.oldcoeff))</f>
        <v>-0.40274718976917984</v>
      </c>
      <c r="K74" t="str" cm="1">
        <f t="array" ref="K74">"BIOSYN-"&amp;_xlfn.IFS(IFERROR(MATCH(mets272130[[#This Row],[category]],{0,"0",""},0),0)&gt;0,mets272130[[#This Row],[name]],TRUE,mets272130[[#This Row],[category]]&amp;"-"&amp;mets272130[[#This Row],[name]])</f>
        <v>BIOSYN-ignore-trnaala_c</v>
      </c>
      <c r="L74" s="149" t="str" cm="1">
        <f t="array" ref="L7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4" s="149" cm="1">
        <f t="array" ref="M7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0.17297475458035289</v>
      </c>
      <c r="N74" s="149"/>
      <c r="O74" s="149"/>
      <c r="P74" s="149" t="str">
        <v>"ps_c":0.006643</v>
      </c>
      <c r="R74" s="149" t="str">
        <v>"ps_c":-0.006643</v>
      </c>
      <c r="S74" s="149">
        <v>7.7435488352272749E-2</v>
      </c>
      <c r="T74" s="149"/>
      <c r="V74" s="149"/>
    </row>
    <row r="75" spans="1:29" ht="16" x14ac:dyDescent="0.2">
      <c r="A75" s="144" t="s">
        <v>1386</v>
      </c>
      <c r="B75" t="str">
        <f>SUBSTITUTE(_xlfn.TEXTBEFORE(mets272130[[#This Row],[pasted JSON metabolite keys and values from GSM biomass rxn]],":"),CHAR(34),"")</f>
        <v>trnaarg_c</v>
      </c>
      <c r="C75" t="str">
        <f>_xlfn.TEXTBEFORE(mets272130[[#This Row],[name]],"_",-1)</f>
        <v>trnaarg</v>
      </c>
      <c r="D75" t="str">
        <f>_xlfn.XLOOKUP(mets272130[[#This Row],[name w/o location]],metaboliteInfo[name w/o location],metaboliteInfo[suggested category],"")</f>
        <v>ignore</v>
      </c>
      <c r="E75" s="21">
        <f>_xlfn.XLOOKUP(mets272130[[#This Row],[name w/o location]],metaboliteInfo[name w/o location],metaboliteInfo[MW for biomass normalization (g/mol)],0)</f>
        <v>0</v>
      </c>
      <c r="F75" s="21">
        <f>_xlfn.NUMBERVALUE(SUBSTITUTE(_xlfn.TEXTAFTER(mets272130[[#This Row],[pasted JSON metabolite keys and values from GSM biomass rxn]],":"),",",""))</f>
        <v>-0.16036300000000001</v>
      </c>
      <c r="G75" s="21" cm="1">
        <f t="array" ref="G75">_xlfn.LET(_xlpm.id,mets272130[[#This Row],[name w/o location]],IF(IsElementOfSet_DIY(_xlpm.id,{"atp","adp","h","pi","h2o"}),SIGN(mets272130[[#This Row],[raw (GSM) coefficient]])*(ABS(mets272130[[#This Row],[raw (GSM) coefficient]])-$J$2),mets272130[[#This Row],[raw (GSM) coefficient]]))</f>
        <v>-0.16036300000000001</v>
      </c>
      <c r="H75" s="21">
        <f>mets272130[[#This Row],[coeff. w/o GAM]]</f>
        <v>-0.16036300000000001</v>
      </c>
      <c r="I75" s="161">
        <f t="shared" si="4"/>
        <v>-0.1591201316429576</v>
      </c>
      <c r="J75" s="21" cm="1">
        <f t="array" ref="J75">_xlfn.LET(_xlpm.id,mets272130[[#This Row],[name w/o location]],_xlpm.oldcoeff,mets272130[[#This Row],[normalized coeffs]],_xlpm.gam,$J$2-$G$2,_xlfn.IFS(IFERROR(MATCH(_xlpm.id,{"atp","h2o"},0),0)&gt;0,_xlpm.oldcoeff-_xlpm.gam,IFERROR(MATCH(_xlpm.id,{"adp","h","pi"},0),0)&gt;0,_xlpm.oldcoeff+_xlpm.gam,TRUE,_xlpm.oldcoeff))</f>
        <v>-0.1591201316429576</v>
      </c>
      <c r="K75" t="str" cm="1">
        <f t="array" ref="K75">"BIOSYN-"&amp;_xlfn.IFS(IFERROR(MATCH(mets272130[[#This Row],[category]],{0,"0",""},0),0)&gt;0,mets272130[[#This Row],[name]],TRUE,mets272130[[#This Row],[category]]&amp;"-"&amp;mets272130[[#This Row],[name]])</f>
        <v>BIOSYN-ignore-trnaarg_c</v>
      </c>
      <c r="L75" s="149" t="str" cm="1">
        <f t="array" ref="L7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5" s="149" cm="1">
        <f t="array" ref="M7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6.8340056538962565E-2</v>
      </c>
      <c r="N75" s="149"/>
      <c r="O75" s="149"/>
      <c r="P75" s="149" t="str">
        <v>"ser__L_c":0.221434</v>
      </c>
      <c r="R75" s="149" t="str">
        <v>"sertrna_c":-0.221434</v>
      </c>
      <c r="S75" s="149">
        <v>2.4632996648588926E-2</v>
      </c>
      <c r="T75" s="149"/>
      <c r="V75" s="149"/>
    </row>
    <row r="76" spans="1:29" ht="16" x14ac:dyDescent="0.2">
      <c r="A76" s="144" t="s">
        <v>1387</v>
      </c>
      <c r="B76" t="str">
        <f>SUBSTITUTE(_xlfn.TEXTBEFORE(mets272130[[#This Row],[pasted JSON metabolite keys and values from GSM biomass rxn]],":"),CHAR(34),"")</f>
        <v>trnaasn_c</v>
      </c>
      <c r="C76" t="str">
        <f>_xlfn.TEXTBEFORE(mets272130[[#This Row],[name]],"_",-1)</f>
        <v>trnaasn</v>
      </c>
      <c r="D76" t="str">
        <f>_xlfn.XLOOKUP(mets272130[[#This Row],[name w/o location]],metaboliteInfo[name w/o location],metaboliteInfo[suggested category],"")</f>
        <v>ignore</v>
      </c>
      <c r="E76" s="21">
        <f>_xlfn.XLOOKUP(mets272130[[#This Row],[name w/o location]],metaboliteInfo[name w/o location],metaboliteInfo[MW for biomass normalization (g/mol)],0)</f>
        <v>0</v>
      </c>
      <c r="F76" s="21">
        <f>_xlfn.NUMBERVALUE(SUBSTITUTE(_xlfn.TEXTAFTER(mets272130[[#This Row],[pasted JSON metabolite keys and values from GSM biomass rxn]],":"),",",""))</f>
        <v>-0.19276799999999999</v>
      </c>
      <c r="G76" s="21" cm="1">
        <f t="array" ref="G76">_xlfn.LET(_xlpm.id,mets272130[[#This Row],[name w/o location]],IF(IsElementOfSet_DIY(_xlpm.id,{"atp","adp","h","pi","h2o"}),SIGN(mets272130[[#This Row],[raw (GSM) coefficient]])*(ABS(mets272130[[#This Row],[raw (GSM) coefficient]])-$J$2),mets272130[[#This Row],[raw (GSM) coefficient]]))</f>
        <v>-0.19276799999999999</v>
      </c>
      <c r="H76" s="21">
        <f>mets272130[[#This Row],[coeff. w/o GAM]]</f>
        <v>-0.19276799999999999</v>
      </c>
      <c r="I76" s="161">
        <f t="shared" si="4"/>
        <v>-0.19127398175732338</v>
      </c>
      <c r="J76" s="21" cm="1">
        <f t="array" ref="J76">_xlfn.LET(_xlpm.id,mets272130[[#This Row],[name w/o location]],_xlpm.oldcoeff,mets272130[[#This Row],[normalized coeffs]],_xlpm.gam,$J$2-$G$2,_xlfn.IFS(IFERROR(MATCH(_xlpm.id,{"atp","h2o"},0),0)&gt;0,_xlpm.oldcoeff-_xlpm.gam,IFERROR(MATCH(_xlpm.id,{"adp","h","pi"},0),0)&gt;0,_xlpm.oldcoeff+_xlpm.gam,TRUE,_xlpm.oldcoeff))</f>
        <v>-0.19127398175732338</v>
      </c>
      <c r="K76" t="str" cm="1">
        <f t="array" ref="K76">"BIOSYN-"&amp;_xlfn.IFS(IFERROR(MATCH(mets272130[[#This Row],[category]],{0,"0",""},0),0)&gt;0,mets272130[[#This Row],[name]],TRUE,mets272130[[#This Row],[category]]&amp;"-"&amp;mets272130[[#This Row],[name]])</f>
        <v>BIOSYN-ignore-trnaasn_c</v>
      </c>
      <c r="L76" s="149" t="str" cm="1">
        <f t="array" ref="L7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6" s="149" cm="1">
        <f t="array" ref="M7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8.2149722934235045E-2</v>
      </c>
      <c r="N76" s="149"/>
      <c r="O76" s="149"/>
      <c r="P76" s="149" t="str">
        <v>"so4_c":0.031223</v>
      </c>
      <c r="R76" s="149" t="str">
        <v>"so4_c":-0.031223</v>
      </c>
      <c r="S76" s="149">
        <v>-5.4432010650434876E-5</v>
      </c>
      <c r="T76" s="149"/>
      <c r="V76" s="149"/>
    </row>
    <row r="77" spans="1:29" ht="16" x14ac:dyDescent="0.2">
      <c r="A77" s="144" t="s">
        <v>1388</v>
      </c>
      <c r="B77" t="str">
        <f>SUBSTITUTE(_xlfn.TEXTBEFORE(mets272130[[#This Row],[pasted JSON metabolite keys and values from GSM biomass rxn]],":"),CHAR(34),"")</f>
        <v>trnaasp_c</v>
      </c>
      <c r="C77" t="str">
        <f>_xlfn.TEXTBEFORE(mets272130[[#This Row],[name]],"_",-1)</f>
        <v>trnaasp</v>
      </c>
      <c r="D77" t="str">
        <f>_xlfn.XLOOKUP(mets272130[[#This Row],[name w/o location]],metaboliteInfo[name w/o location],metaboliteInfo[suggested category],"")</f>
        <v>ignore</v>
      </c>
      <c r="E77" s="21">
        <f>_xlfn.XLOOKUP(mets272130[[#This Row],[name w/o location]],metaboliteInfo[name w/o location],metaboliteInfo[MW for biomass normalization (g/mol)],0)</f>
        <v>0</v>
      </c>
      <c r="F77" s="21">
        <f>_xlfn.NUMBERVALUE(SUBSTITUTE(_xlfn.TEXTAFTER(mets272130[[#This Row],[pasted JSON metabolite keys and values from GSM biomass rxn]],":"),",",""))</f>
        <v>-0.19276799999999999</v>
      </c>
      <c r="G77" s="21" cm="1">
        <f t="array" ref="G77">_xlfn.LET(_xlpm.id,mets272130[[#This Row],[name w/o location]],IF(IsElementOfSet_DIY(_xlpm.id,{"atp","adp","h","pi","h2o"}),SIGN(mets272130[[#This Row],[raw (GSM) coefficient]])*(ABS(mets272130[[#This Row],[raw (GSM) coefficient]])-$J$2),mets272130[[#This Row],[raw (GSM) coefficient]]))</f>
        <v>-0.19276799999999999</v>
      </c>
      <c r="H77" s="21">
        <f>mets272130[[#This Row],[coeff. w/o GAM]]</f>
        <v>-0.19276799999999999</v>
      </c>
      <c r="I77" s="161">
        <f t="shared" si="4"/>
        <v>-0.19127398175732338</v>
      </c>
      <c r="J77" s="21" cm="1">
        <f t="array" ref="J77">_xlfn.LET(_xlpm.id,mets272130[[#This Row],[name w/o location]],_xlpm.oldcoeff,mets272130[[#This Row],[normalized coeffs]],_xlpm.gam,$J$2-$G$2,_xlfn.IFS(IFERROR(MATCH(_xlpm.id,{"atp","h2o"},0),0)&gt;0,_xlpm.oldcoeff-_xlpm.gam,IFERROR(MATCH(_xlpm.id,{"adp","h","pi"},0),0)&gt;0,_xlpm.oldcoeff+_xlpm.gam,TRUE,_xlpm.oldcoeff))</f>
        <v>-0.19127398175732338</v>
      </c>
      <c r="K77" t="str" cm="1">
        <f t="array" ref="K77">"BIOSYN-"&amp;_xlfn.IFS(IFERROR(MATCH(mets272130[[#This Row],[category]],{0,"0",""},0),0)&gt;0,mets272130[[#This Row],[name]],TRUE,mets272130[[#This Row],[category]]&amp;"-"&amp;mets272130[[#This Row],[name]])</f>
        <v>BIOSYN-ignore-trnaasp_c</v>
      </c>
      <c r="L77" s="149" t="str" cm="1">
        <f t="array" ref="L7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7" s="149" cm="1">
        <f t="array" ref="M7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8.2149722934235045E-2</v>
      </c>
      <c r="N77" s="149"/>
      <c r="O77" s="149"/>
      <c r="P77" s="149" t="str">
        <v>"tag_c":0.010494</v>
      </c>
      <c r="R77" s="149" t="str">
        <v>"tag_c":-0.010494</v>
      </c>
      <c r="S77" s="149">
        <v>9.8532013799593615E-3</v>
      </c>
      <c r="T77" s="149"/>
      <c r="V77" s="149"/>
    </row>
    <row r="78" spans="1:29" ht="16" x14ac:dyDescent="0.2">
      <c r="A78" s="144" t="s">
        <v>1389</v>
      </c>
      <c r="B78" t="str">
        <f>SUBSTITUTE(_xlfn.TEXTBEFORE(mets272130[[#This Row],[pasted JSON metabolite keys and values from GSM biomass rxn]],":"),CHAR(34),"")</f>
        <v>trnacys_c</v>
      </c>
      <c r="C78" t="str">
        <f>_xlfn.TEXTBEFORE(mets272130[[#This Row],[name]],"_",-1)</f>
        <v>trnacys</v>
      </c>
      <c r="D78" t="str">
        <f>_xlfn.XLOOKUP(mets272130[[#This Row],[name w/o location]],metaboliteInfo[name w/o location],metaboliteInfo[suggested category],"")</f>
        <v>ignore</v>
      </c>
      <c r="E78" s="21">
        <f>_xlfn.XLOOKUP(mets272130[[#This Row],[name w/o location]],metaboliteInfo[name w/o location],metaboliteInfo[MW for biomass normalization (g/mol)],0)</f>
        <v>0</v>
      </c>
      <c r="F78" s="21">
        <f>_xlfn.NUMBERVALUE(SUBSTITUTE(_xlfn.TEXTAFTER(mets272130[[#This Row],[pasted JSON metabolite keys and values from GSM biomass rxn]],":"),",",""))</f>
        <v>-5.816E-3</v>
      </c>
      <c r="G78" s="21" cm="1">
        <f t="array" ref="G78">_xlfn.LET(_xlpm.id,mets272130[[#This Row],[name w/o location]],IF(IsElementOfSet_DIY(_xlpm.id,{"atp","adp","h","pi","h2o"}),SIGN(mets272130[[#This Row],[raw (GSM) coefficient]])*(ABS(mets272130[[#This Row],[raw (GSM) coefficient]])-$J$2),mets272130[[#This Row],[raw (GSM) coefficient]]))</f>
        <v>-5.816E-3</v>
      </c>
      <c r="H78" s="21">
        <f>mets272130[[#This Row],[coeff. w/o GAM]]</f>
        <v>-5.816E-3</v>
      </c>
      <c r="I78" s="161">
        <f t="shared" si="4"/>
        <v>-5.7709240013933474E-3</v>
      </c>
      <c r="J78" s="21" cm="1">
        <f t="array" ref="J78">_xlfn.LET(_xlpm.id,mets272130[[#This Row],[name w/o location]],_xlpm.oldcoeff,mets272130[[#This Row],[normalized coeffs]],_xlpm.gam,$J$2-$G$2,_xlfn.IFS(IFERROR(MATCH(_xlpm.id,{"atp","h2o"},0),0)&gt;0,_xlpm.oldcoeff-_xlpm.gam,IFERROR(MATCH(_xlpm.id,{"adp","h","pi"},0),0)&gt;0,_xlpm.oldcoeff+_xlpm.gam,TRUE,_xlpm.oldcoeff))</f>
        <v>-5.7709240013933474E-3</v>
      </c>
      <c r="K78" t="str" cm="1">
        <f t="array" ref="K78">"BIOSYN-"&amp;_xlfn.IFS(IFERROR(MATCH(mets272130[[#This Row],[category]],{0,"0",""},0),0)&gt;0,mets272130[[#This Row],[name]],TRUE,mets272130[[#This Row],[category]]&amp;"-"&amp;mets272130[[#This Row],[name]])</f>
        <v>BIOSYN-ignore-trnacys_c</v>
      </c>
      <c r="L78" s="149" t="str" cm="1">
        <f t="array" ref="L7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8" s="149" cm="1">
        <f t="array" ref="M7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2.4785378723932968E-3</v>
      </c>
      <c r="N78" s="149"/>
      <c r="O78" s="149"/>
      <c r="P78" s="149" t="str">
        <v>"thr__L_c":0.231405</v>
      </c>
      <c r="R78" s="149" t="str">
        <v>"thrtrna_c":-0.231405</v>
      </c>
      <c r="S78" s="149">
        <v>0.44876955120623963</v>
      </c>
      <c r="T78" s="149"/>
      <c r="V78" s="149"/>
    </row>
    <row r="79" spans="1:29" ht="16" x14ac:dyDescent="0.2">
      <c r="A79" s="144" t="s">
        <v>1390</v>
      </c>
      <c r="B79" t="str">
        <f>SUBSTITUTE(_xlfn.TEXTBEFORE(mets272130[[#This Row],[pasted JSON metabolite keys and values from GSM biomass rxn]],":"),CHAR(34),"")</f>
        <v>trnagln_c</v>
      </c>
      <c r="C79" t="str">
        <f>_xlfn.TEXTBEFORE(mets272130[[#This Row],[name]],"_",-1)</f>
        <v>trnagln</v>
      </c>
      <c r="D79" t="str">
        <f>_xlfn.XLOOKUP(mets272130[[#This Row],[name w/o location]],metaboliteInfo[name w/o location],metaboliteInfo[suggested category],"")</f>
        <v>ignore</v>
      </c>
      <c r="E79" s="21">
        <f>_xlfn.XLOOKUP(mets272130[[#This Row],[name w/o location]],metaboliteInfo[name w/o location],metaboliteInfo[MW for biomass normalization (g/mol)],0)</f>
        <v>0</v>
      </c>
      <c r="F79" s="21">
        <f>_xlfn.NUMBERVALUE(SUBSTITUTE(_xlfn.TEXTAFTER(mets272130[[#This Row],[pasted JSON metabolite keys and values from GSM biomass rxn]],":"),",",""))</f>
        <v>-0.32155699999999998</v>
      </c>
      <c r="G79" s="21" cm="1">
        <f t="array" ref="G79">_xlfn.LET(_xlpm.id,mets272130[[#This Row],[name w/o location]],IF(IsElementOfSet_DIY(_xlpm.id,{"atp","adp","h","pi","h2o"}),SIGN(mets272130[[#This Row],[raw (GSM) coefficient]])*(ABS(mets272130[[#This Row],[raw (GSM) coefficient]])-$J$2),mets272130[[#This Row],[raw (GSM) coefficient]]))</f>
        <v>-0.32155699999999998</v>
      </c>
      <c r="H79" s="21">
        <f>mets272130[[#This Row],[coeff. w/o GAM]]</f>
        <v>-0.32155699999999998</v>
      </c>
      <c r="I79" s="161">
        <f t="shared" si="4"/>
        <v>-0.31906482275035086</v>
      </c>
      <c r="J79" s="21" cm="1">
        <f t="array" ref="J79">_xlfn.LET(_xlpm.id,mets272130[[#This Row],[name w/o location]],_xlpm.oldcoeff,mets272130[[#This Row],[normalized coeffs]],_xlpm.gam,$J$2-$G$2,_xlfn.IFS(IFERROR(MATCH(_xlpm.id,{"atp","h2o"},0),0)&gt;0,_xlpm.oldcoeff-_xlpm.gam,IFERROR(MATCH(_xlpm.id,{"adp","h","pi"},0),0)&gt;0,_xlpm.oldcoeff+_xlpm.gam,TRUE,_xlpm.oldcoeff))</f>
        <v>-0.31906482275035086</v>
      </c>
      <c r="K79" t="str" cm="1">
        <f t="array" ref="K79">"BIOSYN-"&amp;_xlfn.IFS(IFERROR(MATCH(mets272130[[#This Row],[category]],{0,"0",""},0),0)&gt;0,mets272130[[#This Row],[name]],TRUE,mets272130[[#This Row],[category]]&amp;"-"&amp;mets272130[[#This Row],[name]])</f>
        <v>BIOSYN-ignore-trnagln_c</v>
      </c>
      <c r="L79" s="149" t="str" cm="1">
        <f t="array" ref="L7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79" s="149" cm="1">
        <f t="array" ref="M7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0.13703425079662507</v>
      </c>
      <c r="N79" s="149"/>
      <c r="O79" s="149"/>
      <c r="P79" s="149" t="str">
        <v>"tre_c":0.137707</v>
      </c>
      <c r="R79" s="149" t="str">
        <v>"tre_c":-0.137707</v>
      </c>
      <c r="S79" s="149">
        <v>0.11055802717166559</v>
      </c>
      <c r="T79" s="149"/>
      <c r="V79" s="149"/>
    </row>
    <row r="80" spans="1:29" ht="16" x14ac:dyDescent="0.2">
      <c r="A80" s="144" t="s">
        <v>1391</v>
      </c>
      <c r="B80" t="str">
        <f>SUBSTITUTE(_xlfn.TEXTBEFORE(mets272130[[#This Row],[pasted JSON metabolite keys and values from GSM biomass rxn]],":"),CHAR(34),"")</f>
        <v>trnaglu_c</v>
      </c>
      <c r="C80" t="str">
        <f>_xlfn.TEXTBEFORE(mets272130[[#This Row],[name]],"_",-1)</f>
        <v>trnaglu</v>
      </c>
      <c r="D80" t="str">
        <f>_xlfn.XLOOKUP(mets272130[[#This Row],[name w/o location]],metaboliteInfo[name w/o location],metaboliteInfo[suggested category],"")</f>
        <v>ignore</v>
      </c>
      <c r="E80" s="21">
        <f>_xlfn.XLOOKUP(mets272130[[#This Row],[name w/o location]],metaboliteInfo[name w/o location],metaboliteInfo[MW for biomass normalization (g/mol)],0)</f>
        <v>0</v>
      </c>
      <c r="F80" s="21">
        <f>_xlfn.NUMBERVALUE(SUBSTITUTE(_xlfn.TEXTAFTER(mets272130[[#This Row],[pasted JSON metabolite keys and values from GSM biomass rxn]],":"),",",""))</f>
        <v>-0.32155699999999998</v>
      </c>
      <c r="G80" s="21" cm="1">
        <f t="array" ref="G80">_xlfn.LET(_xlpm.id,mets272130[[#This Row],[name w/o location]],IF(IsElementOfSet_DIY(_xlpm.id,{"atp","adp","h","pi","h2o"}),SIGN(mets272130[[#This Row],[raw (GSM) coefficient]])*(ABS(mets272130[[#This Row],[raw (GSM) coefficient]])-$J$2),mets272130[[#This Row],[raw (GSM) coefficient]]))</f>
        <v>-0.32155699999999998</v>
      </c>
      <c r="H80" s="21">
        <f>mets272130[[#This Row],[coeff. w/o GAM]]</f>
        <v>-0.32155699999999998</v>
      </c>
      <c r="I80" s="161">
        <f t="shared" si="4"/>
        <v>-0.31906482275035086</v>
      </c>
      <c r="J80" s="21" cm="1">
        <f t="array" ref="J80">_xlfn.LET(_xlpm.id,mets272130[[#This Row],[name w/o location]],_xlpm.oldcoeff,mets272130[[#This Row],[normalized coeffs]],_xlpm.gam,$J$2-$G$2,_xlfn.IFS(IFERROR(MATCH(_xlpm.id,{"atp","h2o"},0),0)&gt;0,_xlpm.oldcoeff-_xlpm.gam,IFERROR(MATCH(_xlpm.id,{"adp","h","pi"},0),0)&gt;0,_xlpm.oldcoeff+_xlpm.gam,TRUE,_xlpm.oldcoeff))</f>
        <v>-0.31906482275035086</v>
      </c>
      <c r="K80" t="str" cm="1">
        <f t="array" ref="K80">"BIOSYN-"&amp;_xlfn.IFS(IFERROR(MATCH(mets272130[[#This Row],[category]],{0,"0",""},0),0)&gt;0,mets272130[[#This Row],[name]],TRUE,mets272130[[#This Row],[category]]&amp;"-"&amp;mets272130[[#This Row],[name]])</f>
        <v>BIOSYN-ignore-trnaglu_c</v>
      </c>
      <c r="L80" s="149" t="str" cm="1">
        <f t="array" ref="L8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0" s="149" cm="1">
        <f t="array" ref="M8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0.13703425079662507</v>
      </c>
      <c r="N80" s="149"/>
      <c r="O80" s="149"/>
      <c r="P80" s="149" t="str">
        <v>"trp__L_c":0.027004</v>
      </c>
      <c r="R80" s="149" t="str">
        <v>"trptrna_c":-0.027004</v>
      </c>
      <c r="S80" s="149">
        <v>2.91432973819353E-3</v>
      </c>
      <c r="T80" s="149"/>
      <c r="V80" s="149"/>
    </row>
    <row r="81" spans="1:22" ht="16" x14ac:dyDescent="0.2">
      <c r="A81" s="144" t="s">
        <v>1392</v>
      </c>
      <c r="B81" t="str">
        <f>SUBSTITUTE(_xlfn.TEXTBEFORE(mets272130[[#This Row],[pasted JSON metabolite keys and values from GSM biomass rxn]],":"),CHAR(34),"")</f>
        <v>trnahis_c</v>
      </c>
      <c r="C81" t="str">
        <f>_xlfn.TEXTBEFORE(mets272130[[#This Row],[name]],"_",-1)</f>
        <v>trnahis</v>
      </c>
      <c r="D81" t="str">
        <f>_xlfn.XLOOKUP(mets272130[[#This Row],[name w/o location]],metaboliteInfo[name w/o location],metaboliteInfo[suggested category],"")</f>
        <v>ignore</v>
      </c>
      <c r="E81" s="21">
        <f>_xlfn.XLOOKUP(mets272130[[#This Row],[name w/o location]],metaboliteInfo[name w/o location],metaboliteInfo[MW for biomass normalization (g/mol)],0)</f>
        <v>0</v>
      </c>
      <c r="F81" s="21">
        <f>_xlfn.NUMBERVALUE(SUBSTITUTE(_xlfn.TEXTAFTER(mets272130[[#This Row],[pasted JSON metabolite keys and values from GSM biomass rxn]],":"),",",""))</f>
        <v>-8.0182000000000003E-2</v>
      </c>
      <c r="G81" s="21" cm="1">
        <f t="array" ref="G81">_xlfn.LET(_xlpm.id,mets272130[[#This Row],[name w/o location]],IF(IsElementOfSet_DIY(_xlpm.id,{"atp","adp","h","pi","h2o"}),SIGN(mets272130[[#This Row],[raw (GSM) coefficient]])*(ABS(mets272130[[#This Row],[raw (GSM) coefficient]])-$J$2),mets272130[[#This Row],[raw (GSM) coefficient]]))</f>
        <v>-8.0182000000000003E-2</v>
      </c>
      <c r="H81" s="161">
        <f>mets272130[[#This Row],[coeff. w/o GAM]]</f>
        <v>-8.0182000000000003E-2</v>
      </c>
      <c r="I81" s="161">
        <f t="shared" si="4"/>
        <v>-7.9560561946306979E-2</v>
      </c>
      <c r="J81" s="21" cm="1">
        <f t="array" ref="J81">_xlfn.LET(_xlpm.id,mets272130[[#This Row],[name w/o location]],_xlpm.oldcoeff,mets272130[[#This Row],[normalized coeffs]],_xlpm.gam,$J$2-$G$2,_xlfn.IFS(IFERROR(MATCH(_xlpm.id,{"atp","h2o"},0),0)&gt;0,_xlpm.oldcoeff-_xlpm.gam,IFERROR(MATCH(_xlpm.id,{"adp","h","pi"},0),0)&gt;0,_xlpm.oldcoeff+_xlpm.gam,TRUE,_xlpm.oldcoeff))</f>
        <v>-7.9560561946306979E-2</v>
      </c>
      <c r="K81" t="str" cm="1">
        <f t="array" ref="K81">"BIOSYN-"&amp;_xlfn.IFS(IFERROR(MATCH(mets272130[[#This Row],[category]],{0,"0",""},0),0)&gt;0,mets272130[[#This Row],[name]],TRUE,mets272130[[#This Row],[category]]&amp;"-"&amp;mets272130[[#This Row],[name]])</f>
        <v>BIOSYN-ignore-trnahis_c</v>
      </c>
      <c r="L81" s="149" t="str" cm="1">
        <f t="array" ref="L8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1" s="149" cm="1">
        <f t="array" ref="M8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3.4170241348734413E-2</v>
      </c>
      <c r="N81" s="149"/>
      <c r="O81" s="149"/>
      <c r="P81" s="149" t="str">
        <v>"tyr__L_c":0.081428</v>
      </c>
      <c r="R81" s="149" t="str">
        <v>"tyrtrna_c":-0.081428</v>
      </c>
      <c r="S81" s="149"/>
      <c r="T81" s="149"/>
      <c r="U81" s="149"/>
      <c r="V81" s="149"/>
    </row>
    <row r="82" spans="1:22" ht="16" x14ac:dyDescent="0.2">
      <c r="A82" s="144" t="s">
        <v>1393</v>
      </c>
      <c r="B82" t="str">
        <f>SUBSTITUTE(_xlfn.TEXTBEFORE(mets272130[[#This Row],[pasted JSON metabolite keys and values from GSM biomass rxn]],":"),CHAR(34),"")</f>
        <v>trnaile_c</v>
      </c>
      <c r="C82" t="str">
        <f>_xlfn.TEXTBEFORE(mets272130[[#This Row],[name]],"_",-1)</f>
        <v>trnaile</v>
      </c>
      <c r="D82" t="str">
        <f>_xlfn.XLOOKUP(mets272130[[#This Row],[name w/o location]],metaboliteInfo[name w/o location],metaboliteInfo[suggested category],"")</f>
        <v>ignore</v>
      </c>
      <c r="E82" s="21">
        <f>_xlfn.XLOOKUP(mets272130[[#This Row],[name w/o location]],metaboliteInfo[name w/o location],metaboliteInfo[MW for biomass normalization (g/mol)],0)</f>
        <v>0</v>
      </c>
      <c r="F82" s="21">
        <f>_xlfn.NUMBERVALUE(SUBSTITUTE(_xlfn.TEXTAFTER(mets272130[[#This Row],[pasted JSON metabolite keys and values from GSM biomass rxn]],":"),",",""))</f>
        <v>-0.244699</v>
      </c>
      <c r="G82" s="21" cm="1">
        <f t="array" ref="G82">_xlfn.LET(_xlpm.id,mets272130[[#This Row],[name w/o location]],IF(IsElementOfSet_DIY(_xlpm.id,{"atp","adp","h","pi","h2o"}),SIGN(mets272130[[#This Row],[raw (GSM) coefficient]])*(ABS(mets272130[[#This Row],[raw (GSM) coefficient]])-$J$2),mets272130[[#This Row],[raw (GSM) coefficient]]))</f>
        <v>-0.244699</v>
      </c>
      <c r="H82" s="161">
        <f>mets272130[[#This Row],[coeff. w/o GAM]]</f>
        <v>-0.244699</v>
      </c>
      <c r="I82" s="161">
        <f t="shared" si="4"/>
        <v>-0.24280249866178658</v>
      </c>
      <c r="J82" s="21" cm="1">
        <f t="array" ref="J82">_xlfn.LET(_xlpm.id,mets272130[[#This Row],[name w/o location]],_xlpm.oldcoeff,mets272130[[#This Row],[normalized coeffs]],_xlpm.gam,$J$2-$G$2,_xlfn.IFS(IFERROR(MATCH(_xlpm.id,{"atp","h2o"},0),0)&gt;0,_xlpm.oldcoeff-_xlpm.gam,IFERROR(MATCH(_xlpm.id,{"adp","h","pi"},0),0)&gt;0,_xlpm.oldcoeff+_xlpm.gam,TRUE,_xlpm.oldcoeff))</f>
        <v>-0.24280249866178658</v>
      </c>
      <c r="K82" t="str" cm="1">
        <f t="array" ref="K82">"BIOSYN-"&amp;_xlfn.IFS(IFERROR(MATCH(mets272130[[#This Row],[category]],{0,"0",""},0),0)&gt;0,mets272130[[#This Row],[name]],TRUE,mets272130[[#This Row],[category]]&amp;"-"&amp;mets272130[[#This Row],[name]])</f>
        <v>BIOSYN-ignore-trnaile_c</v>
      </c>
      <c r="L82" s="149" t="str" cm="1">
        <f t="array" ref="L8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2" s="149" cm="1">
        <f t="array" ref="M8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0.1042805603226904</v>
      </c>
      <c r="N82" s="149"/>
      <c r="O82" s="149"/>
      <c r="P82" s="149" t="str">
        <v>"utp_c":0.062537</v>
      </c>
      <c r="R82" s="149" t="str">
        <v>"utp_c":-0.062537</v>
      </c>
      <c r="S82" s="149"/>
      <c r="T82" s="149"/>
      <c r="U82" s="149"/>
      <c r="V82" s="149"/>
    </row>
    <row r="83" spans="1:22" ht="16" x14ac:dyDescent="0.2">
      <c r="A83" s="144" t="s">
        <v>1394</v>
      </c>
      <c r="B83" t="str">
        <f>SUBSTITUTE(_xlfn.TEXTBEFORE(mets272130[[#This Row],[pasted JSON metabolite keys and values from GSM biomass rxn]],":"),CHAR(34),"")</f>
        <v>trnaleu_c</v>
      </c>
      <c r="C83" t="str">
        <f>_xlfn.TEXTBEFORE(mets272130[[#This Row],[name]],"_",-1)</f>
        <v>trnaleu</v>
      </c>
      <c r="D83" t="str">
        <f>_xlfn.XLOOKUP(mets272130[[#This Row],[name w/o location]],metaboliteInfo[name w/o location],metaboliteInfo[suggested category],"")</f>
        <v>ignore</v>
      </c>
      <c r="E83" s="21">
        <f>_xlfn.XLOOKUP(mets272130[[#This Row],[name w/o location]],metaboliteInfo[name w/o location],metaboliteInfo[MW for biomass normalization (g/mol)],0)</f>
        <v>0</v>
      </c>
      <c r="F83" s="21">
        <f>_xlfn.NUMBERVALUE(SUBSTITUTE(_xlfn.TEXTAFTER(mets272130[[#This Row],[pasted JSON metabolite keys and values from GSM biomass rxn]],":"),",",""))</f>
        <v>-0.33277400000000001</v>
      </c>
      <c r="G83" s="21" cm="1">
        <f t="array" ref="G83">_xlfn.LET(_xlpm.id,mets272130[[#This Row],[name w/o location]],IF(IsElementOfSet_DIY(_xlpm.id,{"atp","adp","h","pi","h2o"}),SIGN(mets272130[[#This Row],[raw (GSM) coefficient]])*(ABS(mets272130[[#This Row],[raw (GSM) coefficient]])-$J$2),mets272130[[#This Row],[raw (GSM) coefficient]]))</f>
        <v>-0.33277400000000001</v>
      </c>
      <c r="H83" s="161">
        <f>mets272130[[#This Row],[coeff. w/o GAM]]</f>
        <v>-0.33277400000000001</v>
      </c>
      <c r="I83" s="161">
        <f t="shared" si="4"/>
        <v>-0.33019488714574791</v>
      </c>
      <c r="J83" s="21" cm="1">
        <f t="array" ref="J83">_xlfn.LET(_xlpm.id,mets272130[[#This Row],[name w/o location]],_xlpm.oldcoeff,mets272130[[#This Row],[normalized coeffs]],_xlpm.gam,$J$2-$G$2,_xlfn.IFS(IFERROR(MATCH(_xlpm.id,{"atp","h2o"},0),0)&gt;0,_xlpm.oldcoeff-_xlpm.gam,IFERROR(MATCH(_xlpm.id,{"adp","h","pi"},0),0)&gt;0,_xlpm.oldcoeff+_xlpm.gam,TRUE,_xlpm.oldcoeff))</f>
        <v>-0.33019488714574791</v>
      </c>
      <c r="K83" t="str" cm="1">
        <f t="array" ref="K83">"BIOSYN-"&amp;_xlfn.IFS(IFERROR(MATCH(mets272130[[#This Row],[category]],{0,"0",""},0),0)&gt;0,mets272130[[#This Row],[name]],TRUE,mets272130[[#This Row],[category]]&amp;"-"&amp;mets272130[[#This Row],[name]])</f>
        <v>BIOSYN-ignore-trnaleu_c</v>
      </c>
      <c r="L83" s="149" t="str" cm="1">
        <f t="array" ref="L8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3" s="149" cm="1">
        <f t="array" ref="M8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0.14181447076131481</v>
      </c>
      <c r="N83" s="149"/>
      <c r="O83" s="149"/>
      <c r="P83" s="149" t="str">
        <v>"val__L_c":0.304524</v>
      </c>
      <c r="R83" s="149" t="str">
        <v>"valtrna_c":-0.304524</v>
      </c>
      <c r="S83" s="149"/>
      <c r="T83" s="149"/>
      <c r="U83" s="149"/>
      <c r="V83" s="149"/>
    </row>
    <row r="84" spans="1:22" ht="16" x14ac:dyDescent="0.2">
      <c r="A84" s="144" t="s">
        <v>1395</v>
      </c>
      <c r="B84" t="str">
        <f>SUBSTITUTE(_xlfn.TEXTBEFORE(mets272130[[#This Row],[pasted JSON metabolite keys and values from GSM biomass rxn]],":"),CHAR(34),"")</f>
        <v>trnalys_c</v>
      </c>
      <c r="C84" t="str">
        <f>_xlfn.TEXTBEFORE(mets272130[[#This Row],[name]],"_",-1)</f>
        <v>trnalys</v>
      </c>
      <c r="D84" t="str">
        <f>_xlfn.XLOOKUP(mets272130[[#This Row],[name w/o location]],metaboliteInfo[name w/o location],metaboliteInfo[suggested category],"")</f>
        <v>ignore</v>
      </c>
      <c r="E84" s="21">
        <f>_xlfn.XLOOKUP(mets272130[[#This Row],[name w/o location]],metaboliteInfo[name w/o location],metaboliteInfo[MW for biomass normalization (g/mol)],0)</f>
        <v>0</v>
      </c>
      <c r="F84" s="21">
        <f>_xlfn.NUMBERVALUE(SUBSTITUTE(_xlfn.TEXTAFTER(mets272130[[#This Row],[pasted JSON metabolite keys and values from GSM biomass rxn]],":"),",",""))</f>
        <v>-0.27295000000000003</v>
      </c>
      <c r="G84" s="21" cm="1">
        <f t="array" ref="G84">_xlfn.LET(_xlpm.id,mets272130[[#This Row],[name w/o location]],IF(IsElementOfSet_DIY(_xlpm.id,{"atp","adp","h","pi","h2o"}),SIGN(mets272130[[#This Row],[raw (GSM) coefficient]])*(ABS(mets272130[[#This Row],[raw (GSM) coefficient]])-$J$2),mets272130[[#This Row],[raw (GSM) coefficient]]))</f>
        <v>-0.27295000000000003</v>
      </c>
      <c r="H84" s="161">
        <f>mets272130[[#This Row],[coeff. w/o GAM]]</f>
        <v>-0.27295000000000003</v>
      </c>
      <c r="I84" s="161">
        <f t="shared" si="4"/>
        <v>-0.27083454370363041</v>
      </c>
      <c r="J84" s="21" cm="1">
        <f t="array" ref="J84">_xlfn.LET(_xlpm.id,mets272130[[#This Row],[name w/o location]],_xlpm.oldcoeff,mets272130[[#This Row],[normalized coeffs]],_xlpm.gam,$J$2-$G$2,_xlfn.IFS(IFERROR(MATCH(_xlpm.id,{"atp","h2o"},0),0)&gt;0,_xlpm.oldcoeff-_xlpm.gam,IFERROR(MATCH(_xlpm.id,{"adp","h","pi"},0),0)&gt;0,_xlpm.oldcoeff+_xlpm.gam,TRUE,_xlpm.oldcoeff))</f>
        <v>-0.27083454370363041</v>
      </c>
      <c r="K84" t="str" cm="1">
        <f t="array" ref="K84">"BIOSYN-"&amp;_xlfn.IFS(IFERROR(MATCH(mets272130[[#This Row],[category]],{0,"0",""},0),0)&gt;0,mets272130[[#This Row],[name]],TRUE,mets272130[[#This Row],[category]]&amp;"-"&amp;mets272130[[#This Row],[name]])</f>
        <v>BIOSYN-ignore-trnalys_c</v>
      </c>
      <c r="L84" s="149" t="str" cm="1">
        <f t="array" ref="L84">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4" s="149" cm="1">
        <f t="array" ref="M84">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0.11631996428296948</v>
      </c>
      <c r="N84" s="149"/>
      <c r="O84" s="149"/>
      <c r="P84" s="149" t="str">
        <v>"zn2_c":0.001576</v>
      </c>
      <c r="R84" s="149" t="str">
        <v>"zn2_c":-0.001576</v>
      </c>
      <c r="S84" s="149"/>
      <c r="T84" s="149"/>
      <c r="U84" s="149"/>
      <c r="V84" s="149"/>
    </row>
    <row r="85" spans="1:22" ht="16" x14ac:dyDescent="0.2">
      <c r="A85" s="144" t="s">
        <v>1396</v>
      </c>
      <c r="B85" t="str">
        <f>SUBSTITUTE(_xlfn.TEXTBEFORE(mets272130[[#This Row],[pasted JSON metabolite keys and values from GSM biomass rxn]],":"),CHAR(34),"")</f>
        <v>trnamet_c</v>
      </c>
      <c r="C85" t="str">
        <f>_xlfn.TEXTBEFORE(mets272130[[#This Row],[name]],"_",-1)</f>
        <v>trnamet</v>
      </c>
      <c r="D85" t="str">
        <f>_xlfn.XLOOKUP(mets272130[[#This Row],[name w/o location]],metaboliteInfo[name w/o location],metaboliteInfo[suggested category],"")</f>
        <v>ignore</v>
      </c>
      <c r="E85" s="21">
        <f>_xlfn.XLOOKUP(mets272130[[#This Row],[name w/o location]],metaboliteInfo[name w/o location],metaboliteInfo[MW for biomass normalization (g/mol)],0)</f>
        <v>0</v>
      </c>
      <c r="F85" s="21">
        <f>_xlfn.NUMBERVALUE(SUBSTITUTE(_xlfn.TEXTAFTER(mets272130[[#This Row],[pasted JSON metabolite keys and values from GSM biomass rxn]],":"),",",""))</f>
        <v>-4.7361E-2</v>
      </c>
      <c r="G85" s="21" cm="1">
        <f t="array" ref="G85">_xlfn.LET(_xlpm.id,mets272130[[#This Row],[name w/o location]],IF(IsElementOfSet_DIY(_xlpm.id,{"atp","adp","h","pi","h2o"}),SIGN(mets272130[[#This Row],[raw (GSM) coefficient]])*(ABS(mets272130[[#This Row],[raw (GSM) coefficient]])-$J$2),mets272130[[#This Row],[raw (GSM) coefficient]]))</f>
        <v>-4.7361E-2</v>
      </c>
      <c r="H85" s="161">
        <f>mets272130[[#This Row],[coeff. w/o GAM]]</f>
        <v>-4.7361E-2</v>
      </c>
      <c r="I85" s="161">
        <f t="shared" si="4"/>
        <v>-4.6993935974895172E-2</v>
      </c>
      <c r="J85" s="21" cm="1">
        <f t="array" ref="J85">_xlfn.LET(_xlpm.id,mets272130[[#This Row],[name w/o location]],_xlpm.oldcoeff,mets272130[[#This Row],[normalized coeffs]],_xlpm.gam,$J$2-$G$2,_xlfn.IFS(IFERROR(MATCH(_xlpm.id,{"atp","h2o"},0),0)&gt;0,_xlpm.oldcoeff-_xlpm.gam,IFERROR(MATCH(_xlpm.id,{"adp","h","pi"},0),0)&gt;0,_xlpm.oldcoeff+_xlpm.gam,TRUE,_xlpm.oldcoeff))</f>
        <v>-4.6993935974895172E-2</v>
      </c>
      <c r="K85" t="str" cm="1">
        <f t="array" ref="K85">"BIOSYN-"&amp;_xlfn.IFS(IFERROR(MATCH(mets272130[[#This Row],[category]],{0,"0",""},0),0)&gt;0,mets272130[[#This Row],[name]],TRUE,mets272130[[#This Row],[category]]&amp;"-"&amp;mets272130[[#This Row],[name]])</f>
        <v>BIOSYN-ignore-trnamet_c</v>
      </c>
      <c r="L85" s="149" t="str" cm="1">
        <f t="array" ref="L85">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5" s="149" cm="1">
        <f t="array" ref="M85">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2.0183293014858824E-2</v>
      </c>
      <c r="N85" s="149"/>
      <c r="O85" s="149"/>
      <c r="P85" s="149" t="str">
        <v>"adp_c":190.57899</v>
      </c>
      <c r="R85" s="149" t="str">
        <v>"adp_c":-190.57899</v>
      </c>
      <c r="S85" s="149"/>
      <c r="T85" s="149"/>
      <c r="U85" s="149"/>
      <c r="V85" s="149"/>
    </row>
    <row r="86" spans="1:22" ht="16" x14ac:dyDescent="0.2">
      <c r="A86" s="144" t="s">
        <v>1397</v>
      </c>
      <c r="B86" t="str">
        <f>SUBSTITUTE(_xlfn.TEXTBEFORE(mets272130[[#This Row],[pasted JSON metabolite keys and values from GSM biomass rxn]],":"),CHAR(34),"")</f>
        <v>trnaphe_c</v>
      </c>
      <c r="C86" t="str">
        <f>_xlfn.TEXTBEFORE(mets272130[[#This Row],[name]],"_",-1)</f>
        <v>trnaphe</v>
      </c>
      <c r="D86" t="str">
        <f>_xlfn.XLOOKUP(mets272130[[#This Row],[name w/o location]],metaboliteInfo[name w/o location],metaboliteInfo[suggested category],"")</f>
        <v>ignore</v>
      </c>
      <c r="E86" s="21">
        <f>_xlfn.XLOOKUP(mets272130[[#This Row],[name w/o location]],metaboliteInfo[name w/o location],metaboliteInfo[MW for biomass normalization (g/mol)],0)</f>
        <v>0</v>
      </c>
      <c r="F86" s="21">
        <f>_xlfn.NUMBERVALUE(SUBSTITUTE(_xlfn.TEXTAFTER(mets272130[[#This Row],[pasted JSON metabolite keys and values from GSM biomass rxn]],":"),",",""))</f>
        <v>-0.15620899999999999</v>
      </c>
      <c r="G86" s="21" cm="1">
        <f t="array" ref="G86">_xlfn.LET(_xlpm.id,mets272130[[#This Row],[name w/o location]],IF(IsElementOfSet_DIY(_xlpm.id,{"atp","adp","h","pi","h2o"}),SIGN(mets272130[[#This Row],[raw (GSM) coefficient]])*(ABS(mets272130[[#This Row],[raw (GSM) coefficient]])-$J$2),mets272130[[#This Row],[raw (GSM) coefficient]]))</f>
        <v>-0.15620899999999999</v>
      </c>
      <c r="H86" s="161">
        <f>mets272130[[#This Row],[coeff. w/o GAM]]</f>
        <v>-0.15620899999999999</v>
      </c>
      <c r="I86" s="161">
        <f t="shared" si="4"/>
        <v>-0.15499832657043558</v>
      </c>
      <c r="J86" s="21" cm="1">
        <f t="array" ref="J86">_xlfn.LET(_xlpm.id,mets272130[[#This Row],[name w/o location]],_xlpm.oldcoeff,mets272130[[#This Row],[normalized coeffs]],_xlpm.gam,$J$2-$G$2,_xlfn.IFS(IFERROR(MATCH(_xlpm.id,{"atp","h2o"},0),0)&gt;0,_xlpm.oldcoeff-_xlpm.gam,IFERROR(MATCH(_xlpm.id,{"adp","h","pi"},0),0)&gt;0,_xlpm.oldcoeff+_xlpm.gam,TRUE,_xlpm.oldcoeff))</f>
        <v>-0.15499832657043558</v>
      </c>
      <c r="K86" t="str" cm="1">
        <f t="array" ref="K86">"BIOSYN-"&amp;_xlfn.IFS(IFERROR(MATCH(mets272130[[#This Row],[category]],{0,"0",""},0),0)&gt;0,mets272130[[#This Row],[name]],TRUE,mets272130[[#This Row],[category]]&amp;"-"&amp;mets272130[[#This Row],[name]])</f>
        <v>BIOSYN-ignore-trnaphe_c</v>
      </c>
      <c r="L86" s="149" t="str" cm="1">
        <f t="array" ref="L86">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6" s="149" cm="1">
        <f t="array" ref="M86">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6.6569794103969127E-2</v>
      </c>
      <c r="N86" s="149"/>
      <c r="O86" s="149"/>
      <c r="P86" s="149" t="str">
        <v>"h_c":190.57899</v>
      </c>
      <c r="R86" s="149" t="str">
        <v>"h_c":-190.57899</v>
      </c>
      <c r="S86" s="149"/>
      <c r="T86" s="149"/>
      <c r="U86" s="149"/>
      <c r="V86" s="149"/>
    </row>
    <row r="87" spans="1:22" ht="16" x14ac:dyDescent="0.2">
      <c r="A87" s="144" t="s">
        <v>1398</v>
      </c>
      <c r="B87" t="str">
        <f>SUBSTITUTE(_xlfn.TEXTBEFORE(mets272130[[#This Row],[pasted JSON metabolite keys and values from GSM biomass rxn]],":"),CHAR(34),"")</f>
        <v>trnapro_c</v>
      </c>
      <c r="C87" t="str">
        <f>_xlfn.TEXTBEFORE(mets272130[[#This Row],[name]],"_",-1)</f>
        <v>trnapro</v>
      </c>
      <c r="D87" t="str">
        <f>_xlfn.XLOOKUP(mets272130[[#This Row],[name w/o location]],metaboliteInfo[name w/o location],metaboliteInfo[suggested category],"")</f>
        <v>ignore</v>
      </c>
      <c r="E87" s="21">
        <f>_xlfn.XLOOKUP(mets272130[[#This Row],[name w/o location]],metaboliteInfo[name w/o location],metaboliteInfo[MW for biomass normalization (g/mol)],0)</f>
        <v>0</v>
      </c>
      <c r="F87" s="21">
        <f>_xlfn.NUMBERVALUE(SUBSTITUTE(_xlfn.TEXTAFTER(mets272130[[#This Row],[pasted JSON metabolite keys and values from GSM biomass rxn]],":"),",",""))</f>
        <v>-0.175319</v>
      </c>
      <c r="G87" s="21" cm="1">
        <f t="array" ref="G87">_xlfn.LET(_xlpm.id,mets272130[[#This Row],[name w/o location]],IF(IsElementOfSet_DIY(_xlpm.id,{"atp","adp","h","pi","h2o"}),SIGN(mets272130[[#This Row],[raw (GSM) coefficient]])*(ABS(mets272130[[#This Row],[raw (GSM) coefficient]])-$J$2),mets272130[[#This Row],[raw (GSM) coefficient]]))</f>
        <v>-0.175319</v>
      </c>
      <c r="H87" s="161">
        <f>mets272130[[#This Row],[coeff. w/o GAM]]</f>
        <v>-0.175319</v>
      </c>
      <c r="I87" s="161">
        <f t="shared" si="4"/>
        <v>-0.17396021750348697</v>
      </c>
      <c r="J87" s="21" cm="1">
        <f t="array" ref="J87">_xlfn.LET(_xlpm.id,mets272130[[#This Row],[name w/o location]],_xlpm.oldcoeff,mets272130[[#This Row],[normalized coeffs]],_xlpm.gam,$J$2-$G$2,_xlfn.IFS(IFERROR(MATCH(_xlpm.id,{"atp","h2o"},0),0)&gt;0,_xlpm.oldcoeff-_xlpm.gam,IFERROR(MATCH(_xlpm.id,{"adp","h","pi"},0),0)&gt;0,_xlpm.oldcoeff+_xlpm.gam,TRUE,_xlpm.oldcoeff))</f>
        <v>-0.17396021750348697</v>
      </c>
      <c r="K87" t="str" cm="1">
        <f t="array" ref="K87">"BIOSYN-"&amp;_xlfn.IFS(IFERROR(MATCH(mets272130[[#This Row],[category]],{0,"0",""},0),0)&gt;0,mets272130[[#This Row],[name]],TRUE,mets272130[[#This Row],[category]]&amp;"-"&amp;mets272130[[#This Row],[name]])</f>
        <v>BIOSYN-ignore-trnapro_c</v>
      </c>
      <c r="L87" s="149" t="str" cm="1">
        <f t="array" ref="L87">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7" s="149" cm="1">
        <f t="array" ref="M87">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7.4713683158548899E-2</v>
      </c>
      <c r="N87" s="149"/>
      <c r="O87" s="149"/>
      <c r="P87" s="149" t="str">
        <v>"pi_c":190.473335</v>
      </c>
      <c r="R87" s="149" t="str">
        <v>"pi_c":-190.473335</v>
      </c>
      <c r="S87" s="149"/>
      <c r="T87" s="149"/>
      <c r="U87" s="149"/>
      <c r="V87" s="149"/>
    </row>
    <row r="88" spans="1:22" ht="16" x14ac:dyDescent="0.2">
      <c r="A88" s="144" t="s">
        <v>1399</v>
      </c>
      <c r="B88" t="str">
        <f>SUBSTITUTE(_xlfn.TEXTBEFORE(mets272130[[#This Row],[pasted JSON metabolite keys and values from GSM biomass rxn]],":"),CHAR(34),"")</f>
        <v>trnaser_c</v>
      </c>
      <c r="C88" t="str">
        <f>_xlfn.TEXTBEFORE(mets272130[[#This Row],[name]],"_",-1)</f>
        <v>trnaser</v>
      </c>
      <c r="D88" t="str">
        <f>_xlfn.XLOOKUP(mets272130[[#This Row],[name w/o location]],metaboliteInfo[name w/o location],metaboliteInfo[suggested category],"")</f>
        <v>ignore</v>
      </c>
      <c r="E88" s="21">
        <f>_xlfn.XLOOKUP(mets272130[[#This Row],[name w/o location]],metaboliteInfo[name w/o location],metaboliteInfo[MW for biomass normalization (g/mol)],0)</f>
        <v>0</v>
      </c>
      <c r="F88" s="21">
        <f>_xlfn.NUMBERVALUE(SUBSTITUTE(_xlfn.TEXTAFTER(mets272130[[#This Row],[pasted JSON metabolite keys and values from GSM biomass rxn]],":"),",",""))</f>
        <v>-0.22343399999999999</v>
      </c>
      <c r="G88" s="21" cm="1">
        <f t="array" ref="G88">_xlfn.LET(_xlpm.id,mets272130[[#This Row],[name w/o location]],IF(IsElementOfSet_DIY(_xlpm.id,{"atp","adp","h","pi","h2o"}),SIGN(mets272130[[#This Row],[raw (GSM) coefficient]])*(ABS(mets272130[[#This Row],[raw (GSM) coefficient]])-$J$2),mets272130[[#This Row],[raw (GSM) coefficient]]))</f>
        <v>-0.22343399999999999</v>
      </c>
      <c r="H88" s="161">
        <f>mets272130[[#This Row],[coeff. w/o GAM]]</f>
        <v>-0.22343399999999999</v>
      </c>
      <c r="I88" s="161">
        <f t="shared" si="4"/>
        <v>-0.22170230971927807</v>
      </c>
      <c r="J88" s="21" cm="1">
        <f t="array" ref="J88">_xlfn.LET(_xlpm.id,mets272130[[#This Row],[name w/o location]],_xlpm.oldcoeff,mets272130[[#This Row],[normalized coeffs]],_xlpm.gam,$J$2-$G$2,_xlfn.IFS(IFERROR(MATCH(_xlpm.id,{"atp","h2o"},0),0)&gt;0,_xlpm.oldcoeff-_xlpm.gam,IFERROR(MATCH(_xlpm.id,{"adp","h","pi"},0),0)&gt;0,_xlpm.oldcoeff+_xlpm.gam,TRUE,_xlpm.oldcoeff))</f>
        <v>-0.22170230971927807</v>
      </c>
      <c r="K88" t="str" cm="1">
        <f t="array" ref="K88">"BIOSYN-"&amp;_xlfn.IFS(IFERROR(MATCH(mets272130[[#This Row],[category]],{0,"0",""},0),0)&gt;0,mets272130[[#This Row],[name]],TRUE,mets272130[[#This Row],[category]]&amp;"-"&amp;mets272130[[#This Row],[name]])</f>
        <v>BIOSYN-ignore-trnaser_c</v>
      </c>
      <c r="L88" s="149" t="str" cm="1">
        <f t="array" ref="L88">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8" s="149" cm="1">
        <f t="array" ref="M88">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9.5218299687125849E-2</v>
      </c>
      <c r="N88" s="149"/>
      <c r="O88" s="149"/>
      <c r="P88" s="149" t="str">
        <v>"ppi_c":0.385495</v>
      </c>
      <c r="R88" s="149" t="str">
        <v>"ppi_c":-0.385495</v>
      </c>
      <c r="S88" s="149"/>
      <c r="T88" s="149"/>
      <c r="U88" s="149"/>
      <c r="V88" s="149"/>
    </row>
    <row r="89" spans="1:22" ht="16" x14ac:dyDescent="0.2">
      <c r="A89" s="144" t="s">
        <v>1400</v>
      </c>
      <c r="B89" t="str">
        <f>SUBSTITUTE(_xlfn.TEXTBEFORE(mets272130[[#This Row],[pasted JSON metabolite keys and values from GSM biomass rxn]],":"),CHAR(34),"")</f>
        <v>trnathr_c</v>
      </c>
      <c r="C89" t="str">
        <f>_xlfn.TEXTBEFORE(mets272130[[#This Row],[name]],"_",-1)</f>
        <v>trnathr</v>
      </c>
      <c r="D89" t="str">
        <f>_xlfn.XLOOKUP(mets272130[[#This Row],[name w/o location]],metaboliteInfo[name w/o location],metaboliteInfo[suggested category],"")</f>
        <v>ignore</v>
      </c>
      <c r="E89" s="21">
        <f>_xlfn.XLOOKUP(mets272130[[#This Row],[name w/o location]],metaboliteInfo[name w/o location],metaboliteInfo[MW for biomass normalization (g/mol)],0)</f>
        <v>0</v>
      </c>
      <c r="F89" s="21">
        <f>_xlfn.NUMBERVALUE(SUBSTITUTE(_xlfn.TEXTAFTER(mets272130[[#This Row],[pasted JSON metabolite keys and values from GSM biomass rxn]],":"),",",""))</f>
        <v>-0.231405</v>
      </c>
      <c r="G89" s="21" cm="1">
        <f t="array" ref="G89">_xlfn.LET(_xlpm.id,mets272130[[#This Row],[name w/o location]],IF(IsElementOfSet_DIY(_xlpm.id,{"atp","adp","h","pi","h2o"}),SIGN(mets272130[[#This Row],[raw (GSM) coefficient]])*(ABS(mets272130[[#This Row],[raw (GSM) coefficient]])-$J$2),mets272130[[#This Row],[raw (GSM) coefficient]]))</f>
        <v>-0.231405</v>
      </c>
      <c r="H89" s="161">
        <f>mets272130[[#This Row],[coeff. w/o GAM]]</f>
        <v>-0.231405</v>
      </c>
      <c r="I89" s="161">
        <f t="shared" si="4"/>
        <v>-0.22961153173012855</v>
      </c>
      <c r="J89" s="21" cm="1">
        <f t="array" ref="J89">_xlfn.LET(_xlpm.id,mets272130[[#This Row],[name w/o location]],_xlpm.oldcoeff,mets272130[[#This Row],[normalized coeffs]],_xlpm.gam,$J$2-$G$2,_xlfn.IFS(IFERROR(MATCH(_xlpm.id,{"atp","h2o"},0),0)&gt;0,_xlpm.oldcoeff-_xlpm.gam,IFERROR(MATCH(_xlpm.id,{"adp","h","pi"},0),0)&gt;0,_xlpm.oldcoeff+_xlpm.gam,TRUE,_xlpm.oldcoeff))</f>
        <v>-0.22961153173012855</v>
      </c>
      <c r="K89" t="str" cm="1">
        <f t="array" ref="K89">"BIOSYN-"&amp;_xlfn.IFS(IFERROR(MATCH(mets272130[[#This Row],[category]],{0,"0",""},0),0)&gt;0,mets272130[[#This Row],[name]],TRUE,mets272130[[#This Row],[category]]&amp;"-"&amp;mets272130[[#This Row],[name]])</f>
        <v>BIOSYN-ignore-trnathr_c</v>
      </c>
      <c r="L89" s="149" t="str" cm="1">
        <f t="array" ref="L89">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89" s="149" cm="1">
        <f t="array" ref="M89">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9.8615209140503937E-2</v>
      </c>
      <c r="N89" s="149"/>
      <c r="O89" s="149"/>
      <c r="P89" s="149"/>
      <c r="R89" s="149" t="str">
        <v>"trnaala_c":0.405893</v>
      </c>
      <c r="S89" s="149"/>
      <c r="T89" s="149"/>
      <c r="U89" s="149"/>
      <c r="V89" s="149"/>
    </row>
    <row r="90" spans="1:22" ht="16" x14ac:dyDescent="0.2">
      <c r="A90" s="144" t="s">
        <v>1401</v>
      </c>
      <c r="B90" t="str">
        <f>SUBSTITUTE(_xlfn.TEXTBEFORE(mets272130[[#This Row],[pasted JSON metabolite keys and values from GSM biomass rxn]],":"),CHAR(34),"")</f>
        <v>trnatrp_c</v>
      </c>
      <c r="C90" t="str">
        <f>_xlfn.TEXTBEFORE(mets272130[[#This Row],[name]],"_",-1)</f>
        <v>trnatrp</v>
      </c>
      <c r="D90" t="str">
        <f>_xlfn.XLOOKUP(mets272130[[#This Row],[name w/o location]],metaboliteInfo[name w/o location],metaboliteInfo[suggested category],"")</f>
        <v>ignore</v>
      </c>
      <c r="E90" s="21">
        <f>_xlfn.XLOOKUP(mets272130[[#This Row],[name w/o location]],metaboliteInfo[name w/o location],metaboliteInfo[MW for biomass normalization (g/mol)],0)</f>
        <v>0</v>
      </c>
      <c r="F90" s="21">
        <f>_xlfn.NUMBERVALUE(SUBSTITUTE(_xlfn.TEXTAFTER(mets272130[[#This Row],[pasted JSON metabolite keys and values from GSM biomass rxn]],":"),",",""))</f>
        <v>-2.7004E-2</v>
      </c>
      <c r="G90" s="21" cm="1">
        <f t="array" ref="G90">_xlfn.LET(_xlpm.id,mets272130[[#This Row],[name w/o location]],IF(IsElementOfSet_DIY(_xlpm.id,{"atp","adp","h","pi","h2o"}),SIGN(mets272130[[#This Row],[raw (GSM) coefficient]])*(ABS(mets272130[[#This Row],[raw (GSM) coefficient]])-$J$2),mets272130[[#This Row],[raw (GSM) coefficient]]))</f>
        <v>-2.7004E-2</v>
      </c>
      <c r="H90" s="161">
        <f>mets272130[[#This Row],[coeff. w/o GAM]]</f>
        <v>-2.7004E-2</v>
      </c>
      <c r="I90" s="161">
        <f t="shared" si="4"/>
        <v>-2.6794709720362096E-2</v>
      </c>
      <c r="J90" s="21" cm="1">
        <f t="array" ref="J90">_xlfn.LET(_xlpm.id,mets272130[[#This Row],[name w/o location]],_xlpm.oldcoeff,mets272130[[#This Row],[normalized coeffs]],_xlpm.gam,$J$2-$G$2,_xlfn.IFS(IFERROR(MATCH(_xlpm.id,{"atp","h2o"},0),0)&gt;0,_xlpm.oldcoeff-_xlpm.gam,IFERROR(MATCH(_xlpm.id,{"adp","h","pi"},0),0)&gt;0,_xlpm.oldcoeff+_xlpm.gam,TRUE,_xlpm.oldcoeff))</f>
        <v>-2.6794709720362096E-2</v>
      </c>
      <c r="K90" t="str" cm="1">
        <f t="array" ref="K90">"BIOSYN-"&amp;_xlfn.IFS(IFERROR(MATCH(mets272130[[#This Row],[category]],{0,"0",""},0),0)&gt;0,mets272130[[#This Row],[name]],TRUE,mets272130[[#This Row],[category]]&amp;"-"&amp;mets272130[[#This Row],[name]])</f>
        <v>BIOSYN-ignore-trnatrp_c</v>
      </c>
      <c r="L90" s="149" t="str" cm="1">
        <f t="array" ref="L90">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90" s="149" cm="1">
        <f t="array" ref="M90">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1.1507984302976029E-2</v>
      </c>
      <c r="N90" s="149"/>
      <c r="O90" s="149"/>
      <c r="P90" s="149"/>
      <c r="R90" s="149" t="str">
        <v>"trnaarg_c":0.160363</v>
      </c>
      <c r="S90" s="149"/>
      <c r="T90" s="149"/>
      <c r="U90" s="149"/>
      <c r="V90" s="149"/>
    </row>
    <row r="91" spans="1:22" ht="16" x14ac:dyDescent="0.2">
      <c r="A91" s="144" t="s">
        <v>1402</v>
      </c>
      <c r="B91" t="str">
        <f>SUBSTITUTE(_xlfn.TEXTBEFORE(mets272130[[#This Row],[pasted JSON metabolite keys and values from GSM biomass rxn]],":"),CHAR(34),"")</f>
        <v>trnatyr_c</v>
      </c>
      <c r="C91" t="str">
        <f>_xlfn.TEXTBEFORE(mets272130[[#This Row],[name]],"_",-1)</f>
        <v>trnatyr</v>
      </c>
      <c r="D91" t="str">
        <f>_xlfn.XLOOKUP(mets272130[[#This Row],[name w/o location]],metaboliteInfo[name w/o location],metaboliteInfo[suggested category],"")</f>
        <v>ignore</v>
      </c>
      <c r="E91" s="21">
        <f>_xlfn.XLOOKUP(mets272130[[#This Row],[name w/o location]],metaboliteInfo[name w/o location],metaboliteInfo[MW for biomass normalization (g/mol)],0)</f>
        <v>0</v>
      </c>
      <c r="F91" s="21">
        <f>_xlfn.NUMBERVALUE(SUBSTITUTE(_xlfn.TEXTAFTER(mets272130[[#This Row],[pasted JSON metabolite keys and values from GSM biomass rxn]],":"),",",""))</f>
        <v>-8.1428E-2</v>
      </c>
      <c r="G91" s="21" cm="1">
        <f t="array" ref="G91">_xlfn.LET(_xlpm.id,mets272130[[#This Row],[name w/o location]],IF(IsElementOfSet_DIY(_xlpm.id,{"atp","adp","h","pi","h2o"}),SIGN(mets272130[[#This Row],[raw (GSM) coefficient]])*(ABS(mets272130[[#This Row],[raw (GSM) coefficient]])-$J$2),mets272130[[#This Row],[raw (GSM) coefficient]]))</f>
        <v>-8.1428E-2</v>
      </c>
      <c r="H91" s="161">
        <f>mets272130[[#This Row],[coeff. w/o GAM]]</f>
        <v>-8.1428E-2</v>
      </c>
      <c r="I91" s="161">
        <f t="shared" si="4"/>
        <v>-8.0796905018132303E-2</v>
      </c>
      <c r="J91" s="21" cm="1">
        <f t="array" ref="J91">_xlfn.LET(_xlpm.id,mets272130[[#This Row],[name w/o location]],_xlpm.oldcoeff,mets272130[[#This Row],[normalized coeffs]],_xlpm.gam,$J$2-$G$2,_xlfn.IFS(IFERROR(MATCH(_xlpm.id,{"atp","h2o"},0),0)&gt;0,_xlpm.oldcoeff-_xlpm.gam,IFERROR(MATCH(_xlpm.id,{"adp","h","pi"},0),0)&gt;0,_xlpm.oldcoeff+_xlpm.gam,TRUE,_xlpm.oldcoeff))</f>
        <v>-8.0796905018132303E-2</v>
      </c>
      <c r="K91" t="str" cm="1">
        <f t="array" ref="K91">"BIOSYN-"&amp;_xlfn.IFS(IFERROR(MATCH(mets272130[[#This Row],[category]],{0,"0",""},0),0)&gt;0,mets272130[[#This Row],[name]],TRUE,mets272130[[#This Row],[category]]&amp;"-"&amp;mets272130[[#This Row],[name]])</f>
        <v>BIOSYN-ignore-trnatyr_c</v>
      </c>
      <c r="L91" s="149" t="str" cm="1">
        <f t="array" ref="L91">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91" s="149" cm="1">
        <f t="array" ref="M91">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3.4701234847531182E-2</v>
      </c>
      <c r="N91" s="149"/>
      <c r="O91" s="149"/>
      <c r="P91" s="149"/>
      <c r="R91" s="149" t="str">
        <v>"trnaasn_c":0.192768</v>
      </c>
      <c r="S91" s="149"/>
      <c r="T91" s="149"/>
      <c r="U91" s="149"/>
      <c r="V91" s="149"/>
    </row>
    <row r="92" spans="1:22" ht="16" x14ac:dyDescent="0.2">
      <c r="A92" s="144" t="s">
        <v>1403</v>
      </c>
      <c r="B92" t="str">
        <f>SUBSTITUTE(_xlfn.TEXTBEFORE(mets272130[[#This Row],[pasted JSON metabolite keys and values from GSM biomass rxn]],":"),CHAR(34),"")</f>
        <v>trnaval_c</v>
      </c>
      <c r="C92" t="str">
        <f>_xlfn.TEXTBEFORE(mets272130[[#This Row],[name]],"_",-1)</f>
        <v>trnaval</v>
      </c>
      <c r="D92" t="str">
        <f>_xlfn.XLOOKUP(mets272130[[#This Row],[name w/o location]],metaboliteInfo[name w/o location],metaboliteInfo[suggested category],"")</f>
        <v>ignore</v>
      </c>
      <c r="E92" s="21">
        <f>_xlfn.XLOOKUP(mets272130[[#This Row],[name w/o location]],metaboliteInfo[name w/o location],metaboliteInfo[MW for biomass normalization (g/mol)],0)</f>
        <v>0</v>
      </c>
      <c r="F92" s="21">
        <f>_xlfn.NUMBERVALUE(SUBSTITUTE(_xlfn.TEXTAFTER(mets272130[[#This Row],[pasted JSON metabolite keys and values from GSM biomass rxn]],":"),",",""))</f>
        <v>-0.30452400000000002</v>
      </c>
      <c r="G92" s="21" cm="1">
        <f t="array" ref="G92">_xlfn.LET(_xlpm.id,mets272130[[#This Row],[name w/o location]],IF(IsElementOfSet_DIY(_xlpm.id,{"atp","adp","h","pi","h2o"}),SIGN(mets272130[[#This Row],[raw (GSM) coefficient]])*(ABS(mets272130[[#This Row],[raw (GSM) coefficient]])-$J$2),mets272130[[#This Row],[raw (GSM) coefficient]]))</f>
        <v>-0.30452400000000002</v>
      </c>
      <c r="H92" s="161">
        <f>mets272130[[#This Row],[coeff. w/o GAM]]</f>
        <v>-0.30452400000000002</v>
      </c>
      <c r="I92" s="161">
        <f t="shared" si="4"/>
        <v>-0.30216383435356048</v>
      </c>
      <c r="J92" s="21" cm="1">
        <f t="array" ref="J92">_xlfn.LET(_xlpm.id,mets272130[[#This Row],[name w/o location]],_xlpm.oldcoeff,mets272130[[#This Row],[normalized coeffs]],_xlpm.gam,$J$2-$G$2,_xlfn.IFS(IFERROR(MATCH(_xlpm.id,{"atp","h2o"},0),0)&gt;0,_xlpm.oldcoeff-_xlpm.gam,IFERROR(MATCH(_xlpm.id,{"adp","h","pi"},0),0)&gt;0,_xlpm.oldcoeff+_xlpm.gam,TRUE,_xlpm.oldcoeff))</f>
        <v>-0.30216383435356048</v>
      </c>
      <c r="K92" t="str" cm="1">
        <f t="array" ref="K92">"BIOSYN-"&amp;_xlfn.IFS(IFERROR(MATCH(mets272130[[#This Row],[category]],{0,"0",""},0),0)&gt;0,mets272130[[#This Row],[name]],TRUE,mets272130[[#This Row],[category]]&amp;"-"&amp;mets272130[[#This Row],[name]])</f>
        <v>BIOSYN-ignore-trnaval_c</v>
      </c>
      <c r="L92" s="149" t="str" cm="1">
        <f t="array" ref="L92">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92" s="149" cm="1">
        <f t="array" ref="M92">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0.12977549295954202</v>
      </c>
      <c r="N92" s="149"/>
      <c r="O92" s="149"/>
      <c r="P92" s="149"/>
      <c r="R92" s="149" t="str">
        <v>"trnaasp_c":0.192768</v>
      </c>
      <c r="S92" s="149"/>
      <c r="T92" s="149"/>
      <c r="U92" s="149"/>
      <c r="V92" s="149"/>
    </row>
    <row r="93" spans="1:22" ht="16" x14ac:dyDescent="0.2">
      <c r="A93" s="144" t="s">
        <v>1417</v>
      </c>
      <c r="B93" t="str">
        <f>SUBSTITUTE(_xlfn.TEXTBEFORE(mets272130[[#This Row],[pasted JSON metabolite keys and values from GSM biomass rxn]],":"),CHAR(34),"")</f>
        <v>trnagly_c</v>
      </c>
      <c r="C93" t="str">
        <f>_xlfn.TEXTBEFORE(mets272130[[#This Row],[name]],"_",-1)</f>
        <v>trnagly</v>
      </c>
      <c r="D93" t="str">
        <f>_xlfn.XLOOKUP(mets272130[[#This Row],[name w/o location]],metaboliteInfo[name w/o location],metaboliteInfo[suggested category],"")</f>
        <v>ignore</v>
      </c>
      <c r="E93" s="21">
        <f>_xlfn.XLOOKUP(mets272130[[#This Row],[name w/o location]],metaboliteInfo[name w/o location],metaboliteInfo[MW for biomass normalization (g/mol)],0)</f>
        <v>0</v>
      </c>
      <c r="F93" s="21">
        <f>_xlfn.NUMBERVALUE(SUBSTITUTE(_xlfn.TEXTAFTER(mets272130[[#This Row],[pasted JSON metabolite keys and values from GSM biomass rxn]],":"),",",""))</f>
        <v>-0.369334</v>
      </c>
      <c r="G93" s="21" cm="1">
        <f t="array" ref="G93">_xlfn.LET(_xlpm.id,mets272130[[#This Row],[name w/o location]],IF(IsElementOfSet_DIY(_xlpm.id,{"atp","adp","h","pi","h2o"}),SIGN(mets272130[[#This Row],[raw (GSM) coefficient]])*(ABS(mets272130[[#This Row],[raw (GSM) coefficient]])-$J$2),mets272130[[#This Row],[raw (GSM) coefficient]]))</f>
        <v>-0.369334</v>
      </c>
      <c r="H93" s="161">
        <f>mets272130[[#This Row],[coeff. w/o GAM]]</f>
        <v>-0.369334</v>
      </c>
      <c r="I93" s="161">
        <f>H93/($H$3)</f>
        <v>-0.36647153458229204</v>
      </c>
      <c r="J93" s="21" cm="1">
        <f t="array" ref="J93">_xlfn.LET(_xlpm.id,mets272130[[#This Row],[name w/o location]],_xlpm.oldcoeff,mets272130[[#This Row],[normalized coeffs]],_xlpm.gam,$J$2-$G$2,_xlfn.IFS(IFERROR(MATCH(_xlpm.id,{"atp","h2o"},0),0)&gt;0,_xlpm.oldcoeff-_xlpm.gam,IFERROR(MATCH(_xlpm.id,{"adp","h","pi"},0),0)&gt;0,_xlpm.oldcoeff+_xlpm.gam,TRUE,_xlpm.oldcoeff))</f>
        <v>-0.36647153458229204</v>
      </c>
      <c r="K93" t="str" cm="1">
        <f t="array" ref="K93">"BIOSYN-"&amp;_xlfn.IFS(IFERROR(MATCH(mets272130[[#This Row],[category]],{0,"0",""},0),0)&gt;0,mets272130[[#This Row],[name]],TRUE,mets272130[[#This Row],[category]]&amp;"-"&amp;mets272130[[#This Row],[name]])</f>
        <v>BIOSYN-ignore-trnagly_c</v>
      </c>
      <c r="L93" s="149" t="str" cm="1">
        <f t="array" ref="L93">IF(IsElementOfSet_DIY(mets272130[[#This Row],[category]],{"ignore","PROT"}),"",_xlfn.LET(_xlpm.mw,mets272130[[#This Row],[MW for biomass normalization (g/mol)]],"MET-"&amp;mets272130[[#This Row],[name]]&amp;" --&gt; "&amp;IF((mets272130[[#This Row],[category]]="DNA")+(mets272130[[#This Row],[category]]="RNA"),"MET-ppi_c + ","")&amp;ROUND(ABS(_xlpm.mw/1000),6)&amp;" BIO-"&amp;mets272130[[#This Row],[name]]))</f>
        <v/>
      </c>
      <c r="M93" s="149" cm="1">
        <f t="array" ref="M93">_xlfn.LET(_xlpm.gam,$J$2,_xlpm.cat,IF(LEFT(mets272130[[#This Row],[name w/o location]],4)="trna","PROT",mets272130[[#This Row],[category]]),_xlpm.multipliers,_xlfn._xlws.FILTER(_xlfn.HSTACK(biomassComponents262029[normalized coeffs],biomassComponents262029[original coeffs from input]),(biomassComponents262029[rxn name]="BIOSYN-"&amp;_xlpm.cat)+IF(mets272130[[#This Row],[name w/o location]]="ppi",((biomassComponents262029[rxn name]="BIOSYN-DNA"))+((biomassComponents262029[rxn name]="BIOSYN-RNA"))&gt;0,FALSE),{1,1}),IF(LEFT(mets272130[[#This Row],[name w/o location]],4)="trna",-1,1)*mets272130[[#This Row],[normalized coeffs]]*(SUM(_xlfn.CHOOSECOLS(_xlpm.multipliers,1))/SUM(_xlfn.CHOOSECOLS(_xlpm.multipliers,2)))+_xlfn.IFS(OR(mets272130[[#This Row],[name w/o location]]={"atp","h2o"}),-_xlpm.gam,OR(mets272130[[#This Row],[name w/o location]]={"adp","h","pi"}),_xlpm.gam,TRUE,0))</f>
        <v>0.15739482575008698</v>
      </c>
      <c r="N93" s="149"/>
      <c r="O93" s="149"/>
      <c r="P93" s="149"/>
      <c r="R93" s="149" t="str">
        <v>"trnacys_c":0.005816</v>
      </c>
      <c r="S93" s="149"/>
      <c r="T93" s="149"/>
      <c r="U93" s="149"/>
      <c r="V93" s="149"/>
    </row>
    <row r="94" spans="1:22" ht="16" x14ac:dyDescent="0.2">
      <c r="A94" s="144"/>
      <c r="E94" s="21"/>
      <c r="F94" s="21"/>
      <c r="G94" s="21"/>
      <c r="H94" s="21"/>
      <c r="I94" s="161"/>
      <c r="J94" s="21"/>
      <c r="L94" s="149"/>
      <c r="M94" s="149"/>
      <c r="N94" s="149"/>
      <c r="O94" s="149"/>
      <c r="P94" s="149"/>
      <c r="R94" s="149" t="str">
        <v>"trnagln_c":0.321557</v>
      </c>
      <c r="S94" s="149"/>
      <c r="T94" s="149"/>
      <c r="U94" s="149"/>
      <c r="V94" s="149"/>
    </row>
    <row r="95" spans="1:22" ht="16" x14ac:dyDescent="0.2">
      <c r="A95" s="144"/>
      <c r="E95" s="21"/>
      <c r="F95" s="21"/>
      <c r="G95" s="21"/>
      <c r="H95" s="21"/>
      <c r="I95" s="161"/>
      <c r="J95" s="21"/>
      <c r="L95" s="149"/>
      <c r="M95" s="149"/>
      <c r="N95" s="149"/>
      <c r="O95" s="149"/>
      <c r="P95" s="149"/>
      <c r="R95" s="149" t="str">
        <v>"trnaglu_c":0.321557</v>
      </c>
      <c r="S95" s="149"/>
      <c r="T95" s="149"/>
      <c r="U95" s="149"/>
      <c r="V95" s="149"/>
    </row>
    <row r="96" spans="1:22" ht="16" x14ac:dyDescent="0.2">
      <c r="A96" s="144"/>
      <c r="E96" s="21"/>
      <c r="F96" s="21"/>
      <c r="G96" s="21"/>
      <c r="H96" s="21"/>
      <c r="I96" s="161"/>
      <c r="J96" s="21"/>
      <c r="L96" s="149"/>
      <c r="M96" s="149"/>
      <c r="N96" s="149"/>
      <c r="O96" s="149"/>
      <c r="P96" s="149"/>
      <c r="R96" s="149" t="str">
        <v>"trnahis_c":0.080182</v>
      </c>
      <c r="S96" s="149"/>
      <c r="T96" s="149"/>
      <c r="U96" s="149"/>
      <c r="V96" s="149"/>
    </row>
    <row r="97" spans="1:22" ht="16" x14ac:dyDescent="0.2">
      <c r="A97" s="144"/>
      <c r="E97" s="21"/>
      <c r="F97" s="21"/>
      <c r="G97" s="21"/>
      <c r="H97" s="21"/>
      <c r="I97" s="161"/>
      <c r="J97" s="21"/>
      <c r="L97" s="149"/>
      <c r="M97" s="149"/>
      <c r="N97" s="149"/>
      <c r="O97" s="149"/>
      <c r="P97" s="149"/>
      <c r="R97" s="149" t="str">
        <v>"trnaile_c":0.244699</v>
      </c>
      <c r="S97" s="149"/>
      <c r="T97" s="149"/>
      <c r="U97" s="149"/>
      <c r="V97" s="149"/>
    </row>
    <row r="98" spans="1:22" ht="16" x14ac:dyDescent="0.2">
      <c r="A98" s="144"/>
      <c r="E98" s="21"/>
      <c r="F98" s="21"/>
      <c r="G98" s="21"/>
      <c r="H98" s="21"/>
      <c r="I98" s="161"/>
      <c r="J98" s="21"/>
      <c r="L98" s="149"/>
      <c r="M98" s="149"/>
      <c r="N98" s="149"/>
      <c r="O98" s="149"/>
      <c r="P98" s="149"/>
      <c r="R98" s="149" t="str">
        <v>"trnaleu_c":0.332774</v>
      </c>
      <c r="S98" s="149"/>
      <c r="T98" s="149"/>
      <c r="U98" s="149"/>
      <c r="V98" s="149"/>
    </row>
    <row r="99" spans="1:22" x14ac:dyDescent="0.15">
      <c r="R99" s="149" t="str">
        <v>"trnalys_c":0.27295</v>
      </c>
    </row>
    <row r="100" spans="1:22" x14ac:dyDescent="0.15">
      <c r="R100" s="149" t="str">
        <v>"trnamet_c":0.047361</v>
      </c>
    </row>
    <row r="101" spans="1:22" x14ac:dyDescent="0.15">
      <c r="R101" s="149" t="str">
        <v>"trnaphe_c":0.156209</v>
      </c>
    </row>
    <row r="102" spans="1:22" x14ac:dyDescent="0.15">
      <c r="R102" s="149" t="str">
        <v>"trnapro_c":0.175319</v>
      </c>
    </row>
    <row r="103" spans="1:22" x14ac:dyDescent="0.15">
      <c r="R103" s="149" t="str">
        <v>"trnaser_c":0.221434</v>
      </c>
    </row>
    <row r="104" spans="1:22" x14ac:dyDescent="0.15">
      <c r="R104" s="149" t="str">
        <v>"trnathr_c":0.231405</v>
      </c>
    </row>
    <row r="105" spans="1:22" x14ac:dyDescent="0.15">
      <c r="R105" s="149" t="str">
        <v>"trnatrp_c":0.027004</v>
      </c>
    </row>
    <row r="106" spans="1:22" x14ac:dyDescent="0.15">
      <c r="R106" s="149" t="str">
        <v>"trnatyr_c":0.081428</v>
      </c>
    </row>
    <row r="107" spans="1:22" x14ac:dyDescent="0.15">
      <c r="R107" t="str">
        <v>"trnaval_c":0.304524</v>
      </c>
    </row>
  </sheetData>
  <mergeCells count="3">
    <mergeCell ref="A1:F1"/>
    <mergeCell ref="A2:F2"/>
    <mergeCell ref="D4:E4"/>
  </mergeCells>
  <conditionalFormatting sqref="R20:R28">
    <cfRule type="expression" dxfId="48" priority="3" stopIfTrue="1">
      <formula>NOT(_xlfn.ISFORMULA(R20))</formula>
    </cfRule>
  </conditionalFormatting>
  <conditionalFormatting sqref="S6:S15">
    <cfRule type="expression" dxfId="47" priority="1" stopIfTrue="1">
      <formula>NOT(_xlfn.ISFORMULA(S6))</formula>
    </cfRule>
  </conditionalFormatting>
  <conditionalFormatting sqref="T6:T15">
    <cfRule type="expression" dxfId="46" priority="5"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C85B6-5E7A-E947-96D3-A8857E4087B5}">
  <dimension ref="A1:AG107"/>
  <sheetViews>
    <sheetView tabSelected="1" zoomScale="110" zoomScaleNormal="110" workbookViewId="0">
      <selection activeCell="A4" sqref="A4"/>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2" width="26.5" customWidth="1"/>
    <col min="13" max="13" width="26.6640625" bestFit="1"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12" customWidth="1"/>
    <col min="22" max="22" width="18.1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731</v>
      </c>
      <c r="B1" s="182"/>
      <c r="C1" s="182"/>
      <c r="D1" s="182"/>
      <c r="E1" s="182"/>
      <c r="F1" s="182"/>
      <c r="G1" s="148" t="s">
        <v>744</v>
      </c>
      <c r="I1" s="148"/>
      <c r="J1" s="148" t="s">
        <v>743</v>
      </c>
      <c r="K1" s="148" t="s">
        <v>758</v>
      </c>
      <c r="L1" s="148"/>
      <c r="M1" s="148"/>
      <c r="N1" s="148"/>
      <c r="O1" s="148"/>
      <c r="P1" s="148"/>
      <c r="Q1" s="148"/>
      <c r="R1" s="148"/>
      <c r="S1" s="145"/>
      <c r="T1" s="148"/>
      <c r="U1" s="148"/>
      <c r="V1" s="148"/>
      <c r="W1" s="148"/>
    </row>
    <row r="2" spans="1:33" ht="13" customHeight="1" x14ac:dyDescent="0.15">
      <c r="A2" s="182"/>
      <c r="B2" s="182"/>
      <c r="C2" s="182"/>
      <c r="D2" s="182"/>
      <c r="E2" s="182"/>
      <c r="F2" s="182"/>
      <c r="G2" s="140">
        <v>8.5</v>
      </c>
      <c r="J2" s="145">
        <f>_xlfn.XLOOKUP("adp",mets2721[name w/o location],mets2721[raw (GSM) coefficient],0)</f>
        <v>190.57899</v>
      </c>
      <c r="K2" s="140" t="s">
        <v>1660</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_xlfn.LET(_xlpm.coeffs,mets2721[coeff. w/o GAM],-SUM(_xlfn._xlws.FILTER(_xlpm.coeffs*mets2721[MW for biomass normalization (g/mol)],(IFERROR(_xlfn.NUMBERVALUE(_xlpm.coeffs),0)&lt;0)*(_xlfn.IFNA(mets2721[category],"ignore")&lt;&gt;"ignore")))/1000)</f>
        <v>1.0078108806485355</v>
      </c>
      <c r="H3" s="145" cm="1">
        <f t="array" ref="H3">_xlfn.LET(_xlpm.coeffs,mets2721[coeffs after extra operations],-SUM(_xlfn._xlws.FILTER(_xlpm.coeffs*mets2721[MW for biomass normalization (g/mol)],(IFERROR(_xlfn.NUMBERVALUE(_xlpm.coeffs),0)&lt;0)*(_xlfn.IFNA(mets2721[category],"ignore")&lt;&gt;"ignore")))/1000)</f>
        <v>1.0078108806485355</v>
      </c>
      <c r="I3" s="143" cm="1">
        <f t="array" ref="I3">_xlfn.LET(_xlpm.coeffs,mets2721[normalized coeffs],-SUM(_xlfn._xlws.FILTER(_xlpm.coeffs*mets2721[MW for biomass normalization (g/mol)],(IFERROR(_xlfn.NUMBERVALUE(_xlpm.coeffs),0)&lt;0)*(_xlfn.IFNA(mets2721[category],"ignore")&lt;&gt;"ignore")))/1000)</f>
        <v>1.0000000000000002</v>
      </c>
      <c r="J3" s="145">
        <v>251.232836976035</v>
      </c>
      <c r="K3" s="145" t="str" cm="1">
        <f t="array" ref="K3">_xlfn.LET(_xlpm.array,_xlfn._xlws.SORT(_xlfn._xlws.FILTER(_xlfn.HSTACK(mets2721[normalized coeff. w/ updated GAM]-mets2721[normalized coeffs],"MET-"&amp;mets2721[name]),(mets2721[category]="GAM")+(mets2721[name w/o location]="atp")+(mets2721[name w/o location]="pi"))),SUBSTITUTE(_xlfn.TEXTJOIN(" + ",TRUE,ABS(_xlfn.CHOOSECOLS(_xlpm.array,1))&amp;" "&amp;_xlfn.CHOOSECOLS(_xlpm.array,2))," + "," --&gt; ",2))</f>
        <v>182.07899 MET-atp_c + 182.07899 MET-h2o_c --&gt; 182.07899 MET-adp_c + 182.07899 MET-h_c + 182.07899 MET-pi_c</v>
      </c>
      <c r="L3" s="145"/>
      <c r="M3" s="145" t="str" cm="1">
        <f t="array" ref="M3">_xlfn.TEXTJOIN(","&amp;CHAR(10),TRUE,CHAR(34)&amp;mets2721[name]&amp;CHAR(34)&amp;":"&amp;mets2721[new GSM coeffs])</f>
        <v>"13BDglucan_c":-0.667059797182664,
"16BDglucan_en":-0.175541846742192,
"adp_c":190.57899,
"alatrna_c":-0.417215855547622,
"argtrna_c":-0.164836511699347,
"asntrna_c":-0.198145486722372,
"asptrna_c":-0.198145486722372,
"atp_c":-190.645590933694,
"ca2_c":-0.00125314645456112,
"chtn_c":-0.0157705460502466,
"co2_c":0.00194890583913082,
"coa_c":0.00462183019749875,
"ctp_c":-0.116254182209993,
"cu2_c":-0.000111087632830457,
"cystrna_c":-0.00597824405906228,
"dag_c":0.00194890583913082,
"datp_c":-0.00585548759366856,
"dctp_c":-0.009139393932604,
"dgtp_c":-0.009139393932604,
"docoscoa_c":-1.35753472356956E-05,
"dttp_c":-0.00585548759366856,
"ergst_c":-0.0417718733030105,
"ergstest_c":-0.0103623323466586,
"fe2_c":-0.000647036738591434,
"glntrna_c":-0.330527205106584,
"glutrna_c":-0.330527205106584,
"glytrna_c":-0.379636999881312,
"glycogen_c":-0.228812264496074,
"gtp_c":-0.101863461493851,
"h_c":190.580719491151,
"h2o_c":-186.46551982459,
"histrna_c":-0.0824187697977531,
"hxccoa_c":-0.000974452919565412,
"iletrna_c":-0.251525162140385,
"k_c":-0.588228504895661,
"leutrna_c":-0.342057116318843,
"linocoa_c":-0.000257507322625944,
"linolncoa_c":-6.34327105074009E-05,
"lystrna_c":-0.280564256520126,
"mannan_c":-0.477628098524987,
"mettrna_c":-0.0486821899727044,
"mg2_c":-0.0619820268547972,
"mn2_c":-9.15985744391488E-05,
"nadp_c":0.00292335875869624,
"nadph_c":-0.00292335875869624,
"o2_c":-0.000974452919565412,
"odecoa_c":-0.000149965231871062,
"pail_c":-0.00948922253072798,
"pc_c":-0.0280476783838513,
"pe_c":-0.00752277653904498,
"phetrna_c":-0.160566631056063,
"pi_c":190.476034176783,
"pmtcoa_c":-0.00207155457628959,
"ppi_c":0.375646728227869,
"protrna_c":-0.180209726649027,
"ps_c":-0.00647329074467303,
"sertrna_c":-0.229666950325399,
"so4_c":-0.0304253435075909,
"stcoa_c":-8.16736330810605E-05,
"tag_c":-0.0102259089379194,
"thrtrna_c":-0.237860310606483,
"tre_c":-0.134188988194594,
"trptrna_c":-0.0277573078698277,
"ttccoa_c":-0.00100966845632259,
"tyrtrna_c":-0.0836995284115068,
"utp_c":-0.0609393622308622,
"valtrna_c":-0.313019049835262,
"zn2_c":-0.00153573780123509,
"trnaala_c":-0.417215855547622,
"trnaarg_c":-0.164836511699347,
"trnaasn_c":-0.198145486722372,
"trnaasp_c":-0.198145486722372,
"trnacys_c":-0.00597824405906228,
"trnagln_c":-0.330527205106584,
"trnaglu_c":-0.330527205106584,
"trnahis_c":-0.0824187697977531,
"trnaile_c":-0.251525162140385,
"trnaleu_c":-0.342057116318843,
"trnalys_c":-0.280564256520126,
"trnamet_c":-0.0486821899727044,
"trnaphe_c":-0.160566631056063,
"trnapro_c":-0.180209726649027,
"trnaser_c":-0.229666950325399,
"trnathr_c":-0.237860310606483,
"trnatrp_c":-0.0277573078698277,
"trnatyr_c":-0.0836995284115068,
"trnaval_c":-0.313019049835262,
"trnagly_c":-0.379636999881312</v>
      </c>
      <c r="N3" s="145"/>
      <c r="O3" s="145"/>
      <c r="P3" s="145"/>
      <c r="Q3" s="145"/>
      <c r="R3" s="145"/>
      <c r="S3" s="145"/>
      <c r="T3" s="145"/>
      <c r="U3" s="145"/>
      <c r="V3" s="145" t="str" cm="1">
        <f t="array" ref="V3">_xlfn.LET(_xlpm.eqn,_xlfn.TEXTJOIN(" + ",TRUE,biomassComponents2620[new GSM coeffs])&amp;" + "&amp;K2,_xlpm.reactants,SUBSTITUTE(_xlfn.TEXTBEFORE(_xlpm.eqn,"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"13BDglucan_c":0.667059797182664,
"16BDglucan_en":0.175541846742192,
"chtn_c":0.0157705460502466,
"glycogen_c":0.228812264496074,
"mannan_c":0.477628098524987,
"tre_c":0.134188988194594,
"coa_c":-0.00462183019749875,
"nadp_c":-0.00292335875869624,
"nadph_c":0.00292335875869624,
"datp_c":0.00585548759366856,
"dctp_c":0.009139393932604,
"dgtp_c":0.009139393932604,
"dttp_c":0.00585548759366856,
"dag_c":-0.00194890583913082,
"docoscoa_c":1.35753472356956E-05,
"ergst_c":0.0417718733030105,
"ergstest_c":0.0103623323466586,
"hxccoa_c":0.000974452919565412,
"linocoa_c":0.000257507322625944,
"linolncoa_c":6.34327105074009E-05,
"odecoa_c":0.000149965231871062,
"pail_c":0.00948922253072798,
"pc_c":0.0280476783838513,
"pe_c":0.00752277653904498,
"pmtcoa_c":0.00207155457628959,
"ps_c":0.00647329074467303,
"stcoa_c":8.16736330810605E-05,
"tag_c":0.0102259089379194,
"ttccoa_c":0.00100966845632259,
"ca2_c":0.00125314645456112,
"cu2_c":0.000111087632830457,
"fe2_c":0.000647036738591434,
"k_c":0.588228504895661,
"mg2_c":0.0619820268547972,
"mn2_c":9.15985744391487E-05,
"zn2_c":0.00153573780123509,
"co2_c":-0.00194890583913082,
"o2_c":0.000974452919565412,
"pi_c":242.835792799252,
"alatrna_c":0.417215855547621,
"argtrna_c":0.164836511699347,
"asntrna_c":0.198145486722372,
"asptrna_c":0.198145486722372,
"cystrna_c":0.00597824405906228,
"glntrna_c":0.330527205106584,
"glutrna_c":0.330527205106584,
"glytrna_c":0.379636999881312,
"histrna_c":0.0824187697977531,
"iletrna_c":0.251525162140385,
"leutrna_c":0.342057116318843,
"lystrna_c":0.280564256520126,
"mettrna_c":0.0486821899727044,
"phetrna_c":0.160566631056063,
"protrna_c":0.180209726649027,
"sertrna_c":0.229666950325399,
"thrtrna_c":0.237860310606483,
"trptrna_c":0.0277573078698277,
"tyrtrna_c":0.0836995284115068,
"valtrna_c":0.313019049835262,
"atp_c":242.799437909729,
"ctp_c":0.116254182209993,
"gtp_c":0.101863461493851,
"utp_c":0.0609393622308622,
"so4_c":0.0304253435075909,
"h2o_c":242.732836976035,
"adp_c":242.732836976035,
"h_c":242.732836976035</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x14ac:dyDescent="0.2">
      <c r="A6" s="144" t="s">
        <v>1317</v>
      </c>
      <c r="B6" t="str">
        <f>SUBSTITUTE(_xlfn.TEXTBEFORE(mets2721[[#This Row],[pasted JSON metabolite keys and values from GSM biomass rxn]],":"),CHAR(34),"")</f>
        <v>13BDglucan_c</v>
      </c>
      <c r="C6" t="str">
        <f>_xlfn.TEXTBEFORE(mets2721[[#This Row],[name]],"_",-1)</f>
        <v>13BDglucan</v>
      </c>
      <c r="D6" t="str">
        <f>_xlfn.XLOOKUP(mets2721[[#This Row],[name w/o location]],metaboliteInfo[name w/o location],metaboliteInfo[suggested category],"")</f>
        <v>CARB</v>
      </c>
      <c r="E6" s="21">
        <f>_xlfn.XLOOKUP(mets2721[[#This Row],[name w/o location]],metaboliteInfo[name w/o location],metaboliteInfo[MW for biomass normalization (g/mol)],0)</f>
        <v>162.14060000000001</v>
      </c>
      <c r="F6" s="21">
        <f>_xlfn.NUMBERVALUE(SUBSTITUTE(_xlfn.TEXTAFTER(mets2721[[#This Row],[pasted JSON metabolite keys and values from GSM biomass rxn]],":"),",",""))</f>
        <v>-0.68454800000000005</v>
      </c>
      <c r="G6" s="21" cm="1">
        <f t="array" ref="G6">_xlfn.LET(_xlpm.id,mets2721[[#This Row],[name w/o location]],IF(IsElementOfSet_DIY(_xlpm.id,{"atp","adp","h","pi","h2o"}),SIGN(mets2721[[#This Row],[raw (GSM) coefficient]])*(ABS(mets2721[[#This Row],[raw (GSM) coefficient]])-$J$2),mets2721[[#This Row],[raw (GSM) coefficient]]))</f>
        <v>-0.68454800000000005</v>
      </c>
      <c r="H6" s="21">
        <f>mets2721[[#This Row],[coeff. w/o GAM]]</f>
        <v>-0.68454800000000005</v>
      </c>
      <c r="I6" s="161">
        <f t="shared" ref="I6:I69" si="0">H6/($H$3)</f>
        <v>-0.67924251776234756</v>
      </c>
      <c r="J6" s="21" cm="1">
        <f t="array" ref="J6">_xlfn.LET(_xlpm.id,mets2721[[#This Row],[name w/o location]],_xlpm.oldcoeff,mets2721[[#This Row],[normalized coeffs]],_xlpm.gam,$J$2-$G$2,_xlfn.IFS(IFERROR(MATCH(_xlpm.id,{"atp","h2o"},0),0)&gt;0,_xlpm.oldcoeff-_xlpm.gam,IFERROR(MATCH(_xlpm.id,{"adp","h","pi"},0),0)&gt;0,_xlpm.oldcoeff+_xlpm.gam,TRUE,_xlpm.oldcoeff))</f>
        <v>-0.67924251776234756</v>
      </c>
      <c r="K6" t="str" cm="1">
        <f t="array" ref="K6">"BIOSYN-"&amp;_xlfn.IFS(IFERROR(MATCH(mets2721[[#This Row],[category]],{0,"0",""},0),0)&gt;0,mets2721[[#This Row],[name]],TRUE,mets2721[[#This Row],[category]]&amp;"-"&amp;mets2721[[#This Row],[name]])</f>
        <v>BIOSYN-CARB-13BDglucan_c</v>
      </c>
      <c r="L6" s="149" t="str" cm="1">
        <f t="array" ref="L6">IF(IsElementOfSet_DIY(mets2721[[#This Row],[category]],{"ignore","PROT"}),"",_xlfn.LET(_xlpm.mw,mets2721[[#This Row],[MW for biomass normalization (g/mol)]],"MET-"&amp;mets2721[[#This Row],[name]]&amp;" --&gt; "&amp;IF((mets2721[[#This Row],[category]]="DNA")+(mets2721[[#This Row],[category]]="RNA"),"MET-ppi_c + ","")&amp;ROUND(ABS(_xlpm.mw/1000),6)&amp;" BIO-"&amp;mets2721[[#This Row],[name]]))</f>
        <v>MET-13BDglucan_c --&gt; 0.162141 BIO-13BDglucan_c</v>
      </c>
      <c r="M6" s="149" cm="1">
        <f t="array" ref="M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-0.66705979718266384</v>
      </c>
      <c r="N6" s="149"/>
      <c r="O6" s="162" t="str" cm="1">
        <f t="array" ref="O6:O15">"BIOSYN-"&amp;_xlfn._xlws.SORT(_xlfn.UNIQUE(_xlfn._xlws.FILTER(mets2721[category],(mets2721[category]&lt;&gt;0)*(mets2721[category]&lt;&gt;"GAM")*(mets2721[category]&lt;&gt;"ignore"))))</f>
        <v>BIOSYN-CARB</v>
      </c>
      <c r="P6" s="158" t="str">
        <f t="shared" ref="P6:P14" si="1">O6</f>
        <v>BIOSYN-CARB</v>
      </c>
      <c r="Q6" s="158" t="str">
        <f>SUBSTITUTE(LOWER(biomassComponents2620[[#This Row],[rxn name]]),"biosyn-","BIO-")</f>
        <v>BIO-carb</v>
      </c>
      <c r="R6" s="160" cm="1">
        <f t="array" ref="R6">SUM(_xlfn._xlws.FILTER(-mets2721[MW for biomass normalization (g/mol)]*mets2721[normalized coeffs]/1000,mets2721[category]=_xlfn.TEXTAFTER(O6,"BIOSYN-"),""))</f>
        <v>0.30578393847914032</v>
      </c>
      <c r="S6" s="160"/>
      <c r="T6" s="160">
        <v>0.30029947573891186</v>
      </c>
      <c r="U6" s="158" t="str" cm="1">
        <f t="array" ref="U6">_xlfn.TEXTJOIN(" + ",TRUE,_xlfn._xlws.FILTER(ROUND(-mets2721[MW for biomass normalization (g/mol)]*mets2721[normalized coeffs]*(biomassComponents2620[[#This Row],[normalized coeffs]]/biomassComponents2620[[#This Row],[original coeffs from input]])/(1000*biomassComponents2620[[#This Row],[normalized coeffs]]),6)&amp;" BIO-"&amp;mets2721[name],mets2721[category]=_xlfn.TEXTAFTER(O6,"BIOSYN-"),""))&amp;" --&gt; "&amp;biomassComponents2620[[#This Row],[product name]]</f>
        <v>0.360165 BIO-13BDglucan_c + 0.09478 BIO-16BDglucan_en + 0.010671 BIO-chtn_c + 0.123543 BIO-glycogen_c + 0.257886 BIO-mannan_c + 0.152955 BIO-tre_c --&gt; BIO-carb</v>
      </c>
      <c r="V6" s="158" t="str" cm="1">
        <f t="array" ref="V6">IFERROR(_xlfn.TEXTJOIN(" + ",TRUE,_xlfn._xlws.FILTER((-mets2721[normalized coeffs]*biomassComponents2620[[#This Row],[normalized coeffs]]/biomassComponents2620[[#This Row],[original coeffs from input]])&amp;" BIO-"&amp;mets2721[name],mets2721[category]=_xlfn.TEXTAFTER(P6,"BIOSYN-"),"")),"")</f>
        <v>0.667059797182664 BIO-13BDglucan_c + 0.175541846742192 BIO-16BDglucan_en + 0.0157705460502466 BIO-chtn_c + 0.228812264496074 BIO-glycogen_c + 0.477628098524987 BIO-mannan_c + 0.134188988194594 BIO-tre_c</v>
      </c>
      <c r="Y6" s="152" t="s">
        <v>17</v>
      </c>
      <c r="Z6" t="str">
        <f>SUBSTITUTE(Z7," --&gt; "," + "&amp;K2)</f>
        <v>0.300299475738912 BIO-carb + -0.00352583170694781 BIO-cofactor + 0.00923663807354148 BIO-dna + 0.0776588903670635 BIO-lipid + 0.0247040630446139 BIO-metal + -5.45890474446383E-05 BIO-other + 0.00988162794621808 BIO-pi + 0.468 BIO-varbiom + 0.110876987980811 BIO-rna + 0.0029227376032323 BIO-so4 + 242.732836976035 MET-atp_c + 242.732836976035 MET-h2o_c --&gt; 242.732836976035 MET-adp_c + 242.732836976035 MET-h_c + 242.732836976035 MET-pi_c</v>
      </c>
      <c r="AB6" t="str" cm="1">
        <f t="array" ref="AB6:AC70">_xlfn.LET(_xlpm.macros,_xlfn._xlws.FILTER(_xlfn.HSTACK(_xlfn.ANCHORARRAY(O6),biomassComponents2620[stoichiometry (if needed)]),biomassComponents2620[stoichiometry (if needed)]&lt;&gt;""),_xlfn.VSTACK(_xlfn._xlws.FILTER(ExtraRxns2519[[name]:[stoichiometry]],ExtraRxns2519[stoichiometry]&lt;&gt;""),_xlpm.macros,_xlfn._xlws.SORT(_xlfn._xlws.FILTER(mets2721[[biomass equation name]:[biomass equation]],ISNUMBER(MATCH(mets2721[category],_xlfn.TEXTAFTER(biomassComponents2620[rxn name],"BIOSYN-"),0))*(mets2721[biomass equation]&lt;&gt;"")))))</f>
        <v>BIOSYN-BIODILAERO</v>
      </c>
      <c r="AC6" t="str">
        <v>0.300299475738912 BIO-carb + -0.00352583170694781 BIO-cofactor + 0.00923663807354148 BIO-dna + 0.0776588903670635 BIO-lipid + 0.0247040630446139 BIO-metal + -5.45890474446383E-05 BIO-other + 0.00988162794621808 BIO-pi + 0.468 BIO-varbiom + 0.110876987980811 BIO-rna + 0.0029227376032323 BIO-so4 + 242.732836976035 MET-atp_c + 242.732836976035 MET-h2o_c --&gt; 242.732836976035 MET-adp_c + 242.732836976035 MET-h_c + 242.732836976035 MET-pi_c</v>
      </c>
      <c r="AD6" t="s">
        <v>1600</v>
      </c>
      <c r="AE6" t="b" cm="1">
        <f t="array" ref="AE6:AE70">AD6:AD70=AC6:AC70</f>
        <v>0</v>
      </c>
    </row>
    <row r="7" spans="1:33" ht="16" x14ac:dyDescent="0.2">
      <c r="A7" s="144" t="s">
        <v>1418</v>
      </c>
      <c r="B7" t="str">
        <f>SUBSTITUTE(_xlfn.TEXTBEFORE(mets2721[[#This Row],[pasted JSON metabolite keys and values from GSM biomass rxn]],":"),CHAR(34),"")</f>
        <v>16BDglucan_en</v>
      </c>
      <c r="C7" t="str">
        <f>_xlfn.TEXTBEFORE(mets2721[[#This Row],[name]],"_",-1)</f>
        <v>16BDglucan</v>
      </c>
      <c r="D7" t="str">
        <f>_xlfn.XLOOKUP(mets2721[[#This Row],[name w/o location]],metaboliteInfo[name w/o location],metaboliteInfo[suggested category],"")</f>
        <v>CARB</v>
      </c>
      <c r="E7" s="21">
        <f>_xlfn.XLOOKUP(mets2721[[#This Row],[name w/o location]],metaboliteInfo[name w/o location],metaboliteInfo[MW for biomass normalization (g/mol)],0)</f>
        <v>162.14060000000001</v>
      </c>
      <c r="F7" s="21">
        <f>_xlfn.NUMBERVALUE(SUBSTITUTE(_xlfn.TEXTAFTER(mets2721[[#This Row],[pasted JSON metabolite keys and values from GSM biomass rxn]],":"),",",""))</f>
        <v>-0.180144</v>
      </c>
      <c r="G7" s="21" cm="1">
        <f t="array" ref="G7">_xlfn.LET(_xlpm.id,mets2721[[#This Row],[name w/o location]],IF(IsElementOfSet_DIY(_xlpm.id,{"atp","adp","h","pi","h2o"}),SIGN(mets2721[[#This Row],[raw (GSM) coefficient]])*(ABS(mets2721[[#This Row],[raw (GSM) coefficient]])-$J$2),mets2721[[#This Row],[raw (GSM) coefficient]]))</f>
        <v>-0.180144</v>
      </c>
      <c r="H7" s="161">
        <f>mets2721[[#This Row],[coeff. w/o GAM]]</f>
        <v>-0.180144</v>
      </c>
      <c r="I7" s="161">
        <f t="shared" si="0"/>
        <v>-0.17874782209542694</v>
      </c>
      <c r="J7" s="21" cm="1">
        <f t="array" ref="J7">_xlfn.LET(_xlpm.id,mets2721[[#This Row],[name w/o location]],_xlpm.oldcoeff,mets2721[[#This Row],[normalized coeffs]],_xlpm.gam,$J$2-$G$2,_xlfn.IFS(IFERROR(MATCH(_xlpm.id,{"atp","h2o"},0),0)&gt;0,_xlpm.oldcoeff-_xlpm.gam,IFERROR(MATCH(_xlpm.id,{"adp","h","pi"},0),0)&gt;0,_xlpm.oldcoeff+_xlpm.gam,TRUE,_xlpm.oldcoeff))</f>
        <v>-0.17874782209542694</v>
      </c>
      <c r="K7" t="str" cm="1">
        <f t="array" ref="K7">"BIOSYN-"&amp;_xlfn.IFS(IFERROR(MATCH(mets2721[[#This Row],[category]],{0,"0",""},0),0)&gt;0,mets2721[[#This Row],[name]],TRUE,mets2721[[#This Row],[category]]&amp;"-"&amp;mets2721[[#This Row],[name]])</f>
        <v>BIOSYN-CARB-16BDglucan_en</v>
      </c>
      <c r="L7" s="149" t="str" cm="1">
        <f t="array" ref="L7">IF(IsElementOfSet_DIY(mets2721[[#This Row],[category]],{"ignore","PROT"}),"",_xlfn.LET(_xlpm.mw,mets2721[[#This Row],[MW for biomass normalization (g/mol)]],"MET-"&amp;mets2721[[#This Row],[name]]&amp;" --&gt; "&amp;IF((mets2721[[#This Row],[category]]="DNA")+(mets2721[[#This Row],[category]]="RNA"),"MET-ppi_c + ","")&amp;ROUND(ABS(_xlpm.mw/1000),6)&amp;" BIO-"&amp;mets2721[[#This Row],[name]]))</f>
        <v>MET-16BDglucan_en --&gt; 0.162141 BIO-16BDglucan_en</v>
      </c>
      <c r="M7" s="149" cm="1">
        <f t="array" ref="M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-0.17554184674219162</v>
      </c>
      <c r="N7" s="149"/>
      <c r="O7" s="162" t="str">
        <v>BIOSYN-COFACTOR</v>
      </c>
      <c r="P7" s="158" t="str">
        <f t="shared" si="1"/>
        <v>BIOSYN-COFACTOR</v>
      </c>
      <c r="Q7" s="158" t="str">
        <f>SUBSTITUTE(LOWER(biomassComponents2620[[#This Row],[rxn name]]),"biosyn-","BIO-")</f>
        <v>BIO-cofactor</v>
      </c>
      <c r="R7" s="160" cm="1">
        <f t="array" ref="R7">SUM(_xlfn._xlws.FILTER(-mets2721[MW for biomass normalization (g/mol)]*mets2721[normalized coeffs]/1000,mets2721[category]=_xlfn.TEXTAFTER(O7,"BIOSYN-"),""))</f>
        <v>-3.5902250681999095E-3</v>
      </c>
      <c r="S7" s="160"/>
      <c r="T7" s="160">
        <v>-3.5258317069478116E-3</v>
      </c>
      <c r="U7" s="158" t="s">
        <v>1419</v>
      </c>
      <c r="V7" s="158" t="str" cm="1">
        <f t="array" ref="V7">IFERROR(_xlfn.TEXTJOIN(" + ",TRUE,_xlfn._xlws.FILTER((-mets2721[normalized coeffs]*biomassComponents2620[[#This Row],[normalized coeffs]]/biomassComponents2620[[#This Row],[original coeffs from input]])&amp;" BIO-"&amp;mets2721[name],mets2721[category]=_xlfn.TEXTAFTER(P7,"BIOSYN-"),"")),"")</f>
        <v>-0.00462183019749875 BIO-coa_c + -0.00292335875869624 BIO-nadp_c + 0.00292335875869624 BIO-nadph_c</v>
      </c>
      <c r="Y7" s="152" t="str">
        <f>Y6&amp;"-NOGAM"</f>
        <v>BIOSYN-BIODILAERO-NOGAM</v>
      </c>
      <c r="Z7" t="str" cm="1">
        <f t="array" ref="Z7">_xlfn.TEXTJOIN(" + ",TRUE,_xlfn._xlws.FILTER(biomassComponents2620[normalized coeffs]&amp;" "&amp;biomassComponents2620[product name],biomassComponents2620[normalized coeffs]&lt;&gt;0))&amp;" --&gt; "</f>
        <v xml:space="preserve">0.300299475738912 BIO-carb + -0.00352583170694781 BIO-cofactor + 0.00923663807354148 BIO-dna + 0.0776588903670635 BIO-lipid + 0.0247040630446139 BIO-metal + -5.45890474446383E-05 BIO-other + 0.00988162794621808 BIO-pi + 0.468 BIO-varbiom + 0.110876987980811 BIO-rna + 0.0029227376032323 BIO-so4 --&gt; </v>
      </c>
      <c r="AB7" t="str">
        <v>BIOSYN-BIODILAERO-NOGAM</v>
      </c>
      <c r="AC7" t="str">
        <v xml:space="preserve">0.300299475738912 BIO-carb + -0.00352583170694781 BIO-cofactor + 0.00923663807354148 BIO-dna + 0.0776588903670635 BIO-lipid + 0.0247040630446139 BIO-metal + -5.45890474446383E-05 BIO-other + 0.00988162794621808 BIO-pi + 0.468 BIO-varbiom + 0.110876987980811 BIO-rna + 0.0029227376032323 BIO-so4 --&gt; </v>
      </c>
      <c r="AD7" t="s">
        <v>1601</v>
      </c>
      <c r="AE7" t="b">
        <v>1</v>
      </c>
    </row>
    <row r="8" spans="1:33" ht="16" x14ac:dyDescent="0.2">
      <c r="A8" s="144" t="s">
        <v>1314</v>
      </c>
      <c r="B8" t="str">
        <f>SUBSTITUTE(_xlfn.TEXTBEFORE(mets2721[[#This Row],[pasted JSON metabolite keys and values from GSM biomass rxn]],":"),CHAR(34),"")</f>
        <v>adp_c</v>
      </c>
      <c r="C8" t="str">
        <f>_xlfn.TEXTBEFORE(mets2721[[#This Row],[name]],"_",-1)</f>
        <v>adp</v>
      </c>
      <c r="D8" t="str">
        <f>_xlfn.XLOOKUP(mets2721[[#This Row],[name w/o location]],metaboliteInfo[name w/o location],metaboliteInfo[suggested category],"")</f>
        <v>GAM</v>
      </c>
      <c r="E8" s="21">
        <f>_xlfn.XLOOKUP(mets2721[[#This Row],[name w/o location]],metaboliteInfo[name w/o location],metaboliteInfo[MW for biomass normalization (g/mol)],0)</f>
        <v>424.177302</v>
      </c>
      <c r="F8" s="21">
        <f>_xlfn.NUMBERVALUE(SUBSTITUTE(_xlfn.TEXTAFTER(mets2721[[#This Row],[pasted JSON metabolite keys and values from GSM biomass rxn]],":"),",",""))</f>
        <v>190.57899</v>
      </c>
      <c r="G8" s="21" cm="1">
        <f t="array" ref="G8">_xlfn.LET(_xlpm.id,mets2721[[#This Row],[name w/o location]],IF(IsElementOfSet_DIY(_xlpm.id,{"atp","adp","h","pi","h2o"}),SIGN(mets2721[[#This Row],[raw (GSM) coefficient]])*(ABS(mets2721[[#This Row],[raw (GSM) coefficient]])-$J$2),mets2721[[#This Row],[raw (GSM) coefficient]]))</f>
        <v>0</v>
      </c>
      <c r="H8" s="21">
        <f>mets2721[[#This Row],[coeff. w/o GAM]]</f>
        <v>0</v>
      </c>
      <c r="I8" s="161">
        <f t="shared" si="0"/>
        <v>0</v>
      </c>
      <c r="J8" s="21" cm="1">
        <f t="array" ref="J8">_xlfn.LET(_xlpm.id,mets2721[[#This Row],[name w/o location]],_xlpm.oldcoeff,mets2721[[#This Row],[normalized coeffs]],_xlpm.gam,$J$2-$G$2,_xlfn.IFS(IFERROR(MATCH(_xlpm.id,{"atp","h2o"},0),0)&gt;0,_xlpm.oldcoeff-_xlpm.gam,IFERROR(MATCH(_xlpm.id,{"adp","h","pi"},0),0)&gt;0,_xlpm.oldcoeff+_xlpm.gam,TRUE,_xlpm.oldcoeff))</f>
        <v>182.07899</v>
      </c>
      <c r="K8" t="str" cm="1">
        <f t="array" ref="K8">"BIOSYN-"&amp;_xlfn.IFS(IFERROR(MATCH(mets2721[[#This Row],[category]],{0,"0",""},0),0)&gt;0,mets2721[[#This Row],[name]],TRUE,mets2721[[#This Row],[category]]&amp;"-"&amp;mets2721[[#This Row],[name]])</f>
        <v>BIOSYN-GAM-adp_c</v>
      </c>
      <c r="L8" s="149" t="str" cm="1">
        <f t="array" ref="L8">IF(IsElementOfSet_DIY(mets2721[[#This Row],[category]],{"ignore","PROT"}),"",_xlfn.LET(_xlpm.mw,mets2721[[#This Row],[MW for biomass normalization (g/mol)]],"MET-"&amp;mets2721[[#This Row],[name]]&amp;" --&gt; "&amp;IF((mets2721[[#This Row],[category]]="DNA")+(mets2721[[#This Row],[category]]="RNA"),"MET-ppi_c + ","")&amp;ROUND(ABS(_xlpm.mw/1000),6)&amp;" BIO-"&amp;mets2721[[#This Row],[name]]))</f>
        <v>MET-adp_c --&gt; 0.424177 BIO-adp_c</v>
      </c>
      <c r="M8" s="149" cm="1">
        <f t="array" ref="M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190.57899</v>
      </c>
      <c r="N8" s="149"/>
      <c r="O8" s="162" t="str">
        <v>BIOSYN-DNA</v>
      </c>
      <c r="P8" s="158" t="str">
        <f t="shared" si="1"/>
        <v>BIOSYN-DNA</v>
      </c>
      <c r="Q8" s="158" t="str">
        <f>SUBSTITUTE(LOWER(biomassComponents2620[[#This Row],[rxn name]]),"biosyn-","BIO-")</f>
        <v>BIO-dna</v>
      </c>
      <c r="R8" s="160" cm="1">
        <f t="array" ref="R8">SUM(_xlfn._xlws.FILTER(-mets2721[MW for biomass normalization (g/mol)]*mets2721[normalized coeffs]/1000,mets2721[category]=_xlfn.TEXTAFTER(O8,"BIOSYN-"),""))</f>
        <v>9.4053296679395947E-3</v>
      </c>
      <c r="S8" s="160"/>
      <c r="T8" s="160">
        <v>9.2366380735414838E-3</v>
      </c>
      <c r="U8" s="158" t="str" cm="1">
        <f t="array" ref="U8">_xlfn.TEXTJOIN(" + ",TRUE,_xlfn._xlws.FILTER(ROUND(-mets2721[MW for biomass normalization (g/mol)]*mets2721[normalized coeffs]*(biomassComponents2620[[#This Row],[normalized coeffs]]/biomassComponents2620[[#This Row],[original coeffs from input]])/(1000*biomassComponents2620[[#This Row],[normalized coeffs]]),6)&amp;" BIO-"&amp;mets2721[name],mets2721[category]=_xlfn.TEXTAFTER(O8,"BIOSYN-"),""))&amp;" --&gt; "&amp;biomassComponents2620[[#This Row],[product name]]</f>
        <v>0.197916 BIO-datp_c + 0.28514 BIO-dctp_c + 0.324743 BIO-dgtp_c + 0.192202 BIO-dttp_c --&gt; BIO-dna</v>
      </c>
      <c r="V8" s="158" t="str" cm="1">
        <f t="array" ref="V8">IFERROR(_xlfn.TEXTJOIN(" + ",TRUE,_xlfn._xlws.FILTER((-mets2721[normalized coeffs]*biomassComponents2620[[#This Row],[normalized coeffs]]/biomassComponents2620[[#This Row],[original coeffs from input]])&amp;" BIO-"&amp;mets2721[name],mets2721[category]=_xlfn.TEXTAFTER(P8,"BIOSYN-"),"")),"")</f>
        <v>0.00585548759366856 BIO-datp_c + 0.009139393932604 BIO-dctp_c + 0.009139393932604 BIO-dgtp_c + 0.00585548759366856 BIO-dttp_c</v>
      </c>
      <c r="X8" s="153" t="s">
        <v>757</v>
      </c>
      <c r="Y8" t="s">
        <v>49</v>
      </c>
      <c r="Z8" t="s">
        <v>747</v>
      </c>
      <c r="AB8" t="str">
        <v>BIOSYN-PROTTOBIO</v>
      </c>
      <c r="AC8" t="str">
        <v>BIO-prot --&gt; BIO-varbiom</v>
      </c>
      <c r="AD8" t="s">
        <v>747</v>
      </c>
      <c r="AE8" t="b">
        <v>1</v>
      </c>
    </row>
    <row r="9" spans="1:33" ht="16" x14ac:dyDescent="0.2">
      <c r="A9" s="144" t="s">
        <v>1318</v>
      </c>
      <c r="B9" t="str">
        <f>SUBSTITUTE(_xlfn.TEXTBEFORE(mets2721[[#This Row],[pasted JSON metabolite keys and values from GSM biomass rxn]],":"),CHAR(34),"")</f>
        <v>alatrna_c</v>
      </c>
      <c r="C9" t="str">
        <f>_xlfn.TEXTBEFORE(mets2721[[#This Row],[name]],"_",-1)</f>
        <v>alatrna</v>
      </c>
      <c r="D9" t="str">
        <f>_xlfn.XLOOKUP(mets2721[[#This Row],[name w/o location]],metaboliteInfo[name w/o location],metaboliteInfo[suggested category],"")</f>
        <v>PROT</v>
      </c>
      <c r="E9" s="21">
        <f>_xlfn.XLOOKUP(mets2721[[#This Row],[name w/o location]],metaboliteInfo[name w/o location],metaboliteInfo[MW for biomass normalization (g/mol)],0)</f>
        <v>72.085840000000005</v>
      </c>
      <c r="F9" s="21">
        <f>_xlfn.NUMBERVALUE(SUBSTITUTE(_xlfn.TEXTAFTER(mets2721[[#This Row],[pasted JSON metabolite keys and values from GSM biomass rxn]],":"),",",""))</f>
        <v>-0.405893</v>
      </c>
      <c r="G9" s="21" cm="1">
        <f t="array" ref="G9">_xlfn.LET(_xlpm.id,mets2721[[#This Row],[name w/o location]],IF(IsElementOfSet_DIY(_xlpm.id,{"atp","adp","h","pi","h2o"}),SIGN(mets2721[[#This Row],[raw (GSM) coefficient]])*(ABS(mets2721[[#This Row],[raw (GSM) coefficient]])-$J$2),mets2721[[#This Row],[raw (GSM) coefficient]]))</f>
        <v>-0.405893</v>
      </c>
      <c r="H9" s="21">
        <f>mets2721[[#This Row],[coeff. w/o GAM]]</f>
        <v>-0.405893</v>
      </c>
      <c r="I9" s="161">
        <f t="shared" si="0"/>
        <v>-0.40274718976917984</v>
      </c>
      <c r="J9" s="21" cm="1">
        <f t="array" ref="J9">_xlfn.LET(_xlpm.id,mets2721[[#This Row],[name w/o location]],_xlpm.oldcoeff,mets2721[[#This Row],[normalized coeffs]],_xlpm.gam,$J$2-$G$2,_xlfn.IFS(IFERROR(MATCH(_xlpm.id,{"atp","h2o"},0),0)&gt;0,_xlpm.oldcoeff-_xlpm.gam,IFERROR(MATCH(_xlpm.id,{"adp","h","pi"},0),0)&gt;0,_xlpm.oldcoeff+_xlpm.gam,TRUE,_xlpm.oldcoeff))</f>
        <v>-0.40274718976917984</v>
      </c>
      <c r="K9" t="str" cm="1">
        <f t="array" ref="K9">"BIOSYN-"&amp;_xlfn.IFS(IFERROR(MATCH(mets2721[[#This Row],[category]],{0,"0",""},0),0)&gt;0,mets2721[[#This Row],[name]],TRUE,mets2721[[#This Row],[category]]&amp;"-"&amp;mets2721[[#This Row],[name]])</f>
        <v>BIOSYN-PROT-alatrna_c</v>
      </c>
      <c r="L9" s="149" t="str" cm="1">
        <f t="array" ref="L9">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9" s="149" cm="1">
        <f t="array" ref="M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-0.41721585554762153</v>
      </c>
      <c r="N9" s="149"/>
      <c r="O9" s="162" t="str">
        <v>BIOSYN-LIPID</v>
      </c>
      <c r="P9" s="158" t="str">
        <f t="shared" si="1"/>
        <v>BIOSYN-LIPID</v>
      </c>
      <c r="Q9" s="158" t="str">
        <f>SUBSTITUTE(LOWER(biomassComponents2620[[#This Row],[rxn name]]),"biosyn-","BIO-")</f>
        <v>BIO-lipid</v>
      </c>
      <c r="R9" s="160" cm="1">
        <f t="array" ref="R9">SUM(_xlfn._xlws.FILTER(-mets2721[MW for biomass normalization (g/mol)]*mets2721[normalized coeffs]/1000,mets2721[category]=_xlfn.TEXTAFTER(O9,"BIOSYN-"),""))</f>
        <v>7.9077198839356502E-2</v>
      </c>
      <c r="S9" s="160"/>
      <c r="T9" s="160">
        <v>7.7658890367063499E-2</v>
      </c>
      <c r="U9" s="158" t="str" cm="1">
        <f t="array" ref="U9">_xlfn.LET(_xlpm.coeffs,ROUND(-mets2721[MW for biomass normalization (g/mol)]*mets2721[normalized coeffs]*(biomassComponents2620[[#This Row],[normalized coeffs]]/biomassComponents2620[[#This Row],[original coeffs from input]])/(1000*biomassComponents2620[[#This Row],[normalized coeffs]]),6),_xlfn.TEXTJOIN(" + ",TRUE,_xlfn._xlws.FILTER(_xlpm.coeffs&amp;IF(_xlpm.coeffs&lt;0," MET-"," BIO-")&amp;mets2721[name],mets2721[category]=_xlfn.TEXTAFTER(O9,"BIOSYN-"),""))&amp;" --&gt; "&amp;biomassComponents2620[[#This Row],[product name]])</f>
        <v>-0.007957 MET-dag_c + 0.00019 BIO-docoscoa_c + 0.213353 BIO-ergst_c + 0.088078 BIO-ergstest_c + 0.014332 BIO-hxccoa_c + 0.003402 BIO-linocoa_c + 0.000836 BIO-linolncoa_c + 0.001985 BIO-odecoa_c + 0.105347 BIO-pail_c + 0.283936 BIO-pc_c + 0.072079 BIO-pe_c + 0.026726 BIO-pmtcoa_c + 0.065524 BIO-ps_c + 0.001083 BIO-stcoa_c + 0.116602 BIO-tag_c + 0.014485 BIO-ttccoa_c --&gt; BIO-lipid</v>
      </c>
      <c r="V9" s="158" t="str" cm="1">
        <f t="array" ref="V9">IFERROR(_xlfn.TEXTJOIN(" + ",TRUE,_xlfn._xlws.FILTER((-mets2721[normalized coeffs]*biomassComponents2620[[#This Row],[normalized coeffs]]/biomassComponents2620[[#This Row],[original coeffs from input]])&amp;" BIO-"&amp;mets2721[name],mets2721[category]=_xlfn.TEXTAFTER(P9,"BIOSYN-"),"")),"")</f>
        <v>-0.00194890583913082 BIO-dag_c + 1.35753472356956E-05 BIO-docoscoa_c + 0.0417718733030105 BIO-ergst_c + 0.0103623323466586 BIO-ergstest_c + 0.000974452919565412 BIO-hxccoa_c + 0.000257507322625944 BIO-linocoa_c + 6.34327105074009E-05 BIO-linolncoa_c + 0.000149965231871062 BIO-odecoa_c + 0.00948922253072798 BIO-pail_c + 0.0280476783838513 BIO-pc_c + 0.00752277653904498 BIO-pe_c + 0.00207155457628959 BIO-pmtcoa_c + 0.00647329074467303 BIO-ps_c + 8.16736330810605E-05 BIO-stcoa_c + 0.0102259089379194 BIO-tag_c + 0.00100966845632259 BIO-ttccoa_c</v>
      </c>
      <c r="X9" s="153"/>
      <c r="AB9" t="str">
        <v>BIOSYN-PROTMODELED</v>
      </c>
      <c r="AC9" t="str">
        <v>BIO-protmodeled --&gt; BIO-prot</v>
      </c>
      <c r="AD9" t="s">
        <v>54</v>
      </c>
      <c r="AE9" t="b">
        <v>1</v>
      </c>
    </row>
    <row r="10" spans="1:33" ht="16" x14ac:dyDescent="0.2">
      <c r="A10" s="144" t="s">
        <v>1319</v>
      </c>
      <c r="B10" t="str">
        <f>SUBSTITUTE(_xlfn.TEXTBEFORE(mets2721[[#This Row],[pasted JSON metabolite keys and values from GSM biomass rxn]],":"),CHAR(34),"")</f>
        <v>argtrna_c</v>
      </c>
      <c r="C10" t="str">
        <f>_xlfn.TEXTBEFORE(mets2721[[#This Row],[name]],"_",-1)</f>
        <v>argtrna</v>
      </c>
      <c r="D10" t="str">
        <f>_xlfn.XLOOKUP(mets2721[[#This Row],[name w/o location]],metaboliteInfo[name w/o location],metaboliteInfo[suggested category],"")</f>
        <v>PROT</v>
      </c>
      <c r="E10" s="21">
        <f>_xlfn.XLOOKUP(mets2721[[#This Row],[name w/o location]],metaboliteInfo[name w/o location],metaboliteInfo[MW for biomass normalization (g/mol)],0)</f>
        <v>158.20156</v>
      </c>
      <c r="F10" s="21">
        <f>_xlfn.NUMBERVALUE(SUBSTITUTE(_xlfn.TEXTAFTER(mets2721[[#This Row],[pasted JSON metabolite keys and values from GSM biomass rxn]],":"),",",""))</f>
        <v>-0.16036300000000001</v>
      </c>
      <c r="G10" s="21" cm="1">
        <f t="array" ref="G10">_xlfn.LET(_xlpm.id,mets2721[[#This Row],[name w/o location]],IF(IsElementOfSet_DIY(_xlpm.id,{"atp","adp","h","pi","h2o"}),SIGN(mets2721[[#This Row],[raw (GSM) coefficient]])*(ABS(mets2721[[#This Row],[raw (GSM) coefficient]])-$J$2),mets2721[[#This Row],[raw (GSM) coefficient]]))</f>
        <v>-0.16036300000000001</v>
      </c>
      <c r="H10" s="21">
        <f>mets2721[[#This Row],[coeff. w/o GAM]]</f>
        <v>-0.16036300000000001</v>
      </c>
      <c r="I10" s="161">
        <f t="shared" si="0"/>
        <v>-0.1591201316429576</v>
      </c>
      <c r="J10" s="21" cm="1">
        <f t="array" ref="J10">_xlfn.LET(_xlpm.id,mets2721[[#This Row],[name w/o location]],_xlpm.oldcoeff,mets2721[[#This Row],[normalized coeffs]],_xlpm.gam,$J$2-$G$2,_xlfn.IFS(IFERROR(MATCH(_xlpm.id,{"atp","h2o"},0),0)&gt;0,_xlpm.oldcoeff-_xlpm.gam,IFERROR(MATCH(_xlpm.id,{"adp","h","pi"},0),0)&gt;0,_xlpm.oldcoeff+_xlpm.gam,TRUE,_xlpm.oldcoeff))</f>
        <v>-0.1591201316429576</v>
      </c>
      <c r="K10" t="str" cm="1">
        <f t="array" ref="K10">"BIOSYN-"&amp;_xlfn.IFS(IFERROR(MATCH(mets2721[[#This Row],[category]],{0,"0",""},0),0)&gt;0,mets2721[[#This Row],[name]],TRUE,mets2721[[#This Row],[category]]&amp;"-"&amp;mets2721[[#This Row],[name]])</f>
        <v>BIOSYN-PROT-argtrna_c</v>
      </c>
      <c r="L10" s="149" t="str" cm="1">
        <f t="array" ref="L10">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10" s="149" cm="1">
        <f t="array" ref="M1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-0.16483651169934743</v>
      </c>
      <c r="N10" s="149"/>
      <c r="O10" s="162" t="str">
        <v>BIOSYN-METAL</v>
      </c>
      <c r="P10" s="158" t="str">
        <f t="shared" si="1"/>
        <v>BIOSYN-METAL</v>
      </c>
      <c r="Q10" s="158" t="str">
        <f>SUBSTITUTE(LOWER(biomassComponents2620[[#This Row],[rxn name]]),"biosyn-","BIO-")</f>
        <v>BIO-metal</v>
      </c>
      <c r="R10" s="160" cm="1">
        <f t="array" ref="R10">SUM(_xlfn._xlws.FILTER(-mets2721[MW for biomass normalization (g/mol)]*mets2721[normalized coeffs]/1000,mets2721[category]=_xlfn.TEXTAFTER(O10,"BIOSYN-"),""))</f>
        <v>2.5155241032744094E-2</v>
      </c>
      <c r="S10" s="160"/>
      <c r="T10" s="160">
        <v>2.470406304461388E-2</v>
      </c>
      <c r="U10" s="158" t="str" cm="1">
        <f t="array" ref="U10">_xlfn.TEXTJOIN(" + ",TRUE,_xlfn._xlws.FILTER(ROUND(-mets2721[MW for biomass normalization (g/mol)]*mets2721[normalized coeffs]*(biomassComponents2620[[#This Row],[normalized coeffs]]/biomassComponents2620[[#This Row],[original coeffs from input]])/(1000*biomassComponents2620[[#This Row],[normalized coeffs]]),6)&amp;" BIO-"&amp;mets2721[name],mets2721[category]=_xlfn.TEXTAFTER(O10,"BIOSYN-"),""))&amp;" --&gt; "&amp;biomassComponents2620[[#This Row],[product name]]</f>
        <v>0.002033 BIO-ca2_c + 0.000286 BIO-cu2_c + 0.001463 BIO-fe2_c + 0.93097 BIO-k_c + 0.060981 BIO-mg2_c + 0.000204 BIO-mn2_c + 0.004064 BIO-zn2_c --&gt; BIO-metal</v>
      </c>
      <c r="V10" s="158" t="str" cm="1">
        <f t="array" ref="V10">IFERROR(_xlfn.TEXTJOIN(" + ",TRUE,_xlfn._xlws.FILTER((-mets2721[normalized coeffs]*biomassComponents2620[[#This Row],[normalized coeffs]]/biomassComponents2620[[#This Row],[original coeffs from input]])&amp;" BIO-"&amp;mets2721[name],mets2721[category]=_xlfn.TEXTAFTER(P10,"BIOSYN-"),"")),"")</f>
        <v>0.00125314645456112 BIO-ca2_c + 0.000111087632830457 BIO-cu2_c + 0.000647036738591434 BIO-fe2_c + 0.588228504895661 BIO-k_c + 0.0619820268547972 BIO-mg2_c + 9.15985744391487E-05 BIO-mn2_c + 0.00153573780123509 BIO-zn2_c</v>
      </c>
      <c r="X10" s="153"/>
      <c r="AB10" t="str">
        <v>BIOSYN-PROTDUMMY</v>
      </c>
      <c r="AC10" t="str">
        <v>BIO-protdummy --&gt; BIO-prot</v>
      </c>
      <c r="AD10" t="s">
        <v>56</v>
      </c>
      <c r="AE10" t="b">
        <v>1</v>
      </c>
    </row>
    <row r="11" spans="1:33" ht="16" x14ac:dyDescent="0.2">
      <c r="A11" s="144" t="s">
        <v>1320</v>
      </c>
      <c r="B11" t="str">
        <f>SUBSTITUTE(_xlfn.TEXTBEFORE(mets2721[[#This Row],[pasted JSON metabolite keys and values from GSM biomass rxn]],":"),CHAR(34),"")</f>
        <v>asntrna_c</v>
      </c>
      <c r="C11" t="str">
        <f>_xlfn.TEXTBEFORE(mets2721[[#This Row],[name]],"_",-1)</f>
        <v>asntrna</v>
      </c>
      <c r="D11" t="str">
        <f>_xlfn.XLOOKUP(mets2721[[#This Row],[name w/o location]],metaboliteInfo[name w/o location],metaboliteInfo[suggested category],"")</f>
        <v>PROT</v>
      </c>
      <c r="E11" s="21">
        <f>_xlfn.XLOOKUP(mets2721[[#This Row],[name w/o location]],metaboliteInfo[name w/o location],metaboliteInfo[MW for biomass normalization (g/mol)],0)</f>
        <v>115.11058</v>
      </c>
      <c r="F11" s="21">
        <f>_xlfn.NUMBERVALUE(SUBSTITUTE(_xlfn.TEXTAFTER(mets2721[[#This Row],[pasted JSON metabolite keys and values from GSM biomass rxn]],":"),",",""))</f>
        <v>-0.19276799999999999</v>
      </c>
      <c r="G11" s="21" cm="1">
        <f t="array" ref="G11">_xlfn.LET(_xlpm.id,mets2721[[#This Row],[name w/o location]],IF(IsElementOfSet_DIY(_xlpm.id,{"atp","adp","h","pi","h2o"}),SIGN(mets2721[[#This Row],[raw (GSM) coefficient]])*(ABS(mets2721[[#This Row],[raw (GSM) coefficient]])-$J$2),mets2721[[#This Row],[raw (GSM) coefficient]]))</f>
        <v>-0.19276799999999999</v>
      </c>
      <c r="H11" s="21">
        <f>mets2721[[#This Row],[coeff. w/o GAM]]</f>
        <v>-0.19276799999999999</v>
      </c>
      <c r="I11" s="161">
        <f t="shared" si="0"/>
        <v>-0.19127398175732338</v>
      </c>
      <c r="J11" s="21" cm="1">
        <f t="array" ref="J11">_xlfn.LET(_xlpm.id,mets2721[[#This Row],[name w/o location]],_xlpm.oldcoeff,mets2721[[#This Row],[normalized coeffs]],_xlpm.gam,$J$2-$G$2,_xlfn.IFS(IFERROR(MATCH(_xlpm.id,{"atp","h2o"},0),0)&gt;0,_xlpm.oldcoeff-_xlpm.gam,IFERROR(MATCH(_xlpm.id,{"adp","h","pi"},0),0)&gt;0,_xlpm.oldcoeff+_xlpm.gam,TRUE,_xlpm.oldcoeff))</f>
        <v>-0.19127398175732338</v>
      </c>
      <c r="K11" t="str" cm="1">
        <f t="array" ref="K11">"BIOSYN-"&amp;_xlfn.IFS(IFERROR(MATCH(mets2721[[#This Row],[category]],{0,"0",""},0),0)&gt;0,mets2721[[#This Row],[name]],TRUE,mets2721[[#This Row],[category]]&amp;"-"&amp;mets2721[[#This Row],[name]])</f>
        <v>BIOSYN-PROT-asntrna_c</v>
      </c>
      <c r="L11" s="149" t="str" cm="1">
        <f t="array" ref="L11">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11" s="149" cm="1">
        <f t="array" ref="M1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-0.19814548672237242</v>
      </c>
      <c r="N11" s="149"/>
      <c r="O11" s="162" t="str">
        <v>BIOSYN-other</v>
      </c>
      <c r="P11" s="158" t="str">
        <f t="shared" si="1"/>
        <v>BIOSYN-other</v>
      </c>
      <c r="Q11" s="158" t="str">
        <f>SUBSTITUTE(LOWER(biomassComponents2620[[#This Row],[rxn name]]),"biosyn-","BIO-")</f>
        <v>BIO-other</v>
      </c>
      <c r="R11" s="160" cm="1">
        <f t="array" ref="R11">SUM(_xlfn._xlws.FILTER(-mets2721[MW for biomass normalization (g/mol)]*mets2721[normalized coeffs]/1000,mets2721[category]=_xlfn.TEXTAFTER(O11,"BIOSYN-"),""))</f>
        <v>-5.5586024199253041E-5</v>
      </c>
      <c r="S11" s="160"/>
      <c r="T11" s="160">
        <v>-5.4589047444638315E-5</v>
      </c>
      <c r="U11" s="158" t="s">
        <v>1422</v>
      </c>
      <c r="V11" s="158" t="str" cm="1">
        <f t="array" ref="V11">IFERROR(_xlfn.TEXTJOIN(" + ",TRUE,_xlfn._xlws.FILTER((-mets2721[normalized coeffs]*biomassComponents2620[[#This Row],[normalized coeffs]]/biomassComponents2620[[#This Row],[original coeffs from input]])&amp;" BIO-"&amp;mets2721[name],mets2721[category]=_xlfn.TEXTAFTER(P11,"BIOSYN-"),"")),"")</f>
        <v>-0.00194890583913082 BIO-co2_c + 0.000974452919565412 BIO-o2_c</v>
      </c>
      <c r="X11" s="154" t="s">
        <v>52</v>
      </c>
      <c r="Y11" s="152" t="s">
        <v>53</v>
      </c>
      <c r="Z11" s="152" t="s">
        <v>54</v>
      </c>
      <c r="AB11" t="str">
        <v>BIOSYN-PROTCYT</v>
      </c>
      <c r="AC11" t="str">
        <v>BIO-protcyt --&gt; BIO-protmodeled</v>
      </c>
      <c r="AD11" t="s">
        <v>60</v>
      </c>
      <c r="AE11" t="b">
        <v>1</v>
      </c>
    </row>
    <row r="12" spans="1:33" ht="16" x14ac:dyDescent="0.2">
      <c r="A12" s="144" t="s">
        <v>1321</v>
      </c>
      <c r="B12" t="str">
        <f>SUBSTITUTE(_xlfn.TEXTBEFORE(mets2721[[#This Row],[pasted JSON metabolite keys and values from GSM biomass rxn]],":"),CHAR(34),"")</f>
        <v>asptrna_c</v>
      </c>
      <c r="C12" t="str">
        <f>_xlfn.TEXTBEFORE(mets2721[[#This Row],[name]],"_",-1)</f>
        <v>asptrna</v>
      </c>
      <c r="D12" t="str">
        <f>_xlfn.XLOOKUP(mets2721[[#This Row],[name w/o location]],metaboliteInfo[name w/o location],metaboliteInfo[suggested category],"")</f>
        <v>PROT</v>
      </c>
      <c r="E12" s="21">
        <f>_xlfn.XLOOKUP(mets2721[[#This Row],[name w/o location]],metaboliteInfo[name w/o location],metaboliteInfo[MW for biomass normalization (g/mol)],0)</f>
        <v>115.0874</v>
      </c>
      <c r="F12" s="21">
        <f>_xlfn.NUMBERVALUE(SUBSTITUTE(_xlfn.TEXTAFTER(mets2721[[#This Row],[pasted JSON metabolite keys and values from GSM biomass rxn]],":"),",",""))</f>
        <v>-0.19276799999999999</v>
      </c>
      <c r="G12" s="21" cm="1">
        <f t="array" ref="G12">_xlfn.LET(_xlpm.id,mets2721[[#This Row],[name w/o location]],IF(IsElementOfSet_DIY(_xlpm.id,{"atp","adp","h","pi","h2o"}),SIGN(mets2721[[#This Row],[raw (GSM) coefficient]])*(ABS(mets2721[[#This Row],[raw (GSM) coefficient]])-$J$2),mets2721[[#This Row],[raw (GSM) coefficient]]))</f>
        <v>-0.19276799999999999</v>
      </c>
      <c r="H12" s="21">
        <f>mets2721[[#This Row],[coeff. w/o GAM]]</f>
        <v>-0.19276799999999999</v>
      </c>
      <c r="I12" s="161">
        <f t="shared" si="0"/>
        <v>-0.19127398175732338</v>
      </c>
      <c r="J12" s="21" cm="1">
        <f t="array" ref="J12">_xlfn.LET(_xlpm.id,mets2721[[#This Row],[name w/o location]],_xlpm.oldcoeff,mets2721[[#This Row],[normalized coeffs]],_xlpm.gam,$J$2-$G$2,_xlfn.IFS(IFERROR(MATCH(_xlpm.id,{"atp","h2o"},0),0)&gt;0,_xlpm.oldcoeff-_xlpm.gam,IFERROR(MATCH(_xlpm.id,{"adp","h","pi"},0),0)&gt;0,_xlpm.oldcoeff+_xlpm.gam,TRUE,_xlpm.oldcoeff))</f>
        <v>-0.19127398175732338</v>
      </c>
      <c r="K12" t="str" cm="1">
        <f t="array" ref="K12">"BIOSYN-"&amp;_xlfn.IFS(IFERROR(MATCH(mets2721[[#This Row],[category]],{0,"0",""},0),0)&gt;0,mets2721[[#This Row],[name]],TRUE,mets2721[[#This Row],[category]]&amp;"-"&amp;mets2721[[#This Row],[name]])</f>
        <v>BIOSYN-PROT-asptrna_c</v>
      </c>
      <c r="L12" s="149" t="str" cm="1">
        <f t="array" ref="L12">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12" s="149" cm="1">
        <f t="array" ref="M1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-0.19814548672237242</v>
      </c>
      <c r="N12" s="149"/>
      <c r="O12" s="162" t="str">
        <v>BIOSYN-PI</v>
      </c>
      <c r="P12" s="158" t="str">
        <f t="shared" si="1"/>
        <v>BIOSYN-PI</v>
      </c>
      <c r="Q12" s="158" t="str">
        <f>SUBSTITUTE(LOWER(biomassComponents2620[[#This Row],[rxn name]]),"biosyn-","BIO-")</f>
        <v>BIO-pi</v>
      </c>
      <c r="R12" s="160" cm="1">
        <f t="array" ref="R12">SUM(_xlfn._xlws.FILTER(-mets2721[MW for biomass normalization (g/mol)]*mets2721[normalized coeffs]/1000,mets2721[category]=_xlfn.TEXTAFTER(O12,"BIOSYN-"),""))</f>
        <v>1.0062099191299278E-2</v>
      </c>
      <c r="S12" s="160"/>
      <c r="T12" s="160">
        <v>9.8816279462180766E-3</v>
      </c>
      <c r="U12" s="158" t="str" cm="1">
        <f t="array" ref="U12">_xlfn.TEXTJOIN(" + ",TRUE,_xlfn._xlws.FILTER(ROUND(-mets2721[MW for biomass normalization (g/mol)]*mets2721[normalized coeffs]*(biomassComponents2620[[#This Row],[normalized coeffs]]/biomassComponents2620[[#This Row],[original coeffs from input]])/(1000*biomassComponents2620[[#This Row],[normalized coeffs]]),6)&amp;" BIO-"&amp;mets2721[name],mets2721[category]=_xlfn.TEXTAFTER(O12,"BIOSYN-"),""))&amp;" --&gt; "&amp;biomassComponents2620[[#This Row],[product name]]</f>
        <v>1 BIO-pi_c --&gt; BIO-pi</v>
      </c>
      <c r="V12" s="158" t="str" cm="1">
        <f t="array" ref="V12">IFERROR(_xlfn.TEXTJOIN(" + ",TRUE,_xlfn._xlws.FILTER((-mets2721[normalized coeffs]*biomassComponents2620[[#This Row],[normalized coeffs]]/biomassComponents2620[[#This Row],[original coeffs from input]])&amp;" BIO-"&amp;mets2721[name],mets2721[category]=_xlfn.TEXTAFTER(P12,"BIOSYN-"),"")),"")</f>
        <v>0.102955823216696 BIO-pi_c</v>
      </c>
      <c r="X12" s="154" t="s">
        <v>52</v>
      </c>
      <c r="Y12" s="152" t="s">
        <v>55</v>
      </c>
      <c r="Z12" s="152" t="s">
        <v>56</v>
      </c>
      <c r="AB12" t="str">
        <v>BIOSYN-PROTMITO</v>
      </c>
      <c r="AC12" t="str">
        <v>BIO-protmito --&gt; BIO-protmodeled</v>
      </c>
      <c r="AD12" t="s">
        <v>62</v>
      </c>
      <c r="AE12" t="b">
        <v>1</v>
      </c>
    </row>
    <row r="13" spans="1:33" ht="16" x14ac:dyDescent="0.2">
      <c r="A13" s="144" t="s">
        <v>1322</v>
      </c>
      <c r="B13" t="str">
        <f>SUBSTITUTE(_xlfn.TEXTBEFORE(mets2721[[#This Row],[pasted JSON metabolite keys and values from GSM biomass rxn]],":"),CHAR(34),"")</f>
        <v>atp_c</v>
      </c>
      <c r="C13" t="str">
        <f>_xlfn.TEXTBEFORE(mets2721[[#This Row],[name]],"_",-1)</f>
        <v>atp</v>
      </c>
      <c r="D13" t="str">
        <f>_xlfn.XLOOKUP(mets2721[[#This Row],[name w/o location]],metaboliteInfo[name w/o location],metaboliteInfo[suggested category],"")</f>
        <v>RNA</v>
      </c>
      <c r="E13" s="21">
        <f>_xlfn.XLOOKUP(mets2721[[#This Row],[name w/o location]],metaboliteInfo[name w/o location],metaboliteInfo[MW for biomass normalization (g/mol)],0)</f>
        <v>328.19800099999998</v>
      </c>
      <c r="F13" s="21">
        <f>_xlfn.NUMBERVALUE(SUBSTITUTE(_xlfn.TEXTAFTER(mets2721[[#This Row],[pasted JSON metabolite keys and values from GSM biomass rxn]],":"),",",""))</f>
        <v>-190.64733699999999</v>
      </c>
      <c r="G13" s="21" cm="1">
        <f t="array" ref="G13">_xlfn.LET(_xlpm.id,mets2721[[#This Row],[name w/o location]],IF(IsElementOfSet_DIY(_xlpm.id,{"atp","adp","h","pi","h2o"}),SIGN(mets2721[[#This Row],[raw (GSM) coefficient]])*(ABS(mets2721[[#This Row],[raw (GSM) coefficient]])-$J$2),mets2721[[#This Row],[raw (GSM) coefficient]]))</f>
        <v>-6.8346999999988611E-2</v>
      </c>
      <c r="H13" s="21">
        <f>mets2721[[#This Row],[coeff. w/o GAM]]</f>
        <v>-6.8346999999988611E-2</v>
      </c>
      <c r="I13" s="161">
        <f t="shared" si="0"/>
        <v>-6.7817287263267773E-2</v>
      </c>
      <c r="J13" s="21" cm="1">
        <f t="array" ref="J13">_xlfn.LET(_xlpm.id,mets2721[[#This Row],[name w/o location]],_xlpm.oldcoeff,mets2721[[#This Row],[normalized coeffs]],_xlpm.gam,$J$2-$G$2,_xlfn.IFS(IFERROR(MATCH(_xlpm.id,{"atp","h2o"},0),0)&gt;0,_xlpm.oldcoeff-_xlpm.gam,IFERROR(MATCH(_xlpm.id,{"adp","h","pi"},0),0)&gt;0,_xlpm.oldcoeff+_xlpm.gam,TRUE,_xlpm.oldcoeff))</f>
        <v>-182.14680728726327</v>
      </c>
      <c r="K13" t="str" cm="1">
        <f t="array" ref="K13">"BIOSYN-"&amp;_xlfn.IFS(IFERROR(MATCH(mets2721[[#This Row],[category]],{0,"0",""},0),0)&gt;0,mets2721[[#This Row],[name]],TRUE,mets2721[[#This Row],[category]]&amp;"-"&amp;mets2721[[#This Row],[name]])</f>
        <v>BIOSYN-RNA-atp_c</v>
      </c>
      <c r="L13" s="149" t="str" cm="1">
        <f t="array" ref="L13">IF(IsElementOfSet_DIY(mets2721[[#This Row],[category]],{"ignore","PROT"}),"",_xlfn.LET(_xlpm.mw,mets2721[[#This Row],[MW for biomass normalization (g/mol)]],"MET-"&amp;mets2721[[#This Row],[name]]&amp;" --&gt; "&amp;IF((mets2721[[#This Row],[category]]="DNA")+(mets2721[[#This Row],[category]]="RNA"),"MET-ppi_c + ","")&amp;ROUND(ABS(_xlpm.mw/1000),6)&amp;" BIO-"&amp;mets2721[[#This Row],[name]]))</f>
        <v>MET-atp_c --&gt; MET-ppi_c + 0.328198 BIO-atp_c</v>
      </c>
      <c r="M13" s="149" cm="1">
        <f t="array" ref="M1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-190.64559093369354</v>
      </c>
      <c r="N13" s="149"/>
      <c r="O13" s="162" t="str">
        <v>BIOSYN-PROT</v>
      </c>
      <c r="P13" s="158" t="str">
        <f t="shared" si="1"/>
        <v>BIOSYN-PROT</v>
      </c>
      <c r="Q13" s="158" t="s">
        <v>21</v>
      </c>
      <c r="R13" s="160" cm="1">
        <f t="array" ref="R13">SUM(_xlfn._xlws.FILTER(-mets2721[MW for biomass normalization (g/mol)]*mets2721[normalized coeffs]/1000,mets2721[category]=_xlfn.TEXTAFTER(O13,"BIOSYN-"),""))</f>
        <v>0.45177018635731642</v>
      </c>
      <c r="S13" s="160"/>
      <c r="T13" s="160">
        <v>0.46800000000000003</v>
      </c>
      <c r="U13" s="158"/>
      <c r="V13" s="158" t="str" cm="1">
        <f t="array" ref="V13">IFERROR(_xlfn.TEXTJOIN(" + ",TRUE,_xlfn._xlws.FILTER((-mets2721[normalized coeffs]*biomassComponents2620[[#This Row],[normalized coeffs]]/biomassComponents2620[[#This Row],[original coeffs from input]])&amp;" BIO-"&amp;mets2721[name],mets2721[category]=_xlfn.TEXTAFTER(P13,"BIOSYN-"),"")),"")</f>
        <v>0.417215855547621 BIO-alatrna_c + 0.164836511699347 BIO-argtrna_c + 0.198145486722372 BIO-asntrna_c + 0.198145486722372 BIO-asptrna_c + 0.00597824405906228 BIO-cystrna_c + 0.330527205106584 BIO-glntrna_c + 0.330527205106584 BIO-glutrna_c + 0.379636999881312 BIO-glytrna_c + 0.0824187697977531 BIO-histrna_c + 0.251525162140385 BIO-iletrna_c + 0.342057116318843 BIO-leutrna_c + 0.280564256520126 BIO-lystrna_c + 0.0486821899727044 BIO-mettrna_c + 0.160566631056063 BIO-phetrna_c + 0.180209726649027 BIO-protrna_c + 0.229666950325399 BIO-sertrna_c + 0.237860310606483 BIO-thrtrna_c + 0.0277573078698277 BIO-trptrna_c + 0.0836995284115068 BIO-tyrtrna_c + 0.313019049835262 BIO-valtrna_c</v>
      </c>
      <c r="X13" s="154" t="s">
        <v>52</v>
      </c>
      <c r="Y13" s="152" t="s">
        <v>59</v>
      </c>
      <c r="Z13" s="152" t="s">
        <v>60</v>
      </c>
      <c r="AB13" t="str">
        <v>BIOSYN-TRNA</v>
      </c>
      <c r="AC13" t="str">
        <v>0.200735972408015 BIO-atp_c + 0.324747277642782 BIO-ctp_c + 0.321987462413558 BIO-gtp_c + 0.170783860067313 BIO-utp_c --&gt; BIO-trna</v>
      </c>
      <c r="AD13" t="s">
        <v>1602</v>
      </c>
      <c r="AE13" t="b">
        <v>1</v>
      </c>
    </row>
    <row r="14" spans="1:33" ht="16" x14ac:dyDescent="0.2">
      <c r="A14" s="144" t="s">
        <v>1323</v>
      </c>
      <c r="B14" t="str">
        <f>SUBSTITUTE(_xlfn.TEXTBEFORE(mets2721[[#This Row],[pasted JSON metabolite keys and values from GSM biomass rxn]],":"),CHAR(34),"")</f>
        <v>ca2_c</v>
      </c>
      <c r="C14" t="str">
        <f>_xlfn.TEXTBEFORE(mets2721[[#This Row],[name]],"_",-1)</f>
        <v>ca2</v>
      </c>
      <c r="D14" t="str">
        <f>_xlfn.XLOOKUP(mets2721[[#This Row],[name w/o location]],metaboliteInfo[name w/o location],metaboliteInfo[suggested category],"")</f>
        <v>METAL</v>
      </c>
      <c r="E14" s="21">
        <f>_xlfn.XLOOKUP(mets2721[[#This Row],[name w/o location]],metaboliteInfo[name w/o location],metaboliteInfo[MW for biomass normalization (g/mol)],0)</f>
        <v>40.078000000000003</v>
      </c>
      <c r="F14" s="21">
        <f>_xlfn.NUMBERVALUE(SUBSTITUTE(_xlfn.TEXTAFTER(mets2721[[#This Row],[pasted JSON metabolite keys and values from GSM biomass rxn]],":"),",",""))</f>
        <v>-1.286E-3</v>
      </c>
      <c r="G14" s="21" cm="1">
        <f t="array" ref="G14">_xlfn.LET(_xlpm.id,mets2721[[#This Row],[name w/o location]],IF(IsElementOfSet_DIY(_xlpm.id,{"atp","adp","h","pi","h2o"}),SIGN(mets2721[[#This Row],[raw (GSM) coefficient]])*(ABS(mets2721[[#This Row],[raw (GSM) coefficient]])-$J$2),mets2721[[#This Row],[raw (GSM) coefficient]]))</f>
        <v>-1.286E-3</v>
      </c>
      <c r="H14" s="21">
        <f>mets2721[[#This Row],[coeff. w/o GAM]]</f>
        <v>-1.286E-3</v>
      </c>
      <c r="I14" s="161">
        <f t="shared" si="0"/>
        <v>-1.2760330580797532E-3</v>
      </c>
      <c r="J14" s="21" cm="1">
        <f t="array" ref="J14">_xlfn.LET(_xlpm.id,mets2721[[#This Row],[name w/o location]],_xlpm.oldcoeff,mets2721[[#This Row],[normalized coeffs]],_xlpm.gam,$J$2-$G$2,_xlfn.IFS(IFERROR(MATCH(_xlpm.id,{"atp","h2o"},0),0)&gt;0,_xlpm.oldcoeff-_xlpm.gam,IFERROR(MATCH(_xlpm.id,{"adp","h","pi"},0),0)&gt;0,_xlpm.oldcoeff+_xlpm.gam,TRUE,_xlpm.oldcoeff))</f>
        <v>-1.2760330580797532E-3</v>
      </c>
      <c r="K14" t="str" cm="1">
        <f t="array" ref="K14">"BIOSYN-"&amp;_xlfn.IFS(IFERROR(MATCH(mets2721[[#This Row],[category]],{0,"0",""},0),0)&gt;0,mets2721[[#This Row],[name]],TRUE,mets2721[[#This Row],[category]]&amp;"-"&amp;mets2721[[#This Row],[name]])</f>
        <v>BIOSYN-METAL-ca2_c</v>
      </c>
      <c r="L14" s="149" t="str" cm="1">
        <f t="array" ref="L14">IF(IsElementOfSet_DIY(mets2721[[#This Row],[category]],{"ignore","PROT"}),"",_xlfn.LET(_xlpm.mw,mets2721[[#This Row],[MW for biomass normalization (g/mol)]],"MET-"&amp;mets2721[[#This Row],[name]]&amp;" --&gt; "&amp;IF((mets2721[[#This Row],[category]]="DNA")+(mets2721[[#This Row],[category]]="RNA"),"MET-ppi_c + ","")&amp;ROUND(ABS(_xlpm.mw/1000),6)&amp;" BIO-"&amp;mets2721[[#This Row],[name]]))</f>
        <v>MET-ca2_c --&gt; 0.040078 BIO-ca2_c</v>
      </c>
      <c r="M14" s="149" cm="1">
        <f t="array" ref="M1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-1.25314645456112E-3</v>
      </c>
      <c r="N14" s="149"/>
      <c r="O14" s="162" t="str">
        <v>BIOSYN-RNA</v>
      </c>
      <c r="P14" s="158" t="str">
        <f t="shared" si="1"/>
        <v>BIOSYN-RNA</v>
      </c>
      <c r="Q14" s="158" t="str">
        <f>SUBSTITUTE(LOWER(biomassComponents2620[[#This Row],[rxn name]]),"biosyn-","BIO-")</f>
        <v>BIO-rna</v>
      </c>
      <c r="R14" s="160" cm="1">
        <f t="array" ref="R14">SUM(_xlfn._xlws.FILTER(-mets2721[MW for biomass normalization (g/mol)]*mets2721[normalized coeffs]/1000,mets2721[category]=_xlfn.TEXTAFTER(O14,"BIOSYN-"),""))</f>
        <v>0.11290196890304988</v>
      </c>
      <c r="S14" s="160"/>
      <c r="T14" s="160">
        <v>0.11087698798081137</v>
      </c>
      <c r="U14" s="172" t="s">
        <v>81</v>
      </c>
      <c r="V14" s="158" t="str" cm="1">
        <f t="array" ref="V14">IFERROR(_xlfn.TEXTJOIN(" + ",TRUE,_xlfn._xlws.FILTER((-mets2721[normalized coeffs]*biomassComponents2620[[#This Row],[normalized coeffs]]/biomassComponents2620[[#This Row],[original coeffs from input]])&amp;" BIO-"&amp;mets2721[name],mets2721[category]=_xlfn.TEXTAFTER(P14,"BIOSYN-"),"")),"")</f>
        <v>0.0666009336935261 BIO-atp_c + 0.116254182209993 BIO-ctp_c + 0.101863461493851 BIO-gtp_c + 0.0609393622308622 BIO-utp_c</v>
      </c>
      <c r="X14" s="154" t="s">
        <v>52</v>
      </c>
      <c r="Y14" s="152" t="s">
        <v>61</v>
      </c>
      <c r="Z14" s="152" t="s">
        <v>62</v>
      </c>
      <c r="AB14" t="str">
        <v>BIOSYN-RRNA</v>
      </c>
      <c r="AC14" t="str">
        <v>0.200735972408015 BIO-atp_c + 0.324747277642782 BIO-ctp_c + 0.321987462413558 BIO-gtp_c + 0.170783860067313 BIO-utp_c --&gt; BIO-rrna</v>
      </c>
      <c r="AD14" t="s">
        <v>1603</v>
      </c>
      <c r="AE14" t="b">
        <v>1</v>
      </c>
    </row>
    <row r="15" spans="1:33" ht="16" x14ac:dyDescent="0.2">
      <c r="A15" s="144" t="s">
        <v>1324</v>
      </c>
      <c r="B15" t="str">
        <f>SUBSTITUTE(_xlfn.TEXTBEFORE(mets2721[[#This Row],[pasted JSON metabolite keys and values from GSM biomass rxn]],":"),CHAR(34),"")</f>
        <v>chtn_c</v>
      </c>
      <c r="C15" t="str">
        <f>_xlfn.TEXTBEFORE(mets2721[[#This Row],[name]],"_",-1)</f>
        <v>chtn</v>
      </c>
      <c r="D15" t="str">
        <f>_xlfn.XLOOKUP(mets2721[[#This Row],[name w/o location]],metaboliteInfo[name w/o location],metaboliteInfo[suggested category],"")</f>
        <v>CARB</v>
      </c>
      <c r="E15" s="21">
        <f>_xlfn.XLOOKUP(mets2721[[#This Row],[name w/o location]],metaboliteInfo[name w/o location],metaboliteInfo[MW for biomass normalization (g/mol)],0)</f>
        <v>203.19252</v>
      </c>
      <c r="F15" s="21">
        <f>_xlfn.NUMBERVALUE(SUBSTITUTE(_xlfn.TEXTAFTER(mets2721[[#This Row],[pasted JSON metabolite keys and values from GSM biomass rxn]],":"),",",""))</f>
        <v>-1.6184E-2</v>
      </c>
      <c r="G15" s="21" cm="1">
        <f t="array" ref="G15">_xlfn.LET(_xlpm.id,mets2721[[#This Row],[name w/o location]],IF(IsElementOfSet_DIY(_xlpm.id,{"atp","adp","h","pi","h2o"}),SIGN(mets2721[[#This Row],[raw (GSM) coefficient]])*(ABS(mets2721[[#This Row],[raw (GSM) coefficient]])-$J$2),mets2721[[#This Row],[raw (GSM) coefficient]]))</f>
        <v>-1.6184E-2</v>
      </c>
      <c r="H15" s="21">
        <f>mets2721[[#This Row],[coeff. w/o GAM]]</f>
        <v>-1.6184E-2</v>
      </c>
      <c r="I15" s="161">
        <f t="shared" si="0"/>
        <v>-1.6058568438540224E-2</v>
      </c>
      <c r="J15" s="21" cm="1">
        <f t="array" ref="J15">_xlfn.LET(_xlpm.id,mets2721[[#This Row],[name w/o location]],_xlpm.oldcoeff,mets2721[[#This Row],[normalized coeffs]],_xlpm.gam,$J$2-$G$2,_xlfn.IFS(IFERROR(MATCH(_xlpm.id,{"atp","h2o"},0),0)&gt;0,_xlpm.oldcoeff-_xlpm.gam,IFERROR(MATCH(_xlpm.id,{"adp","h","pi"},0),0)&gt;0,_xlpm.oldcoeff+_xlpm.gam,TRUE,_xlpm.oldcoeff))</f>
        <v>-1.6058568438540224E-2</v>
      </c>
      <c r="K15" t="str" cm="1">
        <f t="array" ref="K15">"BIOSYN-"&amp;_xlfn.IFS(IFERROR(MATCH(mets2721[[#This Row],[category]],{0,"0",""},0),0)&gt;0,mets2721[[#This Row],[name]],TRUE,mets2721[[#This Row],[category]]&amp;"-"&amp;mets2721[[#This Row],[name]])</f>
        <v>BIOSYN-CARB-chtn_c</v>
      </c>
      <c r="L15" s="149" t="str" cm="1">
        <f t="array" ref="L15">IF(IsElementOfSet_DIY(mets2721[[#This Row],[category]],{"ignore","PROT"}),"",_xlfn.LET(_xlpm.mw,mets2721[[#This Row],[MW for biomass normalization (g/mol)]],"MET-"&amp;mets2721[[#This Row],[name]]&amp;" --&gt; "&amp;IF((mets2721[[#This Row],[category]]="DNA")+(mets2721[[#This Row],[category]]="RNA"),"MET-ppi_c + ","")&amp;ROUND(ABS(_xlpm.mw/1000),6)&amp;" BIO-"&amp;mets2721[[#This Row],[name]]))</f>
        <v>MET-chtn_c --&gt; 0.203193 BIO-chtn_c</v>
      </c>
      <c r="M15" s="149" cm="1">
        <f t="array" ref="M1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-1.5770546050246633E-2</v>
      </c>
      <c r="N15" s="149"/>
      <c r="O15" s="149" t="str">
        <v>BIOSYN-SO4</v>
      </c>
      <c r="P15" s="158" t="str">
        <f>O15</f>
        <v>BIOSYN-SO4</v>
      </c>
      <c r="Q15" s="158" t="str">
        <f>SUBSTITUTE(LOWER(biomassComponents2620[[#This Row],[rxn name]]),"biosyn-","BIO-")</f>
        <v>BIO-so4</v>
      </c>
      <c r="R15" s="160" cm="1">
        <f t="array" ref="R15">SUM(_xlfn._xlws.FILTER(-mets2721[MW for biomass normalization (g/mol)]*mets2721[normalized coeffs]/1000,mets2721[category]=_xlfn.TEXTAFTER(O15,"BIOSYN-"),""))</f>
        <v>2.9761164692624501E-3</v>
      </c>
      <c r="S15" s="160"/>
      <c r="T15" s="160">
        <v>2.9227376032322982E-3</v>
      </c>
      <c r="U15" s="158" t="str" cm="1">
        <f t="array" ref="U15">_xlfn.TEXTJOIN(" + ",TRUE,_xlfn._xlws.FILTER(ROUND(-mets2721[MW for biomass normalization (g/mol)]*mets2721[normalized coeffs]*(biomassComponents2620[[#This Row],[normalized coeffs]]/biomassComponents2620[[#This Row],[original coeffs from input]])/(1000*biomassComponents2620[[#This Row],[normalized coeffs]]),6)&amp;" BIO-"&amp;mets2721[name],mets2721[category]=_xlfn.TEXTAFTER(O15,"BIOSYN-"),""))&amp;" --&gt; "&amp;biomassComponents2620[[#This Row],[product name]]</f>
        <v>1 BIO-so4_c --&gt; BIO-so4</v>
      </c>
      <c r="V15" s="158" t="str" cm="1">
        <f t="array" ref="V15">IFERROR(_xlfn.TEXTJOIN(" + ",TRUE,_xlfn._xlws.FILTER((-mets2721[normalized coeffs]*biomassComponents2620[[#This Row],[normalized coeffs]]/biomassComponents2620[[#This Row],[original coeffs from input]])&amp;" BIO-"&amp;mets2721[name],mets2721[category]=_xlfn.TEXTAFTER(P15,"BIOSYN-"),"")),"")</f>
        <v>0.0304253435075909 BIO-so4_c</v>
      </c>
      <c r="X15" s="154"/>
      <c r="Y15" s="152" t="s">
        <v>763</v>
      </c>
      <c r="Z15" s="152" t="str" cm="1">
        <f t="array" ref="Z15">_xlfn.LET(_xlpm.RNAmass,_xlfn.XLOOKUP("BIOSYN-RNA",biomassComponents2620[rxn name],biomassComponents2620[normalized coeffs],0),_xlpm.coeff,1/_xlpm.RNAmass,_xlfn.TEXTJOIN(" + ",TRUE,_xlfn._xlws.FILTER(ROUND(-mets2721[MW for biomass normalization (g/mol)]*mets2721[normalized coeffs]/(1000),6)*_xlpm.coeff&amp;" BIO-"&amp;mets2721[name],mets2721[category]="RNA",""))&amp;" --&gt; "&amp;SUBSTITUTE(LOWER(ExtraRxns2519[[#This Row],[name]]),"biosyn-","BIO-"))</f>
        <v>0.200735972408015 BIO-atp_c + 0.324747277642782 BIO-ctp_c + 0.321987462413558 BIO-gtp_c + 0.170783860067313 BIO-utp_c --&gt; BIO-trna</v>
      </c>
      <c r="AB15" t="str">
        <v>BIOSYN-MRNA</v>
      </c>
      <c r="AC15" t="str">
        <v>0.200735972408015 BIO-atp_c + 0.324747277642782 BIO-ctp_c + 0.321987462413558 BIO-gtp_c + 0.170783860067313 BIO-utp_c --&gt; BIO-mrna</v>
      </c>
      <c r="AD15" t="s">
        <v>1604</v>
      </c>
      <c r="AE15" t="b">
        <v>1</v>
      </c>
    </row>
    <row r="16" spans="1:33" ht="16" x14ac:dyDescent="0.2">
      <c r="A16" s="144" t="s">
        <v>1367</v>
      </c>
      <c r="B16" t="str">
        <f>SUBSTITUTE(_xlfn.TEXTBEFORE(mets2721[[#This Row],[pasted JSON metabolite keys and values from GSM biomass rxn]],":"),CHAR(34),"")</f>
        <v>co2_c</v>
      </c>
      <c r="C16" t="str">
        <f>_xlfn.TEXTBEFORE(mets2721[[#This Row],[name]],"_",-1)</f>
        <v>co2</v>
      </c>
      <c r="D16" t="str">
        <f>_xlfn.XLOOKUP(mets2721[[#This Row],[name w/o location]],metaboliteInfo[name w/o location],metaboliteInfo[suggested category],"")</f>
        <v>other</v>
      </c>
      <c r="E16" s="21">
        <f>_xlfn.XLOOKUP(mets2721[[#This Row],[name w/o location]],metaboliteInfo[name w/o location],metaboliteInfo[MW for biomass normalization (g/mol)],0)</f>
        <v>44.009500000000003</v>
      </c>
      <c r="F16" s="21">
        <f>_xlfn.NUMBERVALUE(SUBSTITUTE(_xlfn.TEXTAFTER(mets2721[[#This Row],[pasted JSON metabolite keys and values from GSM biomass rxn]],":"),",",""))</f>
        <v>2E-3</v>
      </c>
      <c r="G16" s="21" cm="1">
        <f t="array" ref="G16">_xlfn.LET(_xlpm.id,mets2721[[#This Row],[name w/o location]],IF(IsElementOfSet_DIY(_xlpm.id,{"atp","adp","h","pi","h2o"}),SIGN(mets2721[[#This Row],[raw (GSM) coefficient]])*(ABS(mets2721[[#This Row],[raw (GSM) coefficient]])-$J$2),mets2721[[#This Row],[raw (GSM) coefficient]]))</f>
        <v>2E-3</v>
      </c>
      <c r="H16" s="21">
        <f>mets2721[[#This Row],[coeff. w/o GAM]]</f>
        <v>2E-3</v>
      </c>
      <c r="I16" s="161">
        <f t="shared" si="0"/>
        <v>1.9844993127212337E-3</v>
      </c>
      <c r="J16" s="21" cm="1">
        <f t="array" ref="J16">_xlfn.LET(_xlpm.id,mets2721[[#This Row],[name w/o location]],_xlpm.oldcoeff,mets2721[[#This Row],[normalized coeffs]],_xlpm.gam,$J$2-$G$2,_xlfn.IFS(IFERROR(MATCH(_xlpm.id,{"atp","h2o"},0),0)&gt;0,_xlpm.oldcoeff-_xlpm.gam,IFERROR(MATCH(_xlpm.id,{"adp","h","pi"},0),0)&gt;0,_xlpm.oldcoeff+_xlpm.gam,TRUE,_xlpm.oldcoeff))</f>
        <v>1.9844993127212337E-3</v>
      </c>
      <c r="K16" t="str" cm="1">
        <f t="array" ref="K16">"BIOSYN-"&amp;_xlfn.IFS(IFERROR(MATCH(mets2721[[#This Row],[category]],{0,"0",""},0),0)&gt;0,mets2721[[#This Row],[name]],TRUE,mets2721[[#This Row],[category]]&amp;"-"&amp;mets2721[[#This Row],[name]])</f>
        <v>BIOSYN-other-co2_c</v>
      </c>
      <c r="L16" s="149" t="str" cm="1">
        <f t="array" ref="L16">IF(IsElementOfSet_DIY(mets2721[[#This Row],[category]],{"ignore","PROT"}),"",_xlfn.LET(_xlpm.mw,mets2721[[#This Row],[MW for biomass normalization (g/mol)]],"MET-"&amp;mets2721[[#This Row],[name]]&amp;" --&gt; "&amp;IF((mets2721[[#This Row],[category]]="DNA")+(mets2721[[#This Row],[category]]="RNA"),"MET-ppi_c + ","")&amp;ROUND(ABS(_xlpm.mw/1000),6)&amp;" BIO-"&amp;mets2721[[#This Row],[name]]))</f>
        <v>MET-co2_c --&gt; 0.04401 BIO-co2_c</v>
      </c>
      <c r="M16" s="149" cm="1">
        <f t="array" ref="M1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1.9489058391308242E-3</v>
      </c>
      <c r="N16" s="149"/>
      <c r="O16" s="149"/>
      <c r="P16" s="145"/>
      <c r="Q16" s="166"/>
      <c r="R16" s="95"/>
      <c r="S16" s="149"/>
      <c r="T16" s="149"/>
      <c r="U16" s="149"/>
      <c r="V16" s="149"/>
      <c r="X16" s="154"/>
      <c r="Y16" s="152" t="s">
        <v>765</v>
      </c>
      <c r="Z16" s="152" t="str" cm="1">
        <f t="array" ref="Z16">_xlfn.LET(_xlpm.RNAmass,_xlfn.XLOOKUP("BIOSYN-RNA",biomassComponents2620[rxn name],biomassComponents2620[normalized coeffs],0),_xlpm.coeff,1/_xlpm.RNAmass,_xlfn.TEXTJOIN(" + ",TRUE,_xlfn._xlws.FILTER(ROUND(-mets2721[MW for biomass normalization (g/mol)]*mets2721[normalized coeffs]/(1000),6)*_xlpm.coeff&amp;" BIO-"&amp;mets2721[name],mets2721[category]="RNA",""))&amp;" --&gt; "&amp;SUBSTITUTE(LOWER(ExtraRxns2519[[#This Row],[name]]),"biosyn-","BIO-"))</f>
        <v>0.200735972408015 BIO-atp_c + 0.324747277642782 BIO-ctp_c + 0.321987462413558 BIO-gtp_c + 0.170783860067313 BIO-utp_c --&gt; BIO-rrna</v>
      </c>
      <c r="AB16" t="str">
        <v>DM-BIO-other</v>
      </c>
      <c r="AC16" t="str">
        <v xml:space="preserve">BIO-other --&gt; </v>
      </c>
      <c r="AD16" t="s">
        <v>1420</v>
      </c>
      <c r="AE16" t="b">
        <v>1</v>
      </c>
    </row>
    <row r="17" spans="1:31" ht="16" x14ac:dyDescent="0.2">
      <c r="A17" s="144" t="s">
        <v>1368</v>
      </c>
      <c r="B17" t="str">
        <f>SUBSTITUTE(_xlfn.TEXTBEFORE(mets2721[[#This Row],[pasted JSON metabolite keys and values from GSM biomass rxn]],":"),CHAR(34),"")</f>
        <v>coa_c</v>
      </c>
      <c r="C17" t="str">
        <f>_xlfn.TEXTBEFORE(mets2721[[#This Row],[name]],"_",-1)</f>
        <v>coa</v>
      </c>
      <c r="D17" t="str">
        <f>_xlfn.XLOOKUP(mets2721[[#This Row],[name w/o location]],metaboliteInfo[name w/o location],metaboliteInfo[suggested category],"")</f>
        <v>COFACTOR</v>
      </c>
      <c r="E17" s="21">
        <f>_xlfn.XLOOKUP(mets2721[[#This Row],[name w/o location]],metaboliteInfo[name w/o location],metaboliteInfo[MW for biomass normalization (g/mol)],0)</f>
        <v>763.50236299999995</v>
      </c>
      <c r="F17" s="21">
        <f>_xlfn.NUMBERVALUE(SUBSTITUTE(_xlfn.TEXTAFTER(mets2721[[#This Row],[pasted JSON metabolite keys and values from GSM biomass rxn]],":"),",",""))</f>
        <v>4.7429999999999998E-3</v>
      </c>
      <c r="G17" s="21" cm="1">
        <f t="array" ref="G17">_xlfn.LET(_xlpm.id,mets2721[[#This Row],[name w/o location]],IF(IsElementOfSet_DIY(_xlpm.id,{"atp","adp","h","pi","h2o"}),SIGN(mets2721[[#This Row],[raw (GSM) coefficient]])*(ABS(mets2721[[#This Row],[raw (GSM) coefficient]])-$J$2),mets2721[[#This Row],[raw (GSM) coefficient]]))</f>
        <v>4.7429999999999998E-3</v>
      </c>
      <c r="H17" s="21">
        <f>mets2721[[#This Row],[coeff. w/o GAM]]</f>
        <v>4.7429999999999998E-3</v>
      </c>
      <c r="I17" s="161">
        <f t="shared" si="0"/>
        <v>4.7062401201184052E-3</v>
      </c>
      <c r="J17" s="21" cm="1">
        <f t="array" ref="J17">_xlfn.LET(_xlpm.id,mets2721[[#This Row],[name w/o location]],_xlpm.oldcoeff,mets2721[[#This Row],[normalized coeffs]],_xlpm.gam,$J$2-$G$2,_xlfn.IFS(IFERROR(MATCH(_xlpm.id,{"atp","h2o"},0),0)&gt;0,_xlpm.oldcoeff-_xlpm.gam,IFERROR(MATCH(_xlpm.id,{"adp","h","pi"},0),0)&gt;0,_xlpm.oldcoeff+_xlpm.gam,TRUE,_xlpm.oldcoeff))</f>
        <v>4.7062401201184052E-3</v>
      </c>
      <c r="K17" t="str" cm="1">
        <f t="array" ref="K17">"BIOSYN-"&amp;_xlfn.IFS(IFERROR(MATCH(mets2721[[#This Row],[category]],{0,"0",""},0),0)&gt;0,mets2721[[#This Row],[name]],TRUE,mets2721[[#This Row],[category]]&amp;"-"&amp;mets2721[[#This Row],[name]])</f>
        <v>BIOSYN-COFACTOR-coa_c</v>
      </c>
      <c r="L17" s="149" t="str" cm="1">
        <f t="array" ref="L17">IF(IsElementOfSet_DIY(mets2721[[#This Row],[category]],{"ignore","PROT"}),"",_xlfn.LET(_xlpm.mw,mets2721[[#This Row],[MW for biomass normalization (g/mol)]],"MET-"&amp;mets2721[[#This Row],[name]]&amp;" --&gt; "&amp;IF((mets2721[[#This Row],[category]]="DNA")+(mets2721[[#This Row],[category]]="RNA"),"MET-ppi_c + ","")&amp;ROUND(ABS(_xlpm.mw/1000),6)&amp;" BIO-"&amp;mets2721[[#This Row],[name]]))</f>
        <v>MET-coa_c --&gt; 0.763502 BIO-coa_c</v>
      </c>
      <c r="M17" s="149" cm="1">
        <f t="array" ref="M1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4.6218301974987495E-3</v>
      </c>
      <c r="N17" s="149"/>
      <c r="O17" s="149"/>
      <c r="P17" s="149"/>
      <c r="Q17" s="167"/>
      <c r="R17" s="149"/>
      <c r="S17" s="149"/>
      <c r="T17" s="149"/>
      <c r="U17" s="149"/>
      <c r="V17" s="149"/>
      <c r="X17" s="154"/>
      <c r="Y17" s="152" t="s">
        <v>764</v>
      </c>
      <c r="Z17" s="152" t="str" cm="1">
        <f t="array" ref="Z17">_xlfn.LET(_xlpm.RNAmass,_xlfn.XLOOKUP("BIOSYN-RNA",biomassComponents2620[rxn name],biomassComponents2620[normalized coeffs],0),_xlpm.coeff,1/_xlpm.RNAmass,_xlfn.TEXTJOIN(" + ",TRUE,_xlfn._xlws.FILTER(ROUND(-mets2721[MW for biomass normalization (g/mol)]*mets2721[normalized coeffs]/(1000),6)*_xlpm.coeff&amp;" BIO-"&amp;mets2721[name],mets2721[category]="RNA",""))&amp;" --&gt; "&amp;SUBSTITUTE(LOWER(ExtraRxns2519[[#This Row],[name]]),"biosyn-","BIO-"))</f>
        <v>0.200735972408015 BIO-atp_c + 0.324747277642782 BIO-ctp_c + 0.321987462413558 BIO-gtp_c + 0.170783860067313 BIO-utp_c --&gt; BIO-mrna</v>
      </c>
      <c r="AB17" t="str">
        <v>DM-BIO-cofactor</v>
      </c>
      <c r="AC17" t="str">
        <v xml:space="preserve">BIO-cofactor --&gt; </v>
      </c>
      <c r="AD17" t="s">
        <v>1421</v>
      </c>
      <c r="AE17" t="b">
        <v>1</v>
      </c>
    </row>
    <row r="18" spans="1:31" ht="16" x14ac:dyDescent="0.2">
      <c r="A18" s="144" t="s">
        <v>1325</v>
      </c>
      <c r="B18" t="str">
        <f>SUBSTITUTE(_xlfn.TEXTBEFORE(mets2721[[#This Row],[pasted JSON metabolite keys and values from GSM biomass rxn]],":"),CHAR(34),"")</f>
        <v>ctp_c</v>
      </c>
      <c r="C18" t="str">
        <f>_xlfn.TEXTBEFORE(mets2721[[#This Row],[name]],"_",-1)</f>
        <v>ctp</v>
      </c>
      <c r="D18" t="str">
        <f>_xlfn.XLOOKUP(mets2721[[#This Row],[name w/o location]],metaboliteInfo[name w/o location],metaboliteInfo[suggested category],"")</f>
        <v>RNA</v>
      </c>
      <c r="E18" s="21">
        <f>_xlfn.XLOOKUP(mets2721[[#This Row],[name w/o location]],metaboliteInfo[name w/o location],metaboliteInfo[MW for biomass normalization (g/mol)],0)</f>
        <v>304.17330100000004</v>
      </c>
      <c r="F18" s="21">
        <f>_xlfn.NUMBERVALUE(SUBSTITUTE(_xlfn.TEXTAFTER(mets2721[[#This Row],[pasted JSON metabolite keys and values from GSM biomass rxn]],":"),",",""))</f>
        <v>-0.11930200000000001</v>
      </c>
      <c r="G18" s="21" cm="1">
        <f t="array" ref="G18">_xlfn.LET(_xlpm.id,mets2721[[#This Row],[name w/o location]],IF(IsElementOfSet_DIY(_xlpm.id,{"atp","adp","h","pi","h2o"}),SIGN(mets2721[[#This Row],[raw (GSM) coefficient]])*(ABS(mets2721[[#This Row],[raw (GSM) coefficient]])-$J$2),mets2721[[#This Row],[raw (GSM) coefficient]]))</f>
        <v>-0.11930200000000001</v>
      </c>
      <c r="H18" s="21">
        <f>mets2721[[#This Row],[coeff. w/o GAM]]</f>
        <v>-0.11930200000000001</v>
      </c>
      <c r="I18" s="161">
        <f t="shared" si="0"/>
        <v>-0.11837736850313431</v>
      </c>
      <c r="J18" s="21" cm="1">
        <f t="array" ref="J18">_xlfn.LET(_xlpm.id,mets2721[[#This Row],[name w/o location]],_xlpm.oldcoeff,mets2721[[#This Row],[normalized coeffs]],_xlpm.gam,$J$2-$G$2,_xlfn.IFS(IFERROR(MATCH(_xlpm.id,{"atp","h2o"},0),0)&gt;0,_xlpm.oldcoeff-_xlpm.gam,IFERROR(MATCH(_xlpm.id,{"adp","h","pi"},0),0)&gt;0,_xlpm.oldcoeff+_xlpm.gam,TRUE,_xlpm.oldcoeff))</f>
        <v>-0.11837736850313431</v>
      </c>
      <c r="K18" t="str" cm="1">
        <f t="array" ref="K18">"BIOSYN-"&amp;_xlfn.IFS(IFERROR(MATCH(mets2721[[#This Row],[category]],{0,"0",""},0),0)&gt;0,mets2721[[#This Row],[name]],TRUE,mets2721[[#This Row],[category]]&amp;"-"&amp;mets2721[[#This Row],[name]])</f>
        <v>BIOSYN-RNA-ctp_c</v>
      </c>
      <c r="L18" s="149" t="str" cm="1">
        <f t="array" ref="L18">IF(IsElementOfSet_DIY(mets2721[[#This Row],[category]],{"ignore","PROT"}),"",_xlfn.LET(_xlpm.mw,mets2721[[#This Row],[MW for biomass normalization (g/mol)]],"MET-"&amp;mets2721[[#This Row],[name]]&amp;" --&gt; "&amp;IF((mets2721[[#This Row],[category]]="DNA")+(mets2721[[#This Row],[category]]="RNA"),"MET-ppi_c + ","")&amp;ROUND(ABS(_xlpm.mw/1000),6)&amp;" BIO-"&amp;mets2721[[#This Row],[name]]))</f>
        <v>MET-ctp_c --&gt; MET-ppi_c + 0.304173 BIO-ctp_c</v>
      </c>
      <c r="M18" s="149" cm="1">
        <f t="array" ref="M1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-0.11625418220999281</v>
      </c>
      <c r="N18" s="149"/>
      <c r="O18" s="149"/>
      <c r="P18" s="149"/>
      <c r="Q18" s="149"/>
      <c r="R18" s="167" t="s">
        <v>1310</v>
      </c>
      <c r="S18" s="149"/>
      <c r="T18" s="149"/>
      <c r="U18" s="149"/>
      <c r="V18" s="149"/>
      <c r="X18" s="154"/>
      <c r="Y18" s="152" t="s">
        <v>1423</v>
      </c>
      <c r="Z18" s="152" t="s">
        <v>1420</v>
      </c>
      <c r="AB18" t="str">
        <v>BIOSYN-CARB</v>
      </c>
      <c r="AC18" t="str">
        <v>0.360165 BIO-13BDglucan_c + 0.09478 BIO-16BDglucan_en + 0.010671 BIO-chtn_c + 0.123543 BIO-glycogen_c + 0.257886 BIO-mannan_c + 0.152955 BIO-tre_c --&gt; BIO-carb</v>
      </c>
      <c r="AD18" t="s">
        <v>1605</v>
      </c>
      <c r="AE18" t="b">
        <v>1</v>
      </c>
    </row>
    <row r="19" spans="1:31" ht="29" thickBot="1" x14ac:dyDescent="0.25">
      <c r="A19" s="144" t="s">
        <v>1326</v>
      </c>
      <c r="B19" t="str">
        <f>SUBSTITUTE(_xlfn.TEXTBEFORE(mets2721[[#This Row],[pasted JSON metabolite keys and values from GSM biomass rxn]],":"),CHAR(34),"")</f>
        <v>cu2_c</v>
      </c>
      <c r="C19" t="str">
        <f>_xlfn.TEXTBEFORE(mets2721[[#This Row],[name]],"_",-1)</f>
        <v>cu2</v>
      </c>
      <c r="D19" t="str">
        <f>_xlfn.XLOOKUP(mets2721[[#This Row],[name w/o location]],metaboliteInfo[name w/o location],metaboliteInfo[suggested category],"")</f>
        <v>METAL</v>
      </c>
      <c r="E19" s="21">
        <f>_xlfn.XLOOKUP(mets2721[[#This Row],[name w/o location]],metaboliteInfo[name w/o location],metaboliteInfo[MW for biomass normalization (g/mol)],0)</f>
        <v>63.545999999999999</v>
      </c>
      <c r="F19" s="21">
        <f>_xlfn.NUMBERVALUE(SUBSTITUTE(_xlfn.TEXTAFTER(mets2721[[#This Row],[pasted JSON metabolite keys and values from GSM biomass rxn]],":"),",",""))</f>
        <v>-1.1400000000000001E-4</v>
      </c>
      <c r="G19" s="21" cm="1">
        <f t="array" ref="G19">_xlfn.LET(_xlpm.id,mets2721[[#This Row],[name w/o location]],IF(IsElementOfSet_DIY(_xlpm.id,{"atp","adp","h","pi","h2o"}),SIGN(mets2721[[#This Row],[raw (GSM) coefficient]])*(ABS(mets2721[[#This Row],[raw (GSM) coefficient]])-$J$2),mets2721[[#This Row],[raw (GSM) coefficient]]))</f>
        <v>-1.1400000000000001E-4</v>
      </c>
      <c r="H19" s="21">
        <f>mets2721[[#This Row],[coeff. w/o GAM]]</f>
        <v>-1.1400000000000001E-4</v>
      </c>
      <c r="I19" s="161">
        <f t="shared" si="0"/>
        <v>-1.1311646082511032E-4</v>
      </c>
      <c r="J19" s="21" cm="1">
        <f t="array" ref="J19">_xlfn.LET(_xlpm.id,mets2721[[#This Row],[name w/o location]],_xlpm.oldcoeff,mets2721[[#This Row],[normalized coeffs]],_xlpm.gam,$J$2-$G$2,_xlfn.IFS(IFERROR(MATCH(_xlpm.id,{"atp","h2o"},0),0)&gt;0,_xlpm.oldcoeff-_xlpm.gam,IFERROR(MATCH(_xlpm.id,{"adp","h","pi"},0),0)&gt;0,_xlpm.oldcoeff+_xlpm.gam,TRUE,_xlpm.oldcoeff))</f>
        <v>-1.1311646082511032E-4</v>
      </c>
      <c r="K19" t="str" cm="1">
        <f t="array" ref="K19">"BIOSYN-"&amp;_xlfn.IFS(IFERROR(MATCH(mets2721[[#This Row],[category]],{0,"0",""},0),0)&gt;0,mets2721[[#This Row],[name]],TRUE,mets2721[[#This Row],[category]]&amp;"-"&amp;mets2721[[#This Row],[name]])</f>
        <v>BIOSYN-METAL-cu2_c</v>
      </c>
      <c r="L19" s="149" t="str" cm="1">
        <f t="array" ref="L19">IF(IsElementOfSet_DIY(mets2721[[#This Row],[category]],{"ignore","PROT"}),"",_xlfn.LET(_xlpm.mw,mets2721[[#This Row],[MW for biomass normalization (g/mol)]],"MET-"&amp;mets2721[[#This Row],[name]]&amp;" --&gt; "&amp;IF((mets2721[[#This Row],[category]]="DNA")+(mets2721[[#This Row],[category]]="RNA"),"MET-ppi_c + ","")&amp;ROUND(ABS(_xlpm.mw/1000),6)&amp;" BIO-"&amp;mets2721[[#This Row],[name]]))</f>
        <v>MET-cu2_c --&gt; 0.063546 BIO-cu2_c</v>
      </c>
      <c r="M19" s="149" cm="1">
        <f t="array" ref="M1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-1.11087632830457E-4</v>
      </c>
      <c r="N19" s="149"/>
      <c r="O19" s="149"/>
      <c r="P19" s="175" t="s">
        <v>762</v>
      </c>
      <c r="Q19" s="175" t="s">
        <v>753</v>
      </c>
      <c r="R19" s="175" t="s">
        <v>627</v>
      </c>
      <c r="S19" s="149"/>
      <c r="T19" s="149"/>
      <c r="U19" s="149"/>
      <c r="V19" s="149">
        <f>SUM(U20:U29)</f>
        <v>0.58717494220823685</v>
      </c>
      <c r="X19" s="154"/>
      <c r="Y19" s="152" t="s">
        <v>1424</v>
      </c>
      <c r="Z19" s="152" t="s">
        <v>1421</v>
      </c>
      <c r="AB19" t="str">
        <v>BIOSYN-COFACTOR</v>
      </c>
      <c r="AC19" t="str">
        <v>0.614705 BIO-nadph_c --&gt; BIO-cofactor + 1.000836 MET-coa_c + 0.613869 MET-nadp_c</v>
      </c>
      <c r="AD19" t="s">
        <v>1419</v>
      </c>
      <c r="AE19" t="b">
        <v>1</v>
      </c>
    </row>
    <row r="20" spans="1:31" ht="16" x14ac:dyDescent="0.2">
      <c r="A20" s="144" t="s">
        <v>1327</v>
      </c>
      <c r="B20" t="str">
        <f>SUBSTITUTE(_xlfn.TEXTBEFORE(mets2721[[#This Row],[pasted JSON metabolite keys and values from GSM biomass rxn]],":"),CHAR(34),"")</f>
        <v>cystrna_c</v>
      </c>
      <c r="C20" t="str">
        <f>_xlfn.TEXTBEFORE(mets2721[[#This Row],[name]],"_",-1)</f>
        <v>cystrna</v>
      </c>
      <c r="D20" t="str">
        <f>_xlfn.XLOOKUP(mets2721[[#This Row],[name w/o location]],metaboliteInfo[name w/o location],metaboliteInfo[suggested category],"")</f>
        <v>PROT</v>
      </c>
      <c r="E20" s="21">
        <f>_xlfn.XLOOKUP(mets2721[[#This Row],[name w/o location]],metaboliteInfo[name w/o location],metaboliteInfo[MW for biomass normalization (g/mol)],0)</f>
        <v>104.15084</v>
      </c>
      <c r="F20" s="21">
        <f>_xlfn.NUMBERVALUE(SUBSTITUTE(_xlfn.TEXTAFTER(mets2721[[#This Row],[pasted JSON metabolite keys and values from GSM biomass rxn]],":"),",",""))</f>
        <v>-5.816E-3</v>
      </c>
      <c r="G20" s="21" cm="1">
        <f t="array" ref="G20">_xlfn.LET(_xlpm.id,mets2721[[#This Row],[name w/o location]],IF(IsElementOfSet_DIY(_xlpm.id,{"atp","adp","h","pi","h2o"}),SIGN(mets2721[[#This Row],[raw (GSM) coefficient]])*(ABS(mets2721[[#This Row],[raw (GSM) coefficient]])-$J$2),mets2721[[#This Row],[raw (GSM) coefficient]]))</f>
        <v>-5.816E-3</v>
      </c>
      <c r="H20" s="21">
        <f>mets2721[[#This Row],[coeff. w/o GAM]]</f>
        <v>-5.816E-3</v>
      </c>
      <c r="I20" s="161">
        <f t="shared" si="0"/>
        <v>-5.7709240013933474E-3</v>
      </c>
      <c r="J20" s="21" cm="1">
        <f t="array" ref="J20">_xlfn.LET(_xlpm.id,mets2721[[#This Row],[name w/o location]],_xlpm.oldcoeff,mets2721[[#This Row],[normalized coeffs]],_xlpm.gam,$J$2-$G$2,_xlfn.IFS(IFERROR(MATCH(_xlpm.id,{"atp","h2o"},0),0)&gt;0,_xlpm.oldcoeff-_xlpm.gam,IFERROR(MATCH(_xlpm.id,{"adp","h","pi"},0),0)&gt;0,_xlpm.oldcoeff+_xlpm.gam,TRUE,_xlpm.oldcoeff))</f>
        <v>-5.7709240013933474E-3</v>
      </c>
      <c r="K20" t="str" cm="1">
        <f t="array" ref="K20">"BIOSYN-"&amp;_xlfn.IFS(IFERROR(MATCH(mets2721[[#This Row],[category]],{0,"0",""},0),0)&gt;0,mets2721[[#This Row],[name]],TRUE,mets2721[[#This Row],[category]]&amp;"-"&amp;mets2721[[#This Row],[name]])</f>
        <v>BIOSYN-PROT-cystrna_c</v>
      </c>
      <c r="L20" s="149" t="str" cm="1">
        <f t="array" ref="L20">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20" s="149" cm="1">
        <f t="array" ref="M2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-5.9782440590622817E-3</v>
      </c>
      <c r="N20" s="149"/>
      <c r="O20" s="149"/>
      <c r="P20" s="176" t="s">
        <v>64</v>
      </c>
      <c r="Q20" s="176" t="s">
        <v>274</v>
      </c>
      <c r="R20" s="177">
        <v>0.47399999999999998</v>
      </c>
      <c r="S20" s="149"/>
      <c r="T20" s="149"/>
      <c r="U20" s="149">
        <v>0</v>
      </c>
      <c r="V20" s="149" cm="1">
        <f t="array" ref="V20:V29">U20:U29/V19</f>
        <v>0</v>
      </c>
      <c r="AB20" t="str">
        <v>BIOSYN-DNA</v>
      </c>
      <c r="AC20" t="str">
        <v>0.197916 BIO-datp_c + 0.28514 BIO-dctp_c + 0.324743 BIO-dgtp_c + 0.192202 BIO-dttp_c --&gt; BIO-dna</v>
      </c>
      <c r="AD20" t="s">
        <v>1606</v>
      </c>
      <c r="AE20" t="b">
        <v>1</v>
      </c>
    </row>
    <row r="21" spans="1:31" ht="16" x14ac:dyDescent="0.2">
      <c r="A21" s="144" t="s">
        <v>1369</v>
      </c>
      <c r="B21" t="str">
        <f>SUBSTITUTE(_xlfn.TEXTBEFORE(mets2721[[#This Row],[pasted JSON metabolite keys and values from GSM biomass rxn]],":"),CHAR(34),"")</f>
        <v>dag_c</v>
      </c>
      <c r="C21" t="str">
        <f>_xlfn.TEXTBEFORE(mets2721[[#This Row],[name]],"_",-1)</f>
        <v>dag</v>
      </c>
      <c r="D21" t="str">
        <f>_xlfn.XLOOKUP(mets2721[[#This Row],[name w/o location]],metaboliteInfo[name w/o location],metaboliteInfo[suggested category],"")</f>
        <v>LIPID</v>
      </c>
      <c r="E21" s="21">
        <f>_xlfn.XLOOKUP(mets2721[[#This Row],[name w/o location]],metaboliteInfo[name w/o location],metaboliteInfo[MW for biomass normalization (g/mol)],0)</f>
        <v>317.07794000000001</v>
      </c>
      <c r="F21" s="21">
        <f>_xlfn.NUMBERVALUE(SUBSTITUTE(_xlfn.TEXTAFTER(mets2721[[#This Row],[pasted JSON metabolite keys and values from GSM biomass rxn]],":"),",",""))</f>
        <v>2E-3</v>
      </c>
      <c r="G21" s="21" cm="1">
        <f t="array" ref="G21">_xlfn.LET(_xlpm.id,mets2721[[#This Row],[name w/o location]],IF(IsElementOfSet_DIY(_xlpm.id,{"atp","adp","h","pi","h2o"}),SIGN(mets2721[[#This Row],[raw (GSM) coefficient]])*(ABS(mets2721[[#This Row],[raw (GSM) coefficient]])-$J$2),mets2721[[#This Row],[raw (GSM) coefficient]]))</f>
        <v>2E-3</v>
      </c>
      <c r="H21" s="21">
        <f>mets2721[[#This Row],[coeff. w/o GAM]]</f>
        <v>2E-3</v>
      </c>
      <c r="I21" s="161">
        <f t="shared" si="0"/>
        <v>1.9844993127212337E-3</v>
      </c>
      <c r="J21" s="21" cm="1">
        <f t="array" ref="J21">_xlfn.LET(_xlpm.id,mets2721[[#This Row],[name w/o location]],_xlpm.oldcoeff,mets2721[[#This Row],[normalized coeffs]],_xlpm.gam,$J$2-$G$2,_xlfn.IFS(IFERROR(MATCH(_xlpm.id,{"atp","h2o"},0),0)&gt;0,_xlpm.oldcoeff-_xlpm.gam,IFERROR(MATCH(_xlpm.id,{"adp","h","pi"},0),0)&gt;0,_xlpm.oldcoeff+_xlpm.gam,TRUE,_xlpm.oldcoeff))</f>
        <v>1.9844993127212337E-3</v>
      </c>
      <c r="K21" t="str" cm="1">
        <f t="array" ref="K21">"BIOSYN-"&amp;_xlfn.IFS(IFERROR(MATCH(mets2721[[#This Row],[category]],{0,"0",""},0),0)&gt;0,mets2721[[#This Row],[name]],TRUE,mets2721[[#This Row],[category]]&amp;"-"&amp;mets2721[[#This Row],[name]])</f>
        <v>BIOSYN-LIPID-dag_c</v>
      </c>
      <c r="L21" s="149" t="str" cm="1">
        <f t="array" ref="L21">IF(IsElementOfSet_DIY(mets2721[[#This Row],[category]],{"ignore","PROT"}),"",_xlfn.LET(_xlpm.mw,mets2721[[#This Row],[MW for biomass normalization (g/mol)]],"MET-"&amp;mets2721[[#This Row],[name]]&amp;" --&gt; "&amp;IF((mets2721[[#This Row],[category]]="DNA")+(mets2721[[#This Row],[category]]="RNA"),"MET-ppi_c + ","")&amp;ROUND(ABS(_xlpm.mw/1000),6)&amp;" BIO-"&amp;mets2721[[#This Row],[name]]))</f>
        <v>MET-dag_c --&gt; 0.317078 BIO-dag_c</v>
      </c>
      <c r="M21" s="149" cm="1">
        <f t="array" ref="M2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1.9489058391308246E-3</v>
      </c>
      <c r="N21" s="149"/>
      <c r="O21" s="149"/>
      <c r="P21" s="176" t="s">
        <v>164</v>
      </c>
      <c r="Q21" s="176" t="s">
        <v>28</v>
      </c>
      <c r="R21" s="177"/>
      <c r="S21" s="149"/>
      <c r="T21" s="149"/>
      <c r="U21" s="149">
        <v>0.18248193945823896</v>
      </c>
      <c r="V21" s="149">
        <v>0.31077950767443208</v>
      </c>
      <c r="AB21" t="str">
        <v>BIOSYN-LIPID</v>
      </c>
      <c r="AC21" t="str">
        <v>-0.007957 MET-dag_c + 0.00019 BIO-docoscoa_c + 0.213353 BIO-ergst_c + 0.088078 BIO-ergstest_c + 0.014332 BIO-hxccoa_c + 0.003402 BIO-linocoa_c + 0.000836 BIO-linolncoa_c + 0.001985 BIO-odecoa_c + 0.105347 BIO-pail_c + 0.283936 BIO-pc_c + 0.072079 BIO-pe_c + 0.026726 BIO-pmtcoa_c + 0.065524 BIO-ps_c + 0.001083 BIO-stcoa_c + 0.116602 BIO-tag_c + 0.014485 BIO-ttccoa_c --&gt; BIO-lipid</v>
      </c>
      <c r="AD21" t="s">
        <v>1607</v>
      </c>
      <c r="AE21" t="b">
        <v>1</v>
      </c>
    </row>
    <row r="22" spans="1:31" ht="16" x14ac:dyDescent="0.2">
      <c r="A22" s="144" t="s">
        <v>1328</v>
      </c>
      <c r="B22" t="str">
        <f>SUBSTITUTE(_xlfn.TEXTBEFORE(mets2721[[#This Row],[pasted JSON metabolite keys and values from GSM biomass rxn]],":"),CHAR(34),"")</f>
        <v>datp_c</v>
      </c>
      <c r="C22" t="str">
        <f>_xlfn.TEXTBEFORE(mets2721[[#This Row],[name]],"_",-1)</f>
        <v>datp</v>
      </c>
      <c r="D22" t="str">
        <f>_xlfn.XLOOKUP(mets2721[[#This Row],[name w/o location]],metaboliteInfo[name w/o location],metaboliteInfo[suggested category],"")</f>
        <v>DNA</v>
      </c>
      <c r="E22" s="21">
        <f>_xlfn.XLOOKUP(mets2721[[#This Row],[name w/o location]],metaboliteInfo[name w/o location],metaboliteInfo[MW for biomass normalization (g/mol)],0)</f>
        <v>312.19860099999994</v>
      </c>
      <c r="F22" s="21">
        <f>_xlfn.NUMBERVALUE(SUBSTITUTE(_xlfn.TEXTAFTER(mets2721[[#This Row],[pasted JSON metabolite keys and values from GSM biomass rxn]],":"),",",""))</f>
        <v>-6.0089999999999996E-3</v>
      </c>
      <c r="G22" s="21" cm="1">
        <f t="array" ref="G22">_xlfn.LET(_xlpm.id,mets2721[[#This Row],[name w/o location]],IF(IsElementOfSet_DIY(_xlpm.id,{"atp","adp","h","pi","h2o"}),SIGN(mets2721[[#This Row],[raw (GSM) coefficient]])*(ABS(mets2721[[#This Row],[raw (GSM) coefficient]])-$J$2),mets2721[[#This Row],[raw (GSM) coefficient]]))</f>
        <v>-6.0089999999999996E-3</v>
      </c>
      <c r="H22" s="21">
        <f>mets2721[[#This Row],[coeff. w/o GAM]]</f>
        <v>-6.0089999999999996E-3</v>
      </c>
      <c r="I22" s="161">
        <f t="shared" si="0"/>
        <v>-5.9624281850709461E-3</v>
      </c>
      <c r="J22" s="21" cm="1">
        <f t="array" ref="J22">_xlfn.LET(_xlpm.id,mets2721[[#This Row],[name w/o location]],_xlpm.oldcoeff,mets2721[[#This Row],[normalized coeffs]],_xlpm.gam,$J$2-$G$2,_xlfn.IFS(IFERROR(MATCH(_xlpm.id,{"atp","h2o"},0),0)&gt;0,_xlpm.oldcoeff-_xlpm.gam,IFERROR(MATCH(_xlpm.id,{"adp","h","pi"},0),0)&gt;0,_xlpm.oldcoeff+_xlpm.gam,TRUE,_xlpm.oldcoeff))</f>
        <v>-5.9624281850709461E-3</v>
      </c>
      <c r="K22" t="str" cm="1">
        <f t="array" ref="K22">"BIOSYN-"&amp;_xlfn.IFS(IFERROR(MATCH(mets2721[[#This Row],[category]],{0,"0",""},0),0)&gt;0,mets2721[[#This Row],[name]],TRUE,mets2721[[#This Row],[category]]&amp;"-"&amp;mets2721[[#This Row],[name]])</f>
        <v>BIOSYN-DNA-datp_c</v>
      </c>
      <c r="L22" s="149" t="str" cm="1">
        <f t="array" ref="L22">IF(IsElementOfSet_DIY(mets2721[[#This Row],[category]],{"ignore","PROT"}),"",_xlfn.LET(_xlpm.mw,mets2721[[#This Row],[MW for biomass normalization (g/mol)]],"MET-"&amp;mets2721[[#This Row],[name]]&amp;" --&gt; "&amp;IF((mets2721[[#This Row],[category]]="DNA")+(mets2721[[#This Row],[category]]="RNA"),"MET-ppi_c + ","")&amp;ROUND(ABS(_xlpm.mw/1000),6)&amp;" BIO-"&amp;mets2721[[#This Row],[name]]))</f>
        <v>MET-datp_c --&gt; MET-ppi_c + 0.312199 BIO-datp_c</v>
      </c>
      <c r="M22" s="149" cm="1">
        <f t="array" ref="M2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-5.8554875936685617E-3</v>
      </c>
      <c r="N22" s="149"/>
      <c r="O22" s="149"/>
      <c r="P22" s="176" t="s">
        <v>128</v>
      </c>
      <c r="Q22" s="176" t="s">
        <v>24</v>
      </c>
      <c r="R22" s="177">
        <v>8.0000000000000002E-3</v>
      </c>
      <c r="S22" s="149"/>
      <c r="T22" s="149"/>
      <c r="U22" s="149">
        <v>5.6127957785683785E-3</v>
      </c>
      <c r="V22" s="149">
        <v>9.5589838310536183E-3</v>
      </c>
      <c r="AB22" t="str">
        <v>BIOSYN-METAL</v>
      </c>
      <c r="AC22" t="str">
        <v>0.002033 BIO-ca2_c + 0.000286 BIO-cu2_c + 0.001463 BIO-fe2_c + 0.93097 BIO-k_c + 0.060981 BIO-mg2_c + 0.000204 BIO-mn2_c + 0.004064 BIO-zn2_c --&gt; BIO-metal</v>
      </c>
      <c r="AD22" t="s">
        <v>1608</v>
      </c>
      <c r="AE22" t="b">
        <v>1</v>
      </c>
    </row>
    <row r="23" spans="1:31" ht="16" x14ac:dyDescent="0.2">
      <c r="A23" s="144" t="s">
        <v>1329</v>
      </c>
      <c r="B23" t="str">
        <f>SUBSTITUTE(_xlfn.TEXTBEFORE(mets2721[[#This Row],[pasted JSON metabolite keys and values from GSM biomass rxn]],":"),CHAR(34),"")</f>
        <v>dctp_c</v>
      </c>
      <c r="C23" t="str">
        <f>_xlfn.TEXTBEFORE(mets2721[[#This Row],[name]],"_",-1)</f>
        <v>dctp</v>
      </c>
      <c r="D23" t="str">
        <f>_xlfn.XLOOKUP(mets2721[[#This Row],[name w/o location]],metaboliteInfo[name w/o location],metaboliteInfo[suggested category],"")</f>
        <v>DNA</v>
      </c>
      <c r="E23" s="21">
        <f>_xlfn.XLOOKUP(mets2721[[#This Row],[name w/o location]],metaboliteInfo[name w/o location],metaboliteInfo[MW for biomass normalization (g/mol)],0)</f>
        <v>288.173901</v>
      </c>
      <c r="F23" s="21">
        <f>_xlfn.NUMBERVALUE(SUBSTITUTE(_xlfn.TEXTAFTER(mets2721[[#This Row],[pasted JSON metabolite keys and values from GSM biomass rxn]],":"),",",""))</f>
        <v>-9.3790000000000002E-3</v>
      </c>
      <c r="G23" s="21" cm="1">
        <f t="array" ref="G23">_xlfn.LET(_xlpm.id,mets2721[[#This Row],[name w/o location]],IF(IsElementOfSet_DIY(_xlpm.id,{"atp","adp","h","pi","h2o"}),SIGN(mets2721[[#This Row],[raw (GSM) coefficient]])*(ABS(mets2721[[#This Row],[raw (GSM) coefficient]])-$J$2),mets2721[[#This Row],[raw (GSM) coefficient]]))</f>
        <v>-9.3790000000000002E-3</v>
      </c>
      <c r="H23" s="21">
        <f>mets2721[[#This Row],[coeff. w/o GAM]]</f>
        <v>-9.3790000000000002E-3</v>
      </c>
      <c r="I23" s="161">
        <f t="shared" si="0"/>
        <v>-9.3063095270062256E-3</v>
      </c>
      <c r="J23" s="21" cm="1">
        <f t="array" ref="J23">_xlfn.LET(_xlpm.id,mets2721[[#This Row],[name w/o location]],_xlpm.oldcoeff,mets2721[[#This Row],[normalized coeffs]],_xlpm.gam,$J$2-$G$2,_xlfn.IFS(IFERROR(MATCH(_xlpm.id,{"atp","h2o"},0),0)&gt;0,_xlpm.oldcoeff-_xlpm.gam,IFERROR(MATCH(_xlpm.id,{"adp","h","pi"},0),0)&gt;0,_xlpm.oldcoeff+_xlpm.gam,TRUE,_xlpm.oldcoeff))</f>
        <v>-9.3063095270062256E-3</v>
      </c>
      <c r="K23" t="str" cm="1">
        <f t="array" ref="K23">"BIOSYN-"&amp;_xlfn.IFS(IFERROR(MATCH(mets2721[[#This Row],[category]],{0,"0",""},0),0)&gt;0,mets2721[[#This Row],[name]],TRUE,mets2721[[#This Row],[category]]&amp;"-"&amp;mets2721[[#This Row],[name]])</f>
        <v>BIOSYN-DNA-dctp_c</v>
      </c>
      <c r="L23" s="149" t="str" cm="1">
        <f t="array" ref="L23">IF(IsElementOfSet_DIY(mets2721[[#This Row],[category]],{"ignore","PROT"}),"",_xlfn.LET(_xlpm.mw,mets2721[[#This Row],[MW for biomass normalization (g/mol)]],"MET-"&amp;mets2721[[#This Row],[name]]&amp;" --&gt; "&amp;IF((mets2721[[#This Row],[category]]="DNA")+(mets2721[[#This Row],[category]]="RNA"),"MET-ppi_c + ","")&amp;ROUND(ABS(_xlpm.mw/1000),6)&amp;" BIO-"&amp;mets2721[[#This Row],[name]]))</f>
        <v>MET-dctp_c --&gt; MET-ppi_c + 0.288174 BIO-dctp_c</v>
      </c>
      <c r="M23" s="149" cm="1">
        <f t="array" ref="M2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-9.1393939326040018E-3</v>
      </c>
      <c r="N23" s="149"/>
      <c r="O23" s="149"/>
      <c r="P23" s="176" t="s">
        <v>99</v>
      </c>
      <c r="Q23" s="176" t="s">
        <v>22</v>
      </c>
      <c r="R23" s="177">
        <v>9.0999999999999998E-2</v>
      </c>
      <c r="S23" s="149"/>
      <c r="T23" s="149"/>
      <c r="U23" s="149">
        <v>3.941387565385928E-2</v>
      </c>
      <c r="V23" s="149">
        <v>6.7124587274845715E-2</v>
      </c>
      <c r="AB23" t="str">
        <v>BIOSYN-other</v>
      </c>
      <c r="AC23" t="str">
        <v>0.571201 BIO-o2_c --&gt; BIO-other + 1.571201 MET-co2_c</v>
      </c>
      <c r="AD23" t="s">
        <v>1422</v>
      </c>
      <c r="AE23" t="b">
        <v>1</v>
      </c>
    </row>
    <row r="24" spans="1:31" ht="16" x14ac:dyDescent="0.2">
      <c r="A24" s="144" t="s">
        <v>1330</v>
      </c>
      <c r="B24" t="str">
        <f>SUBSTITUTE(_xlfn.TEXTBEFORE(mets2721[[#This Row],[pasted JSON metabolite keys and values from GSM biomass rxn]],":"),CHAR(34),"")</f>
        <v>dgtp_c</v>
      </c>
      <c r="C24" t="str">
        <f>_xlfn.TEXTBEFORE(mets2721[[#This Row],[name]],"_",-1)</f>
        <v>dgtp</v>
      </c>
      <c r="D24" t="str">
        <f>_xlfn.XLOOKUP(mets2721[[#This Row],[name w/o location]],metaboliteInfo[name w/o location],metaboliteInfo[suggested category],"")</f>
        <v>DNA</v>
      </c>
      <c r="E24" s="21">
        <f>_xlfn.XLOOKUP(mets2721[[#This Row],[name w/o location]],metaboliteInfo[name w/o location],metaboliteInfo[MW for biomass normalization (g/mol)],0)</f>
        <v>328.19800099999998</v>
      </c>
      <c r="F24" s="21">
        <f>_xlfn.NUMBERVALUE(SUBSTITUTE(_xlfn.TEXTAFTER(mets2721[[#This Row],[pasted JSON metabolite keys and values from GSM biomass rxn]],":"),",",""))</f>
        <v>-9.3790000000000002E-3</v>
      </c>
      <c r="G24" s="21" cm="1">
        <f t="array" ref="G24">_xlfn.LET(_xlpm.id,mets2721[[#This Row],[name w/o location]],IF(IsElementOfSet_DIY(_xlpm.id,{"atp","adp","h","pi","h2o"}),SIGN(mets2721[[#This Row],[raw (GSM) coefficient]])*(ABS(mets2721[[#This Row],[raw (GSM) coefficient]])-$J$2),mets2721[[#This Row],[raw (GSM) coefficient]]))</f>
        <v>-9.3790000000000002E-3</v>
      </c>
      <c r="H24" s="21">
        <f>mets2721[[#This Row],[coeff. w/o GAM]]</f>
        <v>-9.3790000000000002E-3</v>
      </c>
      <c r="I24" s="161">
        <f t="shared" si="0"/>
        <v>-9.3063095270062256E-3</v>
      </c>
      <c r="J24" s="21" cm="1">
        <f t="array" ref="J24">_xlfn.LET(_xlpm.id,mets2721[[#This Row],[name w/o location]],_xlpm.oldcoeff,mets2721[[#This Row],[normalized coeffs]],_xlpm.gam,$J$2-$G$2,_xlfn.IFS(IFERROR(MATCH(_xlpm.id,{"atp","h2o"},0),0)&gt;0,_xlpm.oldcoeff-_xlpm.gam,IFERROR(MATCH(_xlpm.id,{"adp","h","pi"},0),0)&gt;0,_xlpm.oldcoeff+_xlpm.gam,TRUE,_xlpm.oldcoeff))</f>
        <v>-9.3063095270062256E-3</v>
      </c>
      <c r="K24" t="str" cm="1">
        <f t="array" ref="K24">"BIOSYN-"&amp;_xlfn.IFS(IFERROR(MATCH(mets2721[[#This Row],[category]],{0,"0",""},0),0)&gt;0,mets2721[[#This Row],[name]],TRUE,mets2721[[#This Row],[category]]&amp;"-"&amp;mets2721[[#This Row],[name]])</f>
        <v>BIOSYN-DNA-dgtp_c</v>
      </c>
      <c r="L24" s="149" t="str" cm="1">
        <f t="array" ref="L24">IF(IsElementOfSet_DIY(mets2721[[#This Row],[category]],{"ignore","PROT"}),"",_xlfn.LET(_xlpm.mw,mets2721[[#This Row],[MW for biomass normalization (g/mol)]],"MET-"&amp;mets2721[[#This Row],[name]]&amp;" --&gt; "&amp;IF((mets2721[[#This Row],[category]]="DNA")+(mets2721[[#This Row],[category]]="RNA"),"MET-ppi_c + ","")&amp;ROUND(ABS(_xlpm.mw/1000),6)&amp;" BIO-"&amp;mets2721[[#This Row],[name]]))</f>
        <v>MET-dgtp_c --&gt; MET-ppi_c + 0.328198 BIO-dgtp_c</v>
      </c>
      <c r="M24" s="149" cm="1">
        <f t="array" ref="M2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-9.1393939326040018E-3</v>
      </c>
      <c r="N24" s="149"/>
      <c r="O24" s="149"/>
      <c r="P24" s="176" t="s">
        <v>141</v>
      </c>
      <c r="Q24" s="176" t="s">
        <v>26</v>
      </c>
      <c r="R24" s="177"/>
      <c r="S24" s="149"/>
      <c r="T24" s="149"/>
      <c r="U24" s="149">
        <v>1.5011832191139624E-2</v>
      </c>
      <c r="V24" s="149">
        <v>2.5566200312777992E-2</v>
      </c>
      <c r="AB24" t="str">
        <v>BIOSYN-PI</v>
      </c>
      <c r="AC24" t="str">
        <v>1 BIO-pi_c --&gt; BIO-pi</v>
      </c>
      <c r="AD24" t="s">
        <v>1609</v>
      </c>
      <c r="AE24" t="b">
        <v>1</v>
      </c>
    </row>
    <row r="25" spans="1:31" ht="16" x14ac:dyDescent="0.2">
      <c r="A25" s="144" t="s">
        <v>1370</v>
      </c>
      <c r="B25" t="str">
        <f>SUBSTITUTE(_xlfn.TEXTBEFORE(mets2721[[#This Row],[pasted JSON metabolite keys and values from GSM biomass rxn]],":"),CHAR(34),"")</f>
        <v>docoscoa_c</v>
      </c>
      <c r="C25" t="str">
        <f>_xlfn.TEXTBEFORE(mets2721[[#This Row],[name]],"_",-1)</f>
        <v>docoscoa</v>
      </c>
      <c r="D25" t="str">
        <f>_xlfn.XLOOKUP(mets2721[[#This Row],[name w/o location]],metaboliteInfo[name w/o location],metaboliteInfo[suggested category],"")</f>
        <v>LIPID</v>
      </c>
      <c r="E25" s="21">
        <f>_xlfn.XLOOKUP(mets2721[[#This Row],[name w/o location]],metaboliteInfo[name w/o location],metaboliteInfo[MW for biomass normalization (g/mol)],0)</f>
        <v>1086.070643</v>
      </c>
      <c r="F25" s="21">
        <f>_xlfn.NUMBERVALUE(SUBSTITUTE(_xlfn.TEXTAFTER(mets2721[[#This Row],[pasted JSON metabolite keys and values from GSM biomass rxn]],":"),",",""))</f>
        <v>-1.393125E-5</v>
      </c>
      <c r="G25" s="21" cm="1">
        <f t="array" ref="G25">_xlfn.LET(_xlpm.id,mets2721[[#This Row],[name w/o location]],IF(IsElementOfSet_DIY(_xlpm.id,{"atp","adp","h","pi","h2o"}),SIGN(mets2721[[#This Row],[raw (GSM) coefficient]])*(ABS(mets2721[[#This Row],[raw (GSM) coefficient]])-$J$2),mets2721[[#This Row],[raw (GSM) coefficient]]))</f>
        <v>-1.393125E-5</v>
      </c>
      <c r="H25" s="21">
        <f>mets2721[[#This Row],[coeff. w/o GAM]]</f>
        <v>-1.393125E-5</v>
      </c>
      <c r="I25" s="161">
        <f t="shared" si="0"/>
        <v>-1.3823278025173843E-5</v>
      </c>
      <c r="J25" s="21" cm="1">
        <f t="array" ref="J25">_xlfn.LET(_xlpm.id,mets2721[[#This Row],[name w/o location]],_xlpm.oldcoeff,mets2721[[#This Row],[normalized coeffs]],_xlpm.gam,$J$2-$G$2,_xlfn.IFS(IFERROR(MATCH(_xlpm.id,{"atp","h2o"},0),0)&gt;0,_xlpm.oldcoeff-_xlpm.gam,IFERROR(MATCH(_xlpm.id,{"adp","h","pi"},0),0)&gt;0,_xlpm.oldcoeff+_xlpm.gam,TRUE,_xlpm.oldcoeff))</f>
        <v>-1.3823278025173843E-5</v>
      </c>
      <c r="K25" t="str" cm="1">
        <f t="array" ref="K25">"BIOSYN-"&amp;_xlfn.IFS(IFERROR(MATCH(mets2721[[#This Row],[category]],{0,"0",""},0),0)&gt;0,mets2721[[#This Row],[name]],TRUE,mets2721[[#This Row],[category]]&amp;"-"&amp;mets2721[[#This Row],[name]])</f>
        <v>BIOSYN-LIPID-docoscoa_c</v>
      </c>
      <c r="L25" s="149" t="str" cm="1">
        <f t="array" ref="L25">IF(IsElementOfSet_DIY(mets2721[[#This Row],[category]],{"ignore","PROT"}),"",_xlfn.LET(_xlpm.mw,mets2721[[#This Row],[MW for biomass normalization (g/mol)]],"MET-"&amp;mets2721[[#This Row],[name]]&amp;" --&gt; "&amp;IF((mets2721[[#This Row],[category]]="DNA")+(mets2721[[#This Row],[category]]="RNA"),"MET-ppi_c + ","")&amp;ROUND(ABS(_xlpm.mw/1000),6)&amp;" BIO-"&amp;mets2721[[#This Row],[name]]))</f>
        <v>MET-docoscoa_c --&gt; 1.086071 BIO-docoscoa_c</v>
      </c>
      <c r="M25" s="149" cm="1">
        <f t="array" ref="M2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-1.3575347235695649E-5</v>
      </c>
      <c r="N25" s="149"/>
      <c r="O25" s="149"/>
      <c r="P25" s="176" t="s">
        <v>192</v>
      </c>
      <c r="Q25" s="176" t="s">
        <v>32</v>
      </c>
      <c r="R25" s="177"/>
      <c r="S25" s="149"/>
      <c r="T25" s="149"/>
      <c r="U25" s="149"/>
      <c r="V25" s="149">
        <v>0</v>
      </c>
      <c r="AB25" t="str">
        <v>BIOSYN-RNA</v>
      </c>
      <c r="AC25" t="str">
        <v>0.15 BIO-trna + 0.05 BIO-mrna + 0.80 BIO-rrna --&gt; BIO-rna</v>
      </c>
      <c r="AD25" t="s">
        <v>81</v>
      </c>
      <c r="AE25" t="b">
        <v>1</v>
      </c>
    </row>
    <row r="26" spans="1:31" ht="16" x14ac:dyDescent="0.2">
      <c r="A26" s="144" t="s">
        <v>1331</v>
      </c>
      <c r="B26" t="str">
        <f>SUBSTITUTE(_xlfn.TEXTBEFORE(mets2721[[#This Row],[pasted JSON metabolite keys and values from GSM biomass rxn]],":"),CHAR(34),"")</f>
        <v>dttp_c</v>
      </c>
      <c r="C26" t="str">
        <f>_xlfn.TEXTBEFORE(mets2721[[#This Row],[name]],"_",-1)</f>
        <v>dttp</v>
      </c>
      <c r="D26" t="str">
        <f>_xlfn.XLOOKUP(mets2721[[#This Row],[name w/o location]],metaboliteInfo[name w/o location],metaboliteInfo[suggested category],"")</f>
        <v>DNA</v>
      </c>
      <c r="E26" s="21">
        <f>_xlfn.XLOOKUP(mets2721[[#This Row],[name w/o location]],metaboliteInfo[name w/o location],metaboliteInfo[MW for biomass normalization (g/mol)],0)</f>
        <v>303.18524100000002</v>
      </c>
      <c r="F26" s="21">
        <f>_xlfn.NUMBERVALUE(SUBSTITUTE(_xlfn.TEXTAFTER(mets2721[[#This Row],[pasted JSON metabolite keys and values from GSM biomass rxn]],":"),",",""))</f>
        <v>-6.0089999999999996E-3</v>
      </c>
      <c r="G26" s="21" cm="1">
        <f t="array" ref="G26">_xlfn.LET(_xlpm.id,mets2721[[#This Row],[name w/o location]],IF(IsElementOfSet_DIY(_xlpm.id,{"atp","adp","h","pi","h2o"}),SIGN(mets2721[[#This Row],[raw (GSM) coefficient]])*(ABS(mets2721[[#This Row],[raw (GSM) coefficient]])-$J$2),mets2721[[#This Row],[raw (GSM) coefficient]]))</f>
        <v>-6.0089999999999996E-3</v>
      </c>
      <c r="H26" s="21">
        <f>mets2721[[#This Row],[coeff. w/o GAM]]</f>
        <v>-6.0089999999999996E-3</v>
      </c>
      <c r="I26" s="161">
        <f t="shared" si="0"/>
        <v>-5.9624281850709461E-3</v>
      </c>
      <c r="J26" s="21" cm="1">
        <f t="array" ref="J26">_xlfn.LET(_xlpm.id,mets2721[[#This Row],[name w/o location]],_xlpm.oldcoeff,mets2721[[#This Row],[normalized coeffs]],_xlpm.gam,$J$2-$G$2,_xlfn.IFS(IFERROR(MATCH(_xlpm.id,{"atp","h2o"},0),0)&gt;0,_xlpm.oldcoeff-_xlpm.gam,IFERROR(MATCH(_xlpm.id,{"adp","h","pi"},0),0)&gt;0,_xlpm.oldcoeff+_xlpm.gam,TRUE,_xlpm.oldcoeff))</f>
        <v>-5.9624281850709461E-3</v>
      </c>
      <c r="K26" t="str" cm="1">
        <f t="array" ref="K26">"BIOSYN-"&amp;_xlfn.IFS(IFERROR(MATCH(mets2721[[#This Row],[category]],{0,"0",""},0),0)&gt;0,mets2721[[#This Row],[name]],TRUE,mets2721[[#This Row],[category]]&amp;"-"&amp;mets2721[[#This Row],[name]])</f>
        <v>BIOSYN-DNA-dttp_c</v>
      </c>
      <c r="L26" s="149" t="str" cm="1">
        <f t="array" ref="L26">IF(IsElementOfSet_DIY(mets2721[[#This Row],[category]],{"ignore","PROT"}),"",_xlfn.LET(_xlpm.mw,mets2721[[#This Row],[MW for biomass normalization (g/mol)]],"MET-"&amp;mets2721[[#This Row],[name]]&amp;" --&gt; "&amp;IF((mets2721[[#This Row],[category]]="DNA")+(mets2721[[#This Row],[category]]="RNA"),"MET-ppi_c + ","")&amp;ROUND(ABS(_xlpm.mw/1000),6)&amp;" BIO-"&amp;mets2721[[#This Row],[name]]))</f>
        <v>MET-dttp_c --&gt; MET-ppi_c + 0.303185 BIO-dttp_c</v>
      </c>
      <c r="M26" s="149" cm="1">
        <f t="array" ref="M2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-5.8554875936685617E-3</v>
      </c>
      <c r="N26" s="149"/>
      <c r="O26" s="149"/>
      <c r="P26" s="176" t="s">
        <v>298</v>
      </c>
      <c r="Q26" s="176" t="s">
        <v>21</v>
      </c>
      <c r="R26" s="177">
        <v>0.36899999999999999</v>
      </c>
      <c r="S26" s="149"/>
      <c r="T26" s="149"/>
      <c r="U26" s="149">
        <v>6.0047345343965048E-3</v>
      </c>
      <c r="V26" s="149">
        <v>1.0226482948700107E-2</v>
      </c>
      <c r="AB26" t="str">
        <v>BIOSYN-SO4</v>
      </c>
      <c r="AC26" t="str">
        <v>1 BIO-so4_c --&gt; BIO-so4</v>
      </c>
      <c r="AD26" t="s">
        <v>1610</v>
      </c>
      <c r="AE26" t="b">
        <v>1</v>
      </c>
    </row>
    <row r="27" spans="1:31" ht="16" x14ac:dyDescent="0.2">
      <c r="A27" s="144" t="s">
        <v>1332</v>
      </c>
      <c r="B27" t="str">
        <f>SUBSTITUTE(_xlfn.TEXTBEFORE(mets2721[[#This Row],[pasted JSON metabolite keys and values from GSM biomass rxn]],":"),CHAR(34),"")</f>
        <v>ergst_c</v>
      </c>
      <c r="C27" t="str">
        <f>_xlfn.TEXTBEFORE(mets2721[[#This Row],[name]],"_",-1)</f>
        <v>ergst</v>
      </c>
      <c r="D27" t="str">
        <f>_xlfn.XLOOKUP(mets2721[[#This Row],[name w/o location]],metaboliteInfo[name w/o location],metaboliteInfo[suggested category],"")</f>
        <v>LIPID</v>
      </c>
      <c r="E27" s="21">
        <f>_xlfn.XLOOKUP(mets2721[[#This Row],[name w/o location]],metaboliteInfo[name w/o location],metaboliteInfo[MW for biomass normalization (g/mol)],0)</f>
        <v>396.648359999999</v>
      </c>
      <c r="F27" s="21">
        <f>_xlfn.NUMBERVALUE(SUBSTITUTE(_xlfn.TEXTAFTER(mets2721[[#This Row],[pasted JSON metabolite keys and values from GSM biomass rxn]],":"),",",""))</f>
        <v>-4.2867000000000002E-2</v>
      </c>
      <c r="G27" s="21" cm="1">
        <f t="array" ref="G27">_xlfn.LET(_xlpm.id,mets2721[[#This Row],[name w/o location]],IF(IsElementOfSet_DIY(_xlpm.id,{"atp","adp","h","pi","h2o"}),SIGN(mets2721[[#This Row],[raw (GSM) coefficient]])*(ABS(mets2721[[#This Row],[raw (GSM) coefficient]])-$J$2),mets2721[[#This Row],[raw (GSM) coefficient]]))</f>
        <v>-4.2867000000000002E-2</v>
      </c>
      <c r="H27" s="21">
        <f>mets2721[[#This Row],[coeff. w/o GAM]]</f>
        <v>-4.2867000000000002E-2</v>
      </c>
      <c r="I27" s="161">
        <f t="shared" si="0"/>
        <v>-4.2534766019210565E-2</v>
      </c>
      <c r="J27" s="21" cm="1">
        <f t="array" ref="J27">_xlfn.LET(_xlpm.id,mets2721[[#This Row],[name w/o location]],_xlpm.oldcoeff,mets2721[[#This Row],[normalized coeffs]],_xlpm.gam,$J$2-$G$2,_xlfn.IFS(IFERROR(MATCH(_xlpm.id,{"atp","h2o"},0),0)&gt;0,_xlpm.oldcoeff-_xlpm.gam,IFERROR(MATCH(_xlpm.id,{"adp","h","pi"},0),0)&gt;0,_xlpm.oldcoeff+_xlpm.gam,TRUE,_xlpm.oldcoeff))</f>
        <v>-4.2534766019210565E-2</v>
      </c>
      <c r="K27" t="str" cm="1">
        <f t="array" ref="K27">"BIOSYN-"&amp;_xlfn.IFS(IFERROR(MATCH(mets2721[[#This Row],[category]],{0,"0",""},0),0)&gt;0,mets2721[[#This Row],[name]],TRUE,mets2721[[#This Row],[category]]&amp;"-"&amp;mets2721[[#This Row],[name]])</f>
        <v>BIOSYN-LIPID-ergst_c</v>
      </c>
      <c r="L27" s="149" t="str" cm="1">
        <f t="array" ref="L27">IF(IsElementOfSet_DIY(mets2721[[#This Row],[category]],{"ignore","PROT"}),"",_xlfn.LET(_xlpm.mw,mets2721[[#This Row],[MW for biomass normalization (g/mol)]],"MET-"&amp;mets2721[[#This Row],[name]]&amp;" --&gt; "&amp;IF((mets2721[[#This Row],[category]]="DNA")+(mets2721[[#This Row],[category]]="RNA"),"MET-ppi_c + ","")&amp;ROUND(ABS(_xlpm.mw/1000),6)&amp;" BIO-"&amp;mets2721[[#This Row],[name]]))</f>
        <v>MET-ergst_c --&gt; 0.396648 BIO-ergst_c</v>
      </c>
      <c r="M27" s="149" cm="1">
        <f t="array" ref="M2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-4.1771873303010534E-2</v>
      </c>
      <c r="N27" s="149"/>
      <c r="O27" s="149"/>
      <c r="P27" s="176" t="s">
        <v>80</v>
      </c>
      <c r="Q27" s="176" t="s">
        <v>273</v>
      </c>
      <c r="R27" s="177">
        <v>5.8000000000000003E-2</v>
      </c>
      <c r="S27" s="149"/>
      <c r="T27" s="149"/>
      <c r="U27" s="149">
        <v>0.26949748058189982</v>
      </c>
      <c r="V27" s="149">
        <v>0.4589730610239916</v>
      </c>
      <c r="AB27" t="str">
        <v>BIOSYN-CARB-13BDglucan_c</v>
      </c>
      <c r="AC27" t="str">
        <v>MET-13BDglucan_c --&gt; 0.162141 BIO-13BDglucan_c</v>
      </c>
      <c r="AD27" t="s">
        <v>1611</v>
      </c>
      <c r="AE27" t="b">
        <v>1</v>
      </c>
    </row>
    <row r="28" spans="1:31" ht="16" x14ac:dyDescent="0.2">
      <c r="A28" s="144" t="s">
        <v>1333</v>
      </c>
      <c r="B28" t="str">
        <f>SUBSTITUTE(_xlfn.TEXTBEFORE(mets2721[[#This Row],[pasted JSON metabolite keys and values from GSM biomass rxn]],":"),CHAR(34),"")</f>
        <v>ergstest_c</v>
      </c>
      <c r="C28" t="str">
        <f>_xlfn.TEXTBEFORE(mets2721[[#This Row],[name]],"_",-1)</f>
        <v>ergstest</v>
      </c>
      <c r="D28" t="str">
        <f>_xlfn.XLOOKUP(mets2721[[#This Row],[name w/o location]],metaboliteInfo[name w/o location],metaboliteInfo[suggested category],"")</f>
        <v>LIPID</v>
      </c>
      <c r="E28" s="21">
        <f>_xlfn.XLOOKUP(mets2721[[#This Row],[name w/o location]],metaboliteInfo[name w/o location],metaboliteInfo[MW for biomass normalization (g/mol)],0)</f>
        <v>660.083753333299</v>
      </c>
      <c r="F28" s="21">
        <f>_xlfn.NUMBERVALUE(SUBSTITUTE(_xlfn.TEXTAFTER(mets2721[[#This Row],[pasted JSON metabolite keys and values from GSM biomass rxn]],":"),",",""))</f>
        <v>-1.0633999999999999E-2</v>
      </c>
      <c r="G28" s="21" cm="1">
        <f t="array" ref="G28">_xlfn.LET(_xlpm.id,mets2721[[#This Row],[name w/o location]],IF(IsElementOfSet_DIY(_xlpm.id,{"atp","adp","h","pi","h2o"}),SIGN(mets2721[[#This Row],[raw (GSM) coefficient]])*(ABS(mets2721[[#This Row],[raw (GSM) coefficient]])-$J$2),mets2721[[#This Row],[raw (GSM) coefficient]]))</f>
        <v>-1.0633999999999999E-2</v>
      </c>
      <c r="H28" s="21">
        <f>mets2721[[#This Row],[coeff. w/o GAM]]</f>
        <v>-1.0633999999999999E-2</v>
      </c>
      <c r="I28" s="161">
        <f t="shared" si="0"/>
        <v>-1.0551582845738799E-2</v>
      </c>
      <c r="J28" s="21" cm="1">
        <f t="array" ref="J28">_xlfn.LET(_xlpm.id,mets2721[[#This Row],[name w/o location]],_xlpm.oldcoeff,mets2721[[#This Row],[normalized coeffs]],_xlpm.gam,$J$2-$G$2,_xlfn.IFS(IFERROR(MATCH(_xlpm.id,{"atp","h2o"},0),0)&gt;0,_xlpm.oldcoeff-_xlpm.gam,IFERROR(MATCH(_xlpm.id,{"adp","h","pi"},0),0)&gt;0,_xlpm.oldcoeff+_xlpm.gam,TRUE,_xlpm.oldcoeff))</f>
        <v>-1.0551582845738799E-2</v>
      </c>
      <c r="K28" t="str" cm="1">
        <f t="array" ref="K28">"BIOSYN-"&amp;_xlfn.IFS(IFERROR(MATCH(mets2721[[#This Row],[category]],{0,"0",""},0),0)&gt;0,mets2721[[#This Row],[name]],TRUE,mets2721[[#This Row],[category]]&amp;"-"&amp;mets2721[[#This Row],[name]])</f>
        <v>BIOSYN-LIPID-ergstest_c</v>
      </c>
      <c r="L28" s="149" t="str" cm="1">
        <f t="array" ref="L28">IF(IsElementOfSet_DIY(mets2721[[#This Row],[category]],{"ignore","PROT"}),"",_xlfn.LET(_xlpm.mw,mets2721[[#This Row],[MW for biomass normalization (g/mol)]],"MET-"&amp;mets2721[[#This Row],[name]]&amp;" --&gt; "&amp;IF((mets2721[[#This Row],[category]]="DNA")+(mets2721[[#This Row],[category]]="RNA"),"MET-ppi_c + ","")&amp;ROUND(ABS(_xlpm.mw/1000),6)&amp;" BIO-"&amp;mets2721[[#This Row],[name]]))</f>
        <v>MET-ergstest_c --&gt; 0.660084 BIO-ergstest_c</v>
      </c>
      <c r="M28" s="149" cm="1">
        <f t="array" ref="M2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-1.0362332346658594E-2</v>
      </c>
      <c r="N28" s="149"/>
      <c r="O28" s="149"/>
      <c r="P28" s="176" t="s">
        <v>188</v>
      </c>
      <c r="Q28" s="176" t="s">
        <v>30</v>
      </c>
      <c r="R28" s="177"/>
      <c r="S28" s="149"/>
      <c r="T28" s="149"/>
      <c r="U28" s="149">
        <v>6.7376234201678889E-2</v>
      </c>
      <c r="V28" s="149">
        <v>0.11474643987410561</v>
      </c>
      <c r="AB28" t="str">
        <v>BIOSYN-CARB-16BDglucan_en</v>
      </c>
      <c r="AC28" t="str">
        <v>MET-16BDglucan_en --&gt; 0.162141 BIO-16BDglucan_en</v>
      </c>
      <c r="AD28" t="s">
        <v>1612</v>
      </c>
      <c r="AE28" t="b">
        <v>1</v>
      </c>
    </row>
    <row r="29" spans="1:31" ht="16" x14ac:dyDescent="0.2">
      <c r="A29" s="144" t="s">
        <v>1334</v>
      </c>
      <c r="B29" t="str">
        <f>SUBSTITUTE(_xlfn.TEXTBEFORE(mets2721[[#This Row],[pasted JSON metabolite keys and values from GSM biomass rxn]],":"),CHAR(34),"")</f>
        <v>fe2_c</v>
      </c>
      <c r="C29" t="str">
        <f>_xlfn.TEXTBEFORE(mets2721[[#This Row],[name]],"_",-1)</f>
        <v>fe2</v>
      </c>
      <c r="D29" t="str">
        <f>_xlfn.XLOOKUP(mets2721[[#This Row],[name w/o location]],metaboliteInfo[name w/o location],metaboliteInfo[suggested category],"")</f>
        <v>METAL</v>
      </c>
      <c r="E29" s="21">
        <f>_xlfn.XLOOKUP(mets2721[[#This Row],[name w/o location]],metaboliteInfo[name w/o location],metaboliteInfo[MW for biomass normalization (g/mol)],0)</f>
        <v>55.844999999999999</v>
      </c>
      <c r="F29" s="21">
        <f>_xlfn.NUMBERVALUE(SUBSTITUTE(_xlfn.TEXTAFTER(mets2721[[#This Row],[pasted JSON metabolite keys and values from GSM biomass rxn]],":"),",",""))</f>
        <v>-6.6399999999999999E-4</v>
      </c>
      <c r="G29" s="21" cm="1">
        <f t="array" ref="G29">_xlfn.LET(_xlpm.id,mets2721[[#This Row],[name w/o location]],IF(IsElementOfSet_DIY(_xlpm.id,{"atp","adp","h","pi","h2o"}),SIGN(mets2721[[#This Row],[raw (GSM) coefficient]])*(ABS(mets2721[[#This Row],[raw (GSM) coefficient]])-$J$2),mets2721[[#This Row],[raw (GSM) coefficient]]))</f>
        <v>-6.6399999999999999E-4</v>
      </c>
      <c r="H29" s="21">
        <f>mets2721[[#This Row],[coeff. w/o GAM]]</f>
        <v>-6.6399999999999999E-4</v>
      </c>
      <c r="I29" s="161">
        <f t="shared" si="0"/>
        <v>-6.588537718234496E-4</v>
      </c>
      <c r="J29" s="21" cm="1">
        <f t="array" ref="J29">_xlfn.LET(_xlpm.id,mets2721[[#This Row],[name w/o location]],_xlpm.oldcoeff,mets2721[[#This Row],[normalized coeffs]],_xlpm.gam,$J$2-$G$2,_xlfn.IFS(IFERROR(MATCH(_xlpm.id,{"atp","h2o"},0),0)&gt;0,_xlpm.oldcoeff-_xlpm.gam,IFERROR(MATCH(_xlpm.id,{"adp","h","pi"},0),0)&gt;0,_xlpm.oldcoeff+_xlpm.gam,TRUE,_xlpm.oldcoeff))</f>
        <v>-6.588537718234496E-4</v>
      </c>
      <c r="K29" t="str" cm="1">
        <f t="array" ref="K29">"BIOSYN-"&amp;_xlfn.IFS(IFERROR(MATCH(mets2721[[#This Row],[category]],{0,"0",""},0),0)&gt;0,mets2721[[#This Row],[name]],TRUE,mets2721[[#This Row],[category]]&amp;"-"&amp;mets2721[[#This Row],[name]])</f>
        <v>BIOSYN-METAL-fe2_c</v>
      </c>
      <c r="L29" s="149" t="str" cm="1">
        <f t="array" ref="L29">IF(IsElementOfSet_DIY(mets2721[[#This Row],[category]],{"ignore","PROT"}),"",_xlfn.LET(_xlpm.mw,mets2721[[#This Row],[MW for biomass normalization (g/mol)]],"MET-"&amp;mets2721[[#This Row],[name]]&amp;" --&gt; "&amp;IF((mets2721[[#This Row],[category]]="DNA")+(mets2721[[#This Row],[category]]="RNA"),"MET-ppi_c + ","")&amp;ROUND(ABS(_xlpm.mw/1000),6)&amp;" BIO-"&amp;mets2721[[#This Row],[name]]))</f>
        <v>MET-fe2_c --&gt; 0.055845 BIO-fe2_c</v>
      </c>
      <c r="M29" s="149" cm="1">
        <f t="array" ref="M2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-6.470367385914337E-4</v>
      </c>
      <c r="N29" s="149"/>
      <c r="O29" s="149"/>
      <c r="P29" s="149"/>
      <c r="Q29" s="149"/>
      <c r="R29" s="149"/>
      <c r="S29" s="149"/>
      <c r="T29" s="149"/>
      <c r="U29" s="149">
        <v>1.7760498084554112E-3</v>
      </c>
      <c r="V29" s="149">
        <v>3.0247370600933266E-3</v>
      </c>
      <c r="AB29" t="str">
        <v>BIOSYN-CARB-chtn_c</v>
      </c>
      <c r="AC29" t="str">
        <v>MET-chtn_c --&gt; 0.203193 BIO-chtn_c</v>
      </c>
      <c r="AD29" t="s">
        <v>1613</v>
      </c>
      <c r="AE29" t="b">
        <v>1</v>
      </c>
    </row>
    <row r="30" spans="1:31" ht="16" x14ac:dyDescent="0.2">
      <c r="A30" s="144" t="s">
        <v>1335</v>
      </c>
      <c r="B30" t="str">
        <f>SUBSTITUTE(_xlfn.TEXTBEFORE(mets2721[[#This Row],[pasted JSON metabolite keys and values from GSM biomass rxn]],":"),CHAR(34),"")</f>
        <v>glntrna_c</v>
      </c>
      <c r="C30" t="str">
        <f>_xlfn.TEXTBEFORE(mets2721[[#This Row],[name]],"_",-1)</f>
        <v>glntrna</v>
      </c>
      <c r="D30" t="str">
        <f>_xlfn.XLOOKUP(mets2721[[#This Row],[name w/o location]],metaboliteInfo[name w/o location],metaboliteInfo[suggested category],"")</f>
        <v>PROT</v>
      </c>
      <c r="E30" s="21">
        <f>_xlfn.XLOOKUP(mets2721[[#This Row],[name w/o location]],metaboliteInfo[name w/o location],metaboliteInfo[MW for biomass normalization (g/mol)],0)</f>
        <v>129.13715999999999</v>
      </c>
      <c r="F30" s="21">
        <f>_xlfn.NUMBERVALUE(SUBSTITUTE(_xlfn.TEXTAFTER(mets2721[[#This Row],[pasted JSON metabolite keys and values from GSM biomass rxn]],":"),",",""))</f>
        <v>-0.32155699999999998</v>
      </c>
      <c r="G30" s="21" cm="1">
        <f t="array" ref="G30">_xlfn.LET(_xlpm.id,mets2721[[#This Row],[name w/o location]],IF(IsElementOfSet_DIY(_xlpm.id,{"atp","adp","h","pi","h2o"}),SIGN(mets2721[[#This Row],[raw (GSM) coefficient]])*(ABS(mets2721[[#This Row],[raw (GSM) coefficient]])-$J$2),mets2721[[#This Row],[raw (GSM) coefficient]]))</f>
        <v>-0.32155699999999998</v>
      </c>
      <c r="H30" s="21">
        <f>mets2721[[#This Row],[coeff. w/o GAM]]</f>
        <v>-0.32155699999999998</v>
      </c>
      <c r="I30" s="161">
        <f t="shared" si="0"/>
        <v>-0.31906482275035086</v>
      </c>
      <c r="J30" s="21" cm="1">
        <f t="array" ref="J30">_xlfn.LET(_xlpm.id,mets2721[[#This Row],[name w/o location]],_xlpm.oldcoeff,mets2721[[#This Row],[normalized coeffs]],_xlpm.gam,$J$2-$G$2,_xlfn.IFS(IFERROR(MATCH(_xlpm.id,{"atp","h2o"},0),0)&gt;0,_xlpm.oldcoeff-_xlpm.gam,IFERROR(MATCH(_xlpm.id,{"adp","h","pi"},0),0)&gt;0,_xlpm.oldcoeff+_xlpm.gam,TRUE,_xlpm.oldcoeff))</f>
        <v>-0.31906482275035086</v>
      </c>
      <c r="K30" t="str" cm="1">
        <f t="array" ref="K30">"BIOSYN-"&amp;_xlfn.IFS(IFERROR(MATCH(mets2721[[#This Row],[category]],{0,"0",""},0),0)&gt;0,mets2721[[#This Row],[name]],TRUE,mets2721[[#This Row],[category]]&amp;"-"&amp;mets2721[[#This Row],[name]])</f>
        <v>BIOSYN-PROT-glntrna_c</v>
      </c>
      <c r="L30" s="149" t="str" cm="1">
        <f t="array" ref="L30">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30" s="149" cm="1">
        <f t="array" ref="M3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-0.33052720510658357</v>
      </c>
      <c r="N30" s="149"/>
      <c r="O30" s="149"/>
      <c r="P30" s="149" t="s">
        <v>1312</v>
      </c>
      <c r="Q30" s="95" t="s">
        <v>1313</v>
      </c>
      <c r="R30" s="149"/>
      <c r="S30" s="149"/>
      <c r="T30" s="95" t="s">
        <v>1366</v>
      </c>
      <c r="U30" s="149"/>
      <c r="V30" s="149"/>
      <c r="AB30" t="str">
        <v>BIOSYN-CARB-glycogen_c</v>
      </c>
      <c r="AC30" t="str">
        <v>MET-glycogen_c --&gt; 0.162141 BIO-glycogen_c</v>
      </c>
      <c r="AD30" t="s">
        <v>1614</v>
      </c>
      <c r="AE30" t="b">
        <v>1</v>
      </c>
    </row>
    <row r="31" spans="1:31" ht="16" x14ac:dyDescent="0.2">
      <c r="A31" s="144" t="s">
        <v>1336</v>
      </c>
      <c r="B31" t="str">
        <f>SUBSTITUTE(_xlfn.TEXTBEFORE(mets2721[[#This Row],[pasted JSON metabolite keys and values from GSM biomass rxn]],":"),CHAR(34),"")</f>
        <v>glutrna_c</v>
      </c>
      <c r="C31" t="str">
        <f>_xlfn.TEXTBEFORE(mets2721[[#This Row],[name]],"_",-1)</f>
        <v>glutrna</v>
      </c>
      <c r="D31" t="str">
        <f>_xlfn.XLOOKUP(mets2721[[#This Row],[name w/o location]],metaboliteInfo[name w/o location],metaboliteInfo[suggested category],"")</f>
        <v>PROT</v>
      </c>
      <c r="E31" s="21">
        <f>_xlfn.XLOOKUP(mets2721[[#This Row],[name w/o location]],metaboliteInfo[name w/o location],metaboliteInfo[MW for biomass normalization (g/mol)],0)</f>
        <v>129.11398</v>
      </c>
      <c r="F31" s="21">
        <f>_xlfn.NUMBERVALUE(SUBSTITUTE(_xlfn.TEXTAFTER(mets2721[[#This Row],[pasted JSON metabolite keys and values from GSM biomass rxn]],":"),",",""))</f>
        <v>-0.32155699999999998</v>
      </c>
      <c r="G31" s="21" cm="1">
        <f t="array" ref="G31">_xlfn.LET(_xlpm.id,mets2721[[#This Row],[name w/o location]],IF(IsElementOfSet_DIY(_xlpm.id,{"atp","adp","h","pi","h2o"}),SIGN(mets2721[[#This Row],[raw (GSM) coefficient]])*(ABS(mets2721[[#This Row],[raw (GSM) coefficient]])-$J$2),mets2721[[#This Row],[raw (GSM) coefficient]]))</f>
        <v>-0.32155699999999998</v>
      </c>
      <c r="H31" s="21">
        <f>mets2721[[#This Row],[coeff. w/o GAM]]</f>
        <v>-0.32155699999999998</v>
      </c>
      <c r="I31" s="161">
        <f t="shared" si="0"/>
        <v>-0.31906482275035086</v>
      </c>
      <c r="J31" s="21" cm="1">
        <f t="array" ref="J31">_xlfn.LET(_xlpm.id,mets2721[[#This Row],[name w/o location]],_xlpm.oldcoeff,mets2721[[#This Row],[normalized coeffs]],_xlpm.gam,$J$2-$G$2,_xlfn.IFS(IFERROR(MATCH(_xlpm.id,{"atp","h2o"},0),0)&gt;0,_xlpm.oldcoeff-_xlpm.gam,IFERROR(MATCH(_xlpm.id,{"adp","h","pi"},0),0)&gt;0,_xlpm.oldcoeff+_xlpm.gam,TRUE,_xlpm.oldcoeff))</f>
        <v>-0.31906482275035086</v>
      </c>
      <c r="K31" t="str" cm="1">
        <f t="array" ref="K31">"BIOSYN-"&amp;_xlfn.IFS(IFERROR(MATCH(mets2721[[#This Row],[category]],{0,"0",""},0),0)&gt;0,mets2721[[#This Row],[name]],TRUE,mets2721[[#This Row],[category]]&amp;"-"&amp;mets2721[[#This Row],[name]])</f>
        <v>BIOSYN-PROT-glutrna_c</v>
      </c>
      <c r="L31" s="149" t="str" cm="1">
        <f t="array" ref="L31">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31" s="149" cm="1">
        <f t="array" ref="M3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-0.33052720510658357</v>
      </c>
      <c r="N31" s="149"/>
      <c r="O31" s="149"/>
      <c r="P31" s="95" t="s">
        <v>1311</v>
      </c>
      <c r="Q31" s="149"/>
      <c r="R31" s="149"/>
      <c r="S31" s="149"/>
      <c r="T31" t="s">
        <v>1365</v>
      </c>
      <c r="U31" s="149"/>
      <c r="V31" s="149"/>
      <c r="AB31" t="str">
        <v>BIOSYN-CARB-mannan_c</v>
      </c>
      <c r="AC31" t="str">
        <v>MET-mannan_c --&gt; 0.162141 BIO-mannan_c</v>
      </c>
      <c r="AD31" t="s">
        <v>1615</v>
      </c>
      <c r="AE31" t="b">
        <v>1</v>
      </c>
    </row>
    <row r="32" spans="1:31" ht="16" x14ac:dyDescent="0.2">
      <c r="A32" s="144" t="s">
        <v>1363</v>
      </c>
      <c r="B32" t="str">
        <f>SUBSTITUTE(_xlfn.TEXTBEFORE(mets2721[[#This Row],[pasted JSON metabolite keys and values from GSM biomass rxn]],":"),CHAR(34),"")</f>
        <v>glytrna_c</v>
      </c>
      <c r="C32" t="str">
        <f>_xlfn.TEXTBEFORE(mets2721[[#This Row],[name]],"_",-1)</f>
        <v>glytrna</v>
      </c>
      <c r="D32" t="str">
        <f>_xlfn.XLOOKUP(mets2721[[#This Row],[name w/o location]],metaboliteInfo[name w/o location],metaboliteInfo[suggested category],"")</f>
        <v>PROT</v>
      </c>
      <c r="E32" s="21">
        <f>_xlfn.XLOOKUP(mets2721[[#This Row],[name w/o location]],metaboliteInfo[name w/o location],metaboliteInfo[MW for biomass normalization (g/mol)],0)</f>
        <v>58.059260000000002</v>
      </c>
      <c r="F32" s="21">
        <f>_xlfn.NUMBERVALUE(SUBSTITUTE(_xlfn.TEXTAFTER(mets2721[[#This Row],[pasted JSON metabolite keys and values from GSM biomass rxn]],":"),",",""))</f>
        <v>-0.369334</v>
      </c>
      <c r="G32" s="21" cm="1">
        <f t="array" ref="G32">_xlfn.LET(_xlpm.id,mets2721[[#This Row],[name w/o location]],IF(IsElementOfSet_DIY(_xlpm.id,{"atp","adp","h","pi","h2o"}),SIGN(mets2721[[#This Row],[raw (GSM) coefficient]])*(ABS(mets2721[[#This Row],[raw (GSM) coefficient]])-$J$2),mets2721[[#This Row],[raw (GSM) coefficient]]))</f>
        <v>-0.369334</v>
      </c>
      <c r="H32" s="21">
        <f>mets2721[[#This Row],[coeff. w/o GAM]]</f>
        <v>-0.369334</v>
      </c>
      <c r="I32" s="161">
        <f t="shared" si="0"/>
        <v>-0.36647153458229204</v>
      </c>
      <c r="J32" s="21" cm="1">
        <f t="array" ref="J32">_xlfn.LET(_xlpm.id,mets2721[[#This Row],[name w/o location]],_xlpm.oldcoeff,mets2721[[#This Row],[normalized coeffs]],_xlpm.gam,$J$2-$G$2,_xlfn.IFS(IFERROR(MATCH(_xlpm.id,{"atp","h2o"},0),0)&gt;0,_xlpm.oldcoeff-_xlpm.gam,IFERROR(MATCH(_xlpm.id,{"adp","h","pi"},0),0)&gt;0,_xlpm.oldcoeff+_xlpm.gam,TRUE,_xlpm.oldcoeff))</f>
        <v>-0.36647153458229204</v>
      </c>
      <c r="K32" t="str" cm="1">
        <f t="array" ref="K32">"BIOSYN-"&amp;_xlfn.IFS(IFERROR(MATCH(mets2721[[#This Row],[category]],{0,"0",""},0),0)&gt;0,mets2721[[#This Row],[name]],TRUE,mets2721[[#This Row],[category]]&amp;"-"&amp;mets2721[[#This Row],[name]])</f>
        <v>BIOSYN-PROT-glytrna_c</v>
      </c>
      <c r="L32" s="149" t="str" cm="1">
        <f t="array" ref="L32">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32" s="149" cm="1">
        <f t="array" ref="M3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-0.37963699988131167</v>
      </c>
      <c r="N32" s="149"/>
      <c r="O32" s="149"/>
      <c r="P32" t="s">
        <v>1362</v>
      </c>
      <c r="R32" t="s">
        <v>1361</v>
      </c>
      <c r="S32" s="149"/>
      <c r="U32" s="149"/>
      <c r="V32" s="149"/>
      <c r="AB32" t="str">
        <v>BIOSYN-CARB-tre_c</v>
      </c>
      <c r="AC32" t="str">
        <v>MET-tre_c --&gt; 0.342296 BIO-tre_c</v>
      </c>
      <c r="AD32" t="s">
        <v>1616</v>
      </c>
      <c r="AE32" t="b">
        <v>1</v>
      </c>
    </row>
    <row r="33" spans="1:31" ht="16" x14ac:dyDescent="0.2">
      <c r="A33" s="144" t="s">
        <v>1337</v>
      </c>
      <c r="B33" t="str">
        <f>SUBSTITUTE(_xlfn.TEXTBEFORE(mets2721[[#This Row],[pasted JSON metabolite keys and values from GSM biomass rxn]],":"),CHAR(34),"")</f>
        <v>glycogen_c</v>
      </c>
      <c r="C33" t="str">
        <f>_xlfn.TEXTBEFORE(mets2721[[#This Row],[name]],"_",-1)</f>
        <v>glycogen</v>
      </c>
      <c r="D33" t="str">
        <f>_xlfn.XLOOKUP(mets2721[[#This Row],[name w/o location]],metaboliteInfo[name w/o location],metaboliteInfo[suggested category],"")</f>
        <v>CARB</v>
      </c>
      <c r="E33" s="21">
        <f>_xlfn.XLOOKUP(mets2721[[#This Row],[name w/o location]],metaboliteInfo[name w/o location],metaboliteInfo[MW for biomass normalization (g/mol)],0)</f>
        <v>162.14060000000001</v>
      </c>
      <c r="F33" s="21">
        <f>_xlfn.NUMBERVALUE(SUBSTITUTE(_xlfn.TEXTAFTER(mets2721[[#This Row],[pasted JSON metabolite keys and values from GSM biomass rxn]],":"),",",""))</f>
        <v>-0.23481099999999999</v>
      </c>
      <c r="G33" s="21" cm="1">
        <f t="array" ref="G33">_xlfn.LET(_xlpm.id,mets2721[[#This Row],[name w/o location]],IF(IsElementOfSet_DIY(_xlpm.id,{"atp","adp","h","pi","h2o"}),SIGN(mets2721[[#This Row],[raw (GSM) coefficient]])*(ABS(mets2721[[#This Row],[raw (GSM) coefficient]])-$J$2),mets2721[[#This Row],[raw (GSM) coefficient]]))</f>
        <v>-0.23481099999999999</v>
      </c>
      <c r="H33" s="21">
        <f>mets2721[[#This Row],[coeff. w/o GAM]]</f>
        <v>-0.23481099999999999</v>
      </c>
      <c r="I33" s="161">
        <f t="shared" si="0"/>
        <v>-0.23299113405969279</v>
      </c>
      <c r="J33" s="21" cm="1">
        <f t="array" ref="J33">_xlfn.LET(_xlpm.id,mets2721[[#This Row],[name w/o location]],_xlpm.oldcoeff,mets2721[[#This Row],[normalized coeffs]],_xlpm.gam,$J$2-$G$2,_xlfn.IFS(IFERROR(MATCH(_xlpm.id,{"atp","h2o"},0),0)&gt;0,_xlpm.oldcoeff-_xlpm.gam,IFERROR(MATCH(_xlpm.id,{"adp","h","pi"},0),0)&gt;0,_xlpm.oldcoeff+_xlpm.gam,TRUE,_xlpm.oldcoeff))</f>
        <v>-0.23299113405969279</v>
      </c>
      <c r="K33" t="str" cm="1">
        <f t="array" ref="K33">"BIOSYN-"&amp;_xlfn.IFS(IFERROR(MATCH(mets2721[[#This Row],[category]],{0,"0",""},0),0)&gt;0,mets2721[[#This Row],[name]],TRUE,mets2721[[#This Row],[category]]&amp;"-"&amp;mets2721[[#This Row],[name]])</f>
        <v>BIOSYN-CARB-glycogen_c</v>
      </c>
      <c r="L33" s="149" t="str" cm="1">
        <f t="array" ref="L33">IF(IsElementOfSet_DIY(mets2721[[#This Row],[category]],{"ignore","PROT"}),"",_xlfn.LET(_xlpm.mw,mets2721[[#This Row],[MW for biomass normalization (g/mol)]],"MET-"&amp;mets2721[[#This Row],[name]]&amp;" --&gt; "&amp;IF((mets2721[[#This Row],[category]]="DNA")+(mets2721[[#This Row],[category]]="RNA"),"MET-ppi_c + ","")&amp;ROUND(ABS(_xlpm.mw/1000),6)&amp;" BIO-"&amp;mets2721[[#This Row],[name]]))</f>
        <v>MET-glycogen_c --&gt; 0.162141 BIO-glycogen_c</v>
      </c>
      <c r="M33" s="149" cm="1">
        <f t="array" ref="M3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-0.228812264496074</v>
      </c>
      <c r="N33" s="149"/>
      <c r="O33" s="149"/>
      <c r="P33" s="149" t="str" cm="1">
        <f t="array" ref="P33:P88">_xlfn.LET(_xlpm.rxn,_xlfn.TEXTSPLIT(SUBSTITUTE(SUBSTITUTE(P31," --&gt; ","+")," + ","+")," ","+"),_xlpm.rxnWithTRNA,_xlfn.VSTACK(_xlpm.rxn,_xlfn._xlws.FILTER(_xlpm.rxn,ISNUMBER(FIND("__L_c",_xlfn.CHOOSECOLS(_xlpm.rxn,2))))),CHAR(34)&amp;_xlfn.CHOOSECOLS(_xlpm.rxn,2)&amp;CHAR(34)&amp;":"&amp;_xlfn.CHOOSECOLS(_xlpm.rxn,1))</f>
        <v>"13BDglucan_c":0.684548</v>
      </c>
      <c r="R33" s="149" t="str" cm="1">
        <f t="array" ref="R33:R107">_xlfn.UNIQUE(_xlfn.VSTACK(SUBSTITUTE(SUBSTITUTE(_xlfn.ANCHORARRAY(P33),"__L_c","trna_c"),":",":-"),SUBSTITUTE(SUBSTITUTE("trna"&amp;_xlfn._xlws.FILTER(_xlfn.ANCHORARRAY(P33),ISNUMBER(FIND("__L_c",_xlfn.ANCHORARRAY(P33))),""),"trna"&amp;CHAR(34),CHAR(34)&amp;"trna"),"__L","")))</f>
        <v>"13BDglucan_c":-0.684548</v>
      </c>
      <c r="S33" s="149"/>
      <c r="T33" s="149" t="str" cm="1">
        <f t="array" ref="T33:U43">_xlfn.LET(_xlpm.rxn,_xlfn.TEXTSPLIT(SUBSTITUTE(SUBSTITUTE(T31," --&gt; ","+")," + ","+")," ","+"),_xlpm.rxnWithTRNA,_xlfn.VSTACK(_xlpm.rxn,_xlfn._xlws.FILTER(_xlpm.rxn,ISNUMBER(FIND("__L_c",_xlfn.CHOOSECOLS(_xlpm.rxn,2))))),_xlpm.new,CHAR(34)&amp;_xlfn.CHOOSECOLS(_xlpm.rxn,2)&amp;CHAR(34)&amp;":"&amp;_xlfn.CHOOSECOLS(_xlpm.rxn,1),_xlpm.rxn)</f>
        <v>0.01875</v>
      </c>
      <c r="U33" s="149" t="str">
        <v>docoscoa_c</v>
      </c>
      <c r="V33" s="149"/>
      <c r="AB33" t="str">
        <v>BIOSYN-COFACTOR-coa_c</v>
      </c>
      <c r="AC33" t="str">
        <v>MET-coa_c --&gt; 0.763502 BIO-coa_c</v>
      </c>
      <c r="AD33" t="s">
        <v>1617</v>
      </c>
      <c r="AE33" t="b">
        <v>1</v>
      </c>
    </row>
    <row r="34" spans="1:31" ht="16" x14ac:dyDescent="0.2">
      <c r="A34" s="144" t="s">
        <v>1338</v>
      </c>
      <c r="B34" t="str">
        <f>SUBSTITUTE(_xlfn.TEXTBEFORE(mets2721[[#This Row],[pasted JSON metabolite keys and values from GSM biomass rxn]],":"),CHAR(34),"")</f>
        <v>gtp_c</v>
      </c>
      <c r="C34" t="str">
        <f>_xlfn.TEXTBEFORE(mets2721[[#This Row],[name]],"_",-1)</f>
        <v>gtp</v>
      </c>
      <c r="D34" t="str">
        <f>_xlfn.XLOOKUP(mets2721[[#This Row],[name w/o location]],metaboliteInfo[name w/o location],metaboliteInfo[suggested category],"")</f>
        <v>RNA</v>
      </c>
      <c r="E34" s="21">
        <f>_xlfn.XLOOKUP(mets2721[[#This Row],[name w/o location]],metaboliteInfo[name w/o location],metaboliteInfo[MW for biomass normalization (g/mol)],0)</f>
        <v>344.19740100000001</v>
      </c>
      <c r="F34" s="21">
        <f>_xlfn.NUMBERVALUE(SUBSTITUTE(_xlfn.TEXTAFTER(mets2721[[#This Row],[pasted JSON metabolite keys and values from GSM biomass rxn]],":"),",",""))</f>
        <v>-0.104534</v>
      </c>
      <c r="G34" s="21" cm="1">
        <f t="array" ref="G34">_xlfn.LET(_xlpm.id,mets2721[[#This Row],[name w/o location]],IF(IsElementOfSet_DIY(_xlpm.id,{"atp","adp","h","pi","h2o"}),SIGN(mets2721[[#This Row],[raw (GSM) coefficient]])*(ABS(mets2721[[#This Row],[raw (GSM) coefficient]])-$J$2),mets2721[[#This Row],[raw (GSM) coefficient]]))</f>
        <v>-0.104534</v>
      </c>
      <c r="H34" s="21">
        <f>mets2721[[#This Row],[coeff. w/o GAM]]</f>
        <v>-0.104534</v>
      </c>
      <c r="I34" s="161">
        <f t="shared" si="0"/>
        <v>-0.10372382557800072</v>
      </c>
      <c r="J34" s="21" cm="1">
        <f t="array" ref="J34">_xlfn.LET(_xlpm.id,mets2721[[#This Row],[name w/o location]],_xlpm.oldcoeff,mets2721[[#This Row],[normalized coeffs]],_xlpm.gam,$J$2-$G$2,_xlfn.IFS(IFERROR(MATCH(_xlpm.id,{"atp","h2o"},0),0)&gt;0,_xlpm.oldcoeff-_xlpm.gam,IFERROR(MATCH(_xlpm.id,{"adp","h","pi"},0),0)&gt;0,_xlpm.oldcoeff+_xlpm.gam,TRUE,_xlpm.oldcoeff))</f>
        <v>-0.10372382557800072</v>
      </c>
      <c r="K34" t="str" cm="1">
        <f t="array" ref="K34">"BIOSYN-"&amp;_xlfn.IFS(IFERROR(MATCH(mets2721[[#This Row],[category]],{0,"0",""},0),0)&gt;0,mets2721[[#This Row],[name]],TRUE,mets2721[[#This Row],[category]]&amp;"-"&amp;mets2721[[#This Row],[name]])</f>
        <v>BIOSYN-RNA-gtp_c</v>
      </c>
      <c r="L34" s="149" t="str" cm="1">
        <f t="array" ref="L34">IF(IsElementOfSet_DIY(mets2721[[#This Row],[category]],{"ignore","PROT"}),"",_xlfn.LET(_xlpm.mw,mets2721[[#This Row],[MW for biomass normalization (g/mol)]],"MET-"&amp;mets2721[[#This Row],[name]]&amp;" --&gt; "&amp;IF((mets2721[[#This Row],[category]]="DNA")+(mets2721[[#This Row],[category]]="RNA"),"MET-ppi_c + ","")&amp;ROUND(ABS(_xlpm.mw/1000),6)&amp;" BIO-"&amp;mets2721[[#This Row],[name]]))</f>
        <v>MET-gtp_c --&gt; MET-ppi_c + 0.344197 BIO-gtp_c</v>
      </c>
      <c r="M34" s="149" cm="1">
        <f t="array" ref="M3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-0.1018634614938508</v>
      </c>
      <c r="N34" s="149"/>
      <c r="O34" s="149"/>
      <c r="P34" s="149" t="str">
        <v>"16BDglucan_c":0.180144</v>
      </c>
      <c r="R34" s="149" t="str">
        <v>"16BDglucan_c":-0.180144</v>
      </c>
      <c r="S34" s="149"/>
      <c r="T34" s="149" t="str">
        <v>1</v>
      </c>
      <c r="U34" s="149" t="str">
        <v>h2o_c</v>
      </c>
      <c r="V34" s="149"/>
      <c r="AB34" t="str">
        <v>BIOSYN-COFACTOR-nadp_c</v>
      </c>
      <c r="AC34" t="str">
        <v>MET-nadp_c --&gt; 0.740381 BIO-nadp_c</v>
      </c>
      <c r="AD34" t="s">
        <v>1618</v>
      </c>
      <c r="AE34" t="b">
        <v>1</v>
      </c>
    </row>
    <row r="35" spans="1:31" ht="16" x14ac:dyDescent="0.2">
      <c r="A35" s="144" t="s">
        <v>1371</v>
      </c>
      <c r="B35" t="str">
        <f>SUBSTITUTE(_xlfn.TEXTBEFORE(mets2721[[#This Row],[pasted JSON metabolite keys and values from GSM biomass rxn]],":"),CHAR(34),"")</f>
        <v>h_c</v>
      </c>
      <c r="C35" t="str">
        <f>_xlfn.TEXTBEFORE(mets2721[[#This Row],[name]],"_",-1)</f>
        <v>h</v>
      </c>
      <c r="D35" t="str">
        <f>_xlfn.XLOOKUP(mets2721[[#This Row],[name w/o location]],metaboliteInfo[name w/o location],metaboliteInfo[suggested category],"")</f>
        <v>GAM</v>
      </c>
      <c r="E35" s="21">
        <f>_xlfn.XLOOKUP(mets2721[[#This Row],[name w/o location]],metaboliteInfo[name w/o location],metaboliteInfo[MW for biomass normalization (g/mol)],0)</f>
        <v>1.0079400000000001</v>
      </c>
      <c r="F35" s="21">
        <f>_xlfn.NUMBERVALUE(SUBSTITUTE(_xlfn.TEXTAFTER(mets2721[[#This Row],[pasted JSON metabolite keys and values from GSM biomass rxn]],":"),",",""))</f>
        <v>190.58073300000001</v>
      </c>
      <c r="G35" s="21" cm="1">
        <f t="array" ref="G35">_xlfn.LET(_xlpm.id,mets2721[[#This Row],[name w/o location]],IF(IsElementOfSet_DIY(_xlpm.id,{"atp","adp","h","pi","h2o"}),SIGN(mets2721[[#This Row],[raw (GSM) coefficient]])*(ABS(mets2721[[#This Row],[raw (GSM) coefficient]])-$J$2),mets2721[[#This Row],[raw (GSM) coefficient]]))</f>
        <v>1.743000000004713E-3</v>
      </c>
      <c r="H35" s="21">
        <f>mets2721[[#This Row],[coeff. w/o GAM]]</f>
        <v>1.743000000004713E-3</v>
      </c>
      <c r="I35" s="161">
        <f t="shared" si="0"/>
        <v>1.7294911510412317E-3</v>
      </c>
      <c r="J35" s="21" cm="1">
        <f t="array" ref="J35">_xlfn.LET(_xlpm.id,mets2721[[#This Row],[name w/o location]],_xlpm.oldcoeff,mets2721[[#This Row],[normalized coeffs]],_xlpm.gam,$J$2-$G$2,_xlfn.IFS(IFERROR(MATCH(_xlpm.id,{"atp","h2o"},0),0)&gt;0,_xlpm.oldcoeff-_xlpm.gam,IFERROR(MATCH(_xlpm.id,{"adp","h","pi"},0),0)&gt;0,_xlpm.oldcoeff+_xlpm.gam,TRUE,_xlpm.oldcoeff))</f>
        <v>182.08071949115106</v>
      </c>
      <c r="K35" t="str" cm="1">
        <f t="array" ref="K35">"BIOSYN-"&amp;_xlfn.IFS(IFERROR(MATCH(mets2721[[#This Row],[category]],{0,"0",""},0),0)&gt;0,mets2721[[#This Row],[name]],TRUE,mets2721[[#This Row],[category]]&amp;"-"&amp;mets2721[[#This Row],[name]])</f>
        <v>BIOSYN-GAM-h_c</v>
      </c>
      <c r="L35" s="149" t="str" cm="1">
        <f t="array" ref="L35">IF(IsElementOfSet_DIY(mets2721[[#This Row],[category]],{"ignore","PROT"}),"",_xlfn.LET(_xlpm.mw,mets2721[[#This Row],[MW for biomass normalization (g/mol)]],"MET-"&amp;mets2721[[#This Row],[name]]&amp;" --&gt; "&amp;IF((mets2721[[#This Row],[category]]="DNA")+(mets2721[[#This Row],[category]]="RNA"),"MET-ppi_c + ","")&amp;ROUND(ABS(_xlpm.mw/1000),6)&amp;" BIO-"&amp;mets2721[[#This Row],[name]]))</f>
        <v>MET-h_c --&gt; 0.001008 BIO-h_c</v>
      </c>
      <c r="M35" s="149" cm="1">
        <f t="array" ref="M3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190.58071949115106</v>
      </c>
      <c r="N35" s="149"/>
      <c r="O35" s="149"/>
      <c r="P35" s="149" t="str">
        <v>"ala__L_c":0.405893</v>
      </c>
      <c r="R35" s="149" t="str">
        <v>"alatrna_c":-0.405893</v>
      </c>
      <c r="S35" s="149"/>
      <c r="T35" s="149" t="str">
        <v>0.355664</v>
      </c>
      <c r="U35" s="149" t="str">
        <v>linocoa_c</v>
      </c>
      <c r="V35" s="149"/>
      <c r="AB35" t="str">
        <v>BIOSYN-COFACTOR-nadph_c</v>
      </c>
      <c r="AC35" t="str">
        <v>MET-nadph_c --&gt; 0.741389 BIO-nadph_c</v>
      </c>
      <c r="AD35" t="s">
        <v>1619</v>
      </c>
      <c r="AE35" t="b">
        <v>1</v>
      </c>
    </row>
    <row r="36" spans="1:31" ht="16" x14ac:dyDescent="0.2">
      <c r="A36" s="144" t="s">
        <v>1372</v>
      </c>
      <c r="B36" t="str">
        <f>SUBSTITUTE(_xlfn.TEXTBEFORE(mets2721[[#This Row],[pasted JSON metabolite keys and values from GSM biomass rxn]],":"),CHAR(34),"")</f>
        <v>h2o_c</v>
      </c>
      <c r="C36" t="str">
        <f>_xlfn.TEXTBEFORE(mets2721[[#This Row],[name]],"_",-1)</f>
        <v>h2o</v>
      </c>
      <c r="D36" t="str">
        <f>_xlfn.XLOOKUP(mets2721[[#This Row],[name w/o location]],metaboliteInfo[name w/o location],metaboliteInfo[suggested category],"")</f>
        <v>GAM</v>
      </c>
      <c r="E36" s="21">
        <f>_xlfn.XLOOKUP(mets2721[[#This Row],[name w/o location]],metaboliteInfo[name w/o location],metaboliteInfo[MW for biomass normalization (g/mol)],0)</f>
        <v>18.015280000000001</v>
      </c>
      <c r="F36" s="21">
        <f>_xlfn.NUMBERVALUE(SUBSTITUTE(_xlfn.TEXTAFTER(mets2721[[#This Row],[pasted JSON metabolite keys and values from GSM biomass rxn]],":"),",",""))</f>
        <v>-186.43338999999901</v>
      </c>
      <c r="G36" s="21" cm="1">
        <f t="array" ref="G36">_xlfn.LET(_xlpm.id,mets2721[[#This Row],[name w/o location]],IF(IsElementOfSet_DIY(_xlpm.id,{"atp","adp","h","pi","h2o"}),SIGN(mets2721[[#This Row],[raw (GSM) coefficient]])*(ABS(mets2721[[#This Row],[raw (GSM) coefficient]])-$J$2),mets2721[[#This Row],[raw (GSM) coefficient]]))</f>
        <v>4.1456000000009965</v>
      </c>
      <c r="H36" s="21">
        <f>mets2721[[#This Row],[coeff. w/o GAM]]</f>
        <v>4.1456000000009965</v>
      </c>
      <c r="I36" s="161">
        <f t="shared" si="0"/>
        <v>4.1134701754095619</v>
      </c>
      <c r="J36" s="21" cm="1">
        <f t="array" ref="J36">_xlfn.LET(_xlpm.id,mets2721[[#This Row],[name w/o location]],_xlpm.oldcoeff,mets2721[[#This Row],[normalized coeffs]],_xlpm.gam,$J$2-$G$2,_xlfn.IFS(IFERROR(MATCH(_xlpm.id,{"atp","h2o"},0),0)&gt;0,_xlpm.oldcoeff-_xlpm.gam,IFERROR(MATCH(_xlpm.id,{"adp","h","pi"},0),0)&gt;0,_xlpm.oldcoeff+_xlpm.gam,TRUE,_xlpm.oldcoeff))</f>
        <v>-177.96551982459044</v>
      </c>
      <c r="K36" t="str" cm="1">
        <f t="array" ref="K36">"BIOSYN-"&amp;_xlfn.IFS(IFERROR(MATCH(mets2721[[#This Row],[category]],{0,"0",""},0),0)&gt;0,mets2721[[#This Row],[name]],TRUE,mets2721[[#This Row],[category]]&amp;"-"&amp;mets2721[[#This Row],[name]])</f>
        <v>BIOSYN-GAM-h2o_c</v>
      </c>
      <c r="L36" s="149" t="str" cm="1">
        <f t="array" ref="L36">IF(IsElementOfSet_DIY(mets2721[[#This Row],[category]],{"ignore","PROT"}),"",_xlfn.LET(_xlpm.mw,mets2721[[#This Row],[MW for biomass normalization (g/mol)]],"MET-"&amp;mets2721[[#This Row],[name]]&amp;" --&gt; "&amp;IF((mets2721[[#This Row],[category]]="DNA")+(mets2721[[#This Row],[category]]="RNA"),"MET-ppi_c + ","")&amp;ROUND(ABS(_xlpm.mw/1000),6)&amp;" BIO-"&amp;mets2721[[#This Row],[name]]))</f>
        <v>MET-h2o_c --&gt; 0.018015 BIO-h2o_c</v>
      </c>
      <c r="M36" s="149" cm="1">
        <f t="array" ref="M3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-186.46551982459044</v>
      </c>
      <c r="N36" s="149"/>
      <c r="O36" s="149"/>
      <c r="P36" s="149" t="str">
        <v>"arg__L_c":0.160363</v>
      </c>
      <c r="R36" s="149" t="str">
        <v>"argtrna_c":-0.160363</v>
      </c>
      <c r="S36" s="149"/>
      <c r="T36" s="149" t="str">
        <v>0.087612</v>
      </c>
      <c r="U36" s="149" t="str">
        <v>linolncoa_c</v>
      </c>
      <c r="V36" s="149"/>
      <c r="AB36" t="str">
        <v>BIOSYN-DNA-datp_c</v>
      </c>
      <c r="AC36" t="str">
        <v>MET-datp_c --&gt; MET-ppi_c + 0.312199 BIO-datp_c</v>
      </c>
      <c r="AD36" t="s">
        <v>1620</v>
      </c>
      <c r="AE36" t="b">
        <v>1</v>
      </c>
    </row>
    <row r="37" spans="1:31" ht="16" x14ac:dyDescent="0.2">
      <c r="A37" s="144" t="s">
        <v>1339</v>
      </c>
      <c r="B37" t="str">
        <f>SUBSTITUTE(_xlfn.TEXTBEFORE(mets2721[[#This Row],[pasted JSON metabolite keys and values from GSM biomass rxn]],":"),CHAR(34),"")</f>
        <v>histrna_c</v>
      </c>
      <c r="C37" t="str">
        <f>_xlfn.TEXTBEFORE(mets2721[[#This Row],[name]],"_",-1)</f>
        <v>histrna</v>
      </c>
      <c r="D37" t="str">
        <f>_xlfn.XLOOKUP(mets2721[[#This Row],[name w/o location]],metaboliteInfo[name w/o location],metaboliteInfo[suggested category],"")</f>
        <v>PROT</v>
      </c>
      <c r="E37" s="21">
        <f>_xlfn.XLOOKUP(mets2721[[#This Row],[name w/o location]],metaboliteInfo[name w/o location],metaboliteInfo[MW for biomass normalization (g/mol)],0)</f>
        <v>138.14722</v>
      </c>
      <c r="F37" s="21">
        <f>_xlfn.NUMBERVALUE(SUBSTITUTE(_xlfn.TEXTAFTER(mets2721[[#This Row],[pasted JSON metabolite keys and values from GSM biomass rxn]],":"),",",""))</f>
        <v>-8.0182000000000003E-2</v>
      </c>
      <c r="G37" s="21" cm="1">
        <f t="array" ref="G37">_xlfn.LET(_xlpm.id,mets2721[[#This Row],[name w/o location]],IF(IsElementOfSet_DIY(_xlpm.id,{"atp","adp","h","pi","h2o"}),SIGN(mets2721[[#This Row],[raw (GSM) coefficient]])*(ABS(mets2721[[#This Row],[raw (GSM) coefficient]])-$J$2),mets2721[[#This Row],[raw (GSM) coefficient]]))</f>
        <v>-8.0182000000000003E-2</v>
      </c>
      <c r="H37" s="21">
        <f>mets2721[[#This Row],[coeff. w/o GAM]]</f>
        <v>-8.0182000000000003E-2</v>
      </c>
      <c r="I37" s="161">
        <f t="shared" si="0"/>
        <v>-7.9560561946306979E-2</v>
      </c>
      <c r="J37" s="21" cm="1">
        <f t="array" ref="J37">_xlfn.LET(_xlpm.id,mets2721[[#This Row],[name w/o location]],_xlpm.oldcoeff,mets2721[[#This Row],[normalized coeffs]],_xlpm.gam,$J$2-$G$2,_xlfn.IFS(IFERROR(MATCH(_xlpm.id,{"atp","h2o"},0),0)&gt;0,_xlpm.oldcoeff-_xlpm.gam,IFERROR(MATCH(_xlpm.id,{"adp","h","pi"},0),0)&gt;0,_xlpm.oldcoeff+_xlpm.gam,TRUE,_xlpm.oldcoeff))</f>
        <v>-7.9560561946306979E-2</v>
      </c>
      <c r="K37" t="str" cm="1">
        <f t="array" ref="K37">"BIOSYN-"&amp;_xlfn.IFS(IFERROR(MATCH(mets2721[[#This Row],[category]],{0,"0",""},0),0)&gt;0,mets2721[[#This Row],[name]],TRUE,mets2721[[#This Row],[category]]&amp;"-"&amp;mets2721[[#This Row],[name]])</f>
        <v>BIOSYN-PROT-histrna_c</v>
      </c>
      <c r="L37" s="149" t="str" cm="1">
        <f t="array" ref="L37">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37" s="149" cm="1">
        <f t="array" ref="M3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-8.2418769797753075E-2</v>
      </c>
      <c r="N37" s="149"/>
      <c r="O37" s="149"/>
      <c r="P37" s="149" t="str">
        <v>"asn__L_c":0.192768</v>
      </c>
      <c r="R37" s="149" t="str">
        <v>"asntrna_c":-0.192768</v>
      </c>
      <c r="S37" s="149"/>
      <c r="T37" s="149" t="str">
        <v>0.207129</v>
      </c>
      <c r="U37" s="149" t="str">
        <v>odecoa_c</v>
      </c>
      <c r="V37" s="149"/>
      <c r="AB37" t="str">
        <v>BIOSYN-DNA-dctp_c</v>
      </c>
      <c r="AC37" t="str">
        <v>MET-dctp_c --&gt; MET-ppi_c + 0.288174 BIO-dctp_c</v>
      </c>
      <c r="AD37" t="s">
        <v>1621</v>
      </c>
      <c r="AE37" t="b">
        <v>1</v>
      </c>
    </row>
    <row r="38" spans="1:31" ht="16" x14ac:dyDescent="0.2">
      <c r="A38" s="144" t="s">
        <v>1373</v>
      </c>
      <c r="B38" t="str">
        <f>SUBSTITUTE(_xlfn.TEXTBEFORE(mets2721[[#This Row],[pasted JSON metabolite keys and values from GSM biomass rxn]],":"),CHAR(34),"")</f>
        <v>hxccoa_c</v>
      </c>
      <c r="C38" t="str">
        <f>_xlfn.TEXTBEFORE(mets2721[[#This Row],[name]],"_",-1)</f>
        <v>hxccoa</v>
      </c>
      <c r="D38" t="str">
        <f>_xlfn.XLOOKUP(mets2721[[#This Row],[name w/o location]],metaboliteInfo[name w/o location],metaboliteInfo[suggested category],"")</f>
        <v>LIPID</v>
      </c>
      <c r="E38" s="21">
        <f>_xlfn.XLOOKUP(mets2721[[#This Row],[name w/o location]],metaboliteInfo[name w/o location],metaboliteInfo[MW for biomass normalization (g/mol)],0)</f>
        <v>1142.1769629999999</v>
      </c>
      <c r="F38" s="21">
        <f>_xlfn.NUMBERVALUE(SUBSTITUTE(_xlfn.TEXTAFTER(mets2721[[#This Row],[pasted JSON metabolite keys and values from GSM biomass rxn]],":"),",",""))</f>
        <v>-1E-3</v>
      </c>
      <c r="G38" s="21" cm="1">
        <f t="array" ref="G38">_xlfn.LET(_xlpm.id,mets2721[[#This Row],[name w/o location]],IF(IsElementOfSet_DIY(_xlpm.id,{"atp","adp","h","pi","h2o"}),SIGN(mets2721[[#This Row],[raw (GSM) coefficient]])*(ABS(mets2721[[#This Row],[raw (GSM) coefficient]])-$J$2),mets2721[[#This Row],[raw (GSM) coefficient]]))</f>
        <v>-1E-3</v>
      </c>
      <c r="H38" s="21">
        <f>mets2721[[#This Row],[coeff. w/o GAM]]</f>
        <v>-1E-3</v>
      </c>
      <c r="I38" s="161">
        <f t="shared" si="0"/>
        <v>-9.9224965636061685E-4</v>
      </c>
      <c r="J38" s="21" cm="1">
        <f t="array" ref="J38">_xlfn.LET(_xlpm.id,mets2721[[#This Row],[name w/o location]],_xlpm.oldcoeff,mets2721[[#This Row],[normalized coeffs]],_xlpm.gam,$J$2-$G$2,_xlfn.IFS(IFERROR(MATCH(_xlpm.id,{"atp","h2o"},0),0)&gt;0,_xlpm.oldcoeff-_xlpm.gam,IFERROR(MATCH(_xlpm.id,{"adp","h","pi"},0),0)&gt;0,_xlpm.oldcoeff+_xlpm.gam,TRUE,_xlpm.oldcoeff))</f>
        <v>-9.9224965636061685E-4</v>
      </c>
      <c r="K38" t="str" cm="1">
        <f t="array" ref="K38">"BIOSYN-"&amp;_xlfn.IFS(IFERROR(MATCH(mets2721[[#This Row],[category]],{0,"0",""},0),0)&gt;0,mets2721[[#This Row],[name]],TRUE,mets2721[[#This Row],[category]]&amp;"-"&amp;mets2721[[#This Row],[name]])</f>
        <v>BIOSYN-LIPID-hxccoa_c</v>
      </c>
      <c r="L38" s="149" t="str" cm="1">
        <f t="array" ref="L38">IF(IsElementOfSet_DIY(mets2721[[#This Row],[category]],{"ignore","PROT"}),"",_xlfn.LET(_xlpm.mw,mets2721[[#This Row],[MW for biomass normalization (g/mol)]],"MET-"&amp;mets2721[[#This Row],[name]]&amp;" --&gt; "&amp;IF((mets2721[[#This Row],[category]]="DNA")+(mets2721[[#This Row],[category]]="RNA"),"MET-ppi_c + ","")&amp;ROUND(ABS(_xlpm.mw/1000),6)&amp;" BIO-"&amp;mets2721[[#This Row],[name]]))</f>
        <v>MET-hxccoa_c --&gt; 1.142177 BIO-hxccoa_c</v>
      </c>
      <c r="M38" s="149" cm="1">
        <f t="array" ref="M3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-9.7445291956541231E-4</v>
      </c>
      <c r="N38" s="149"/>
      <c r="O38" s="149"/>
      <c r="P38" s="149" t="str">
        <v>"asp__L_c":0.192768</v>
      </c>
      <c r="R38" s="149" t="str">
        <v>"asptrna_c":-0.192768</v>
      </c>
      <c r="S38" s="149"/>
      <c r="T38" s="149" t="str">
        <v>0.1694</v>
      </c>
      <c r="U38" s="149" t="str">
        <v>pmtcoa_c</v>
      </c>
      <c r="V38" s="149"/>
      <c r="AB38" t="str">
        <v>BIOSYN-DNA-dgtp_c</v>
      </c>
      <c r="AC38" t="str">
        <v>MET-dgtp_c --&gt; MET-ppi_c + 0.328198 BIO-dgtp_c</v>
      </c>
      <c r="AD38" t="s">
        <v>1622</v>
      </c>
      <c r="AE38" t="b">
        <v>1</v>
      </c>
    </row>
    <row r="39" spans="1:31" ht="16" x14ac:dyDescent="0.2">
      <c r="A39" s="144" t="s">
        <v>1340</v>
      </c>
      <c r="B39" t="str">
        <f>SUBSTITUTE(_xlfn.TEXTBEFORE(mets2721[[#This Row],[pasted JSON metabolite keys and values from GSM biomass rxn]],":"),CHAR(34),"")</f>
        <v>iletrna_c</v>
      </c>
      <c r="C39" t="str">
        <f>_xlfn.TEXTBEFORE(mets2721[[#This Row],[name]],"_",-1)</f>
        <v>iletrna</v>
      </c>
      <c r="D39" t="str">
        <f>_xlfn.XLOOKUP(mets2721[[#This Row],[name w/o location]],metaboliteInfo[name w/o location],metaboliteInfo[suggested category],"")</f>
        <v>PROT</v>
      </c>
      <c r="E39" s="21">
        <f>_xlfn.XLOOKUP(mets2721[[#This Row],[name w/o location]],metaboliteInfo[name w/o location],metaboliteInfo[MW for biomass normalization (g/mol)],0)</f>
        <v>114.16558000000001</v>
      </c>
      <c r="F39" s="21">
        <f>_xlfn.NUMBERVALUE(SUBSTITUTE(_xlfn.TEXTAFTER(mets2721[[#This Row],[pasted JSON metabolite keys and values from GSM biomass rxn]],":"),",",""))</f>
        <v>-0.244699</v>
      </c>
      <c r="G39" s="21" cm="1">
        <f t="array" ref="G39">_xlfn.LET(_xlpm.id,mets2721[[#This Row],[name w/o location]],IF(IsElementOfSet_DIY(_xlpm.id,{"atp","adp","h","pi","h2o"}),SIGN(mets2721[[#This Row],[raw (GSM) coefficient]])*(ABS(mets2721[[#This Row],[raw (GSM) coefficient]])-$J$2),mets2721[[#This Row],[raw (GSM) coefficient]]))</f>
        <v>-0.244699</v>
      </c>
      <c r="H39" s="21">
        <f>mets2721[[#This Row],[coeff. w/o GAM]]</f>
        <v>-0.244699</v>
      </c>
      <c r="I39" s="161">
        <f t="shared" si="0"/>
        <v>-0.24280249866178658</v>
      </c>
      <c r="J39" s="21" cm="1">
        <f t="array" ref="J39">_xlfn.LET(_xlpm.id,mets2721[[#This Row],[name w/o location]],_xlpm.oldcoeff,mets2721[[#This Row],[normalized coeffs]],_xlpm.gam,$J$2-$G$2,_xlfn.IFS(IFERROR(MATCH(_xlpm.id,{"atp","h2o"},0),0)&gt;0,_xlpm.oldcoeff-_xlpm.gam,IFERROR(MATCH(_xlpm.id,{"adp","h","pi"},0),0)&gt;0,_xlpm.oldcoeff+_xlpm.gam,TRUE,_xlpm.oldcoeff))</f>
        <v>-0.24280249866178658</v>
      </c>
      <c r="K39" t="str" cm="1">
        <f t="array" ref="K39">"BIOSYN-"&amp;_xlfn.IFS(IFERROR(MATCH(mets2721[[#This Row],[category]],{0,"0",""},0),0)&gt;0,mets2721[[#This Row],[name]],TRUE,mets2721[[#This Row],[category]]&amp;"-"&amp;mets2721[[#This Row],[name]])</f>
        <v>BIOSYN-PROT-iletrna_c</v>
      </c>
      <c r="L39" s="149" t="str" cm="1">
        <f t="array" ref="L39">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39" s="149" cm="1">
        <f t="array" ref="M3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-0.25152516214038539</v>
      </c>
      <c r="N39" s="149"/>
      <c r="O39" s="149"/>
      <c r="P39" s="149" t="str">
        <v>"atp_c":190.647337</v>
      </c>
      <c r="R39" s="149" t="str">
        <v>"atp_c":-190.647337</v>
      </c>
      <c r="S39" s="149"/>
      <c r="T39" s="149" t="str">
        <v>0.112806</v>
      </c>
      <c r="U39" s="149" t="str">
        <v>stcoa_c</v>
      </c>
      <c r="V39" s="149"/>
      <c r="AB39" t="str">
        <v>BIOSYN-DNA-dttp_c</v>
      </c>
      <c r="AC39" t="str">
        <v>MET-dttp_c --&gt; MET-ppi_c + 0.303185 BIO-dttp_c</v>
      </c>
      <c r="AD39" t="s">
        <v>1623</v>
      </c>
      <c r="AE39" t="b">
        <v>1</v>
      </c>
    </row>
    <row r="40" spans="1:31" ht="16" x14ac:dyDescent="0.2">
      <c r="A40" s="144" t="s">
        <v>1341</v>
      </c>
      <c r="B40" t="str">
        <f>SUBSTITUTE(_xlfn.TEXTBEFORE(mets2721[[#This Row],[pasted JSON metabolite keys and values from GSM biomass rxn]],":"),CHAR(34),"")</f>
        <v>k_c</v>
      </c>
      <c r="C40" t="str">
        <f>_xlfn.TEXTBEFORE(mets2721[[#This Row],[name]],"_",-1)</f>
        <v>k</v>
      </c>
      <c r="D40" t="str">
        <f>_xlfn.XLOOKUP(mets2721[[#This Row],[name w/o location]],metaboliteInfo[name w/o location],metaboliteInfo[suggested category],"")</f>
        <v>METAL</v>
      </c>
      <c r="E40" s="21">
        <f>_xlfn.XLOOKUP(mets2721[[#This Row],[name w/o location]],metaboliteInfo[name w/o location],metaboliteInfo[MW for biomass normalization (g/mol)],0)</f>
        <v>39.098300000000002</v>
      </c>
      <c r="F40" s="21">
        <f>_xlfn.NUMBERVALUE(SUBSTITUTE(_xlfn.TEXTAFTER(mets2721[[#This Row],[pasted JSON metabolite keys and values from GSM biomass rxn]],":"),",",""))</f>
        <v>-0.60365000000000002</v>
      </c>
      <c r="G40" s="21" cm="1">
        <f t="array" ref="G40">_xlfn.LET(_xlpm.id,mets2721[[#This Row],[name w/o location]],IF(IsElementOfSet_DIY(_xlpm.id,{"atp","adp","h","pi","h2o"}),SIGN(mets2721[[#This Row],[raw (GSM) coefficient]])*(ABS(mets2721[[#This Row],[raw (GSM) coefficient]])-$J$2),mets2721[[#This Row],[raw (GSM) coefficient]]))</f>
        <v>-0.60365000000000002</v>
      </c>
      <c r="H40" s="21">
        <f>mets2721[[#This Row],[coeff. w/o GAM]]</f>
        <v>-0.60365000000000002</v>
      </c>
      <c r="I40" s="161">
        <f t="shared" si="0"/>
        <v>-0.59897150506208641</v>
      </c>
      <c r="J40" s="21" cm="1">
        <f t="array" ref="J40">_xlfn.LET(_xlpm.id,mets2721[[#This Row],[name w/o location]],_xlpm.oldcoeff,mets2721[[#This Row],[normalized coeffs]],_xlpm.gam,$J$2-$G$2,_xlfn.IFS(IFERROR(MATCH(_xlpm.id,{"atp","h2o"},0),0)&gt;0,_xlpm.oldcoeff-_xlpm.gam,IFERROR(MATCH(_xlpm.id,{"adp","h","pi"},0),0)&gt;0,_xlpm.oldcoeff+_xlpm.gam,TRUE,_xlpm.oldcoeff))</f>
        <v>-0.59897150506208641</v>
      </c>
      <c r="K40" t="str" cm="1">
        <f t="array" ref="K40">"BIOSYN-"&amp;_xlfn.IFS(IFERROR(MATCH(mets2721[[#This Row],[category]],{0,"0",""},0),0)&gt;0,mets2721[[#This Row],[name]],TRUE,mets2721[[#This Row],[category]]&amp;"-"&amp;mets2721[[#This Row],[name]])</f>
        <v>BIOSYN-METAL-k_c</v>
      </c>
      <c r="L40" s="149" t="str" cm="1">
        <f t="array" ref="L40">IF(IsElementOfSet_DIY(mets2721[[#This Row],[category]],{"ignore","PROT"}),"",_xlfn.LET(_xlpm.mw,mets2721[[#This Row],[MW for biomass normalization (g/mol)]],"MET-"&amp;mets2721[[#This Row],[name]]&amp;" --&gt; "&amp;IF((mets2721[[#This Row],[category]]="DNA")+(mets2721[[#This Row],[category]]="RNA"),"MET-ppi_c + ","")&amp;ROUND(ABS(_xlpm.mw/1000),6)&amp;" BIO-"&amp;mets2721[[#This Row],[name]]))</f>
        <v>MET-k_c --&gt; 0.039098 BIO-k_c</v>
      </c>
      <c r="M40" s="149" cm="1">
        <f t="array" ref="M4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-0.58822850489566114</v>
      </c>
      <c r="N40" s="149"/>
      <c r="O40" s="149"/>
      <c r="P40" s="149" t="str">
        <v>"ca2_c":0.001286</v>
      </c>
      <c r="R40" s="149" t="str">
        <v>"ca2_c":-0.001286</v>
      </c>
      <c r="S40" s="149"/>
      <c r="T40" s="149" t="str">
        <v>0.048639</v>
      </c>
      <c r="U40" s="149" t="str">
        <v>ttccoa_c</v>
      </c>
      <c r="V40" s="149"/>
      <c r="AB40" t="str">
        <v>BIOSYN-LIPID-dag_c</v>
      </c>
      <c r="AC40" t="str">
        <v>MET-dag_c --&gt; 0.317078 BIO-dag_c</v>
      </c>
      <c r="AD40" t="s">
        <v>1624</v>
      </c>
      <c r="AE40" t="b">
        <v>1</v>
      </c>
    </row>
    <row r="41" spans="1:31" ht="16" x14ac:dyDescent="0.2">
      <c r="A41" s="144" t="s">
        <v>1342</v>
      </c>
      <c r="B41" t="str">
        <f>SUBSTITUTE(_xlfn.TEXTBEFORE(mets2721[[#This Row],[pasted JSON metabolite keys and values from GSM biomass rxn]],":"),CHAR(34),"")</f>
        <v>leutrna_c</v>
      </c>
      <c r="C41" t="str">
        <f>_xlfn.TEXTBEFORE(mets2721[[#This Row],[name]],"_",-1)</f>
        <v>leutrna</v>
      </c>
      <c r="D41" t="str">
        <f>_xlfn.XLOOKUP(mets2721[[#This Row],[name w/o location]],metaboliteInfo[name w/o location],metaboliteInfo[suggested category],"")</f>
        <v>PROT</v>
      </c>
      <c r="E41" s="21">
        <f>_xlfn.XLOOKUP(mets2721[[#This Row],[name w/o location]],metaboliteInfo[name w/o location],metaboliteInfo[MW for biomass normalization (g/mol)],0)</f>
        <v>114.16558000000001</v>
      </c>
      <c r="F41" s="21">
        <f>_xlfn.NUMBERVALUE(SUBSTITUTE(_xlfn.TEXTAFTER(mets2721[[#This Row],[pasted JSON metabolite keys and values from GSM biomass rxn]],":"),",",""))</f>
        <v>-0.33277400000000001</v>
      </c>
      <c r="G41" s="21" cm="1">
        <f t="array" ref="G41">_xlfn.LET(_xlpm.id,mets2721[[#This Row],[name w/o location]],IF(IsElementOfSet_DIY(_xlpm.id,{"atp","adp","h","pi","h2o"}),SIGN(mets2721[[#This Row],[raw (GSM) coefficient]])*(ABS(mets2721[[#This Row],[raw (GSM) coefficient]])-$J$2),mets2721[[#This Row],[raw (GSM) coefficient]]))</f>
        <v>-0.33277400000000001</v>
      </c>
      <c r="H41" s="21">
        <f>mets2721[[#This Row],[coeff. w/o GAM]]</f>
        <v>-0.33277400000000001</v>
      </c>
      <c r="I41" s="161">
        <f t="shared" si="0"/>
        <v>-0.33019488714574791</v>
      </c>
      <c r="J41" s="21" cm="1">
        <f t="array" ref="J41">_xlfn.LET(_xlpm.id,mets2721[[#This Row],[name w/o location]],_xlpm.oldcoeff,mets2721[[#This Row],[normalized coeffs]],_xlpm.gam,$J$2-$G$2,_xlfn.IFS(IFERROR(MATCH(_xlpm.id,{"atp","h2o"},0),0)&gt;0,_xlpm.oldcoeff-_xlpm.gam,IFERROR(MATCH(_xlpm.id,{"adp","h","pi"},0),0)&gt;0,_xlpm.oldcoeff+_xlpm.gam,TRUE,_xlpm.oldcoeff))</f>
        <v>-0.33019488714574791</v>
      </c>
      <c r="K41" t="str" cm="1">
        <f t="array" ref="K41">"BIOSYN-"&amp;_xlfn.IFS(IFERROR(MATCH(mets2721[[#This Row],[category]],{0,"0",""},0),0)&gt;0,mets2721[[#This Row],[name]],TRUE,mets2721[[#This Row],[category]]&amp;"-"&amp;mets2721[[#This Row],[name]])</f>
        <v>BIOSYN-PROT-leutrna_c</v>
      </c>
      <c r="L41" s="149" t="str" cm="1">
        <f t="array" ref="L41">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41" s="149" cm="1">
        <f t="array" ref="M4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-0.34205711631884317</v>
      </c>
      <c r="N41" s="149"/>
      <c r="O41" s="149"/>
      <c r="P41" s="149" t="str">
        <v>"chtn_c":0.016184</v>
      </c>
      <c r="R41" s="149" t="str">
        <v>"chtn_c":-0.016184</v>
      </c>
      <c r="S41" s="149"/>
      <c r="T41" s="149" t="str">
        <v>1</v>
      </c>
      <c r="U41" s="149" t="str">
        <v>coa_c</v>
      </c>
      <c r="V41" s="149"/>
      <c r="AB41" t="str">
        <v>BIOSYN-LIPID-docoscoa_c</v>
      </c>
      <c r="AC41" t="str">
        <v>MET-docoscoa_c --&gt; 1.086071 BIO-docoscoa_c</v>
      </c>
      <c r="AD41" t="s">
        <v>1625</v>
      </c>
      <c r="AE41" t="b">
        <v>1</v>
      </c>
    </row>
    <row r="42" spans="1:31" ht="16" x14ac:dyDescent="0.2">
      <c r="A42" s="144" t="s">
        <v>1374</v>
      </c>
      <c r="B42" t="str">
        <f>SUBSTITUTE(_xlfn.TEXTBEFORE(mets2721[[#This Row],[pasted JSON metabolite keys and values from GSM biomass rxn]],":"),CHAR(34),"")</f>
        <v>linocoa_c</v>
      </c>
      <c r="C42" t="str">
        <f>_xlfn.TEXTBEFORE(mets2721[[#This Row],[name]],"_",-1)</f>
        <v>linocoa</v>
      </c>
      <c r="D42" t="str">
        <f>_xlfn.XLOOKUP(mets2721[[#This Row],[name w/o location]],metaboliteInfo[name w/o location],metaboliteInfo[suggested category],"")</f>
        <v>LIPID</v>
      </c>
      <c r="E42" s="21">
        <f>_xlfn.XLOOKUP(mets2721[[#This Row],[name w/o location]],metaboliteInfo[name w/o location],metaboliteInfo[MW for biomass normalization (g/mol)],0)</f>
        <v>1025.9325630000001</v>
      </c>
      <c r="F42" s="21">
        <f>_xlfn.NUMBERVALUE(SUBSTITUTE(_xlfn.TEXTAFTER(mets2721[[#This Row],[pasted JSON metabolite keys and values from GSM biomass rxn]],":"),",",""))</f>
        <v>-2.6425835200000002E-4</v>
      </c>
      <c r="G42" s="21" cm="1">
        <f t="array" ref="G42">_xlfn.LET(_xlpm.id,mets2721[[#This Row],[name w/o location]],IF(IsElementOfSet_DIY(_xlpm.id,{"atp","adp","h","pi","h2o"}),SIGN(mets2721[[#This Row],[raw (GSM) coefficient]])*(ABS(mets2721[[#This Row],[raw (GSM) coefficient]])-$J$2),mets2721[[#This Row],[raw (GSM) coefficient]]))</f>
        <v>-2.6425835200000002E-4</v>
      </c>
      <c r="H42" s="21">
        <f>mets2721[[#This Row],[coeff. w/o GAM]]</f>
        <v>-2.6425835200000002E-4</v>
      </c>
      <c r="I42" s="161">
        <f t="shared" si="0"/>
        <v>-2.6221025896242293E-4</v>
      </c>
      <c r="J42" s="21" cm="1">
        <f t="array" ref="J42">_xlfn.LET(_xlpm.id,mets2721[[#This Row],[name w/o location]],_xlpm.oldcoeff,mets2721[[#This Row],[normalized coeffs]],_xlpm.gam,$J$2-$G$2,_xlfn.IFS(IFERROR(MATCH(_xlpm.id,{"atp","h2o"},0),0)&gt;0,_xlpm.oldcoeff-_xlpm.gam,IFERROR(MATCH(_xlpm.id,{"adp","h","pi"},0),0)&gt;0,_xlpm.oldcoeff+_xlpm.gam,TRUE,_xlpm.oldcoeff))</f>
        <v>-2.6221025896242293E-4</v>
      </c>
      <c r="K42" t="str" cm="1">
        <f t="array" ref="K42">"BIOSYN-"&amp;_xlfn.IFS(IFERROR(MATCH(mets2721[[#This Row],[category]],{0,"0",""},0),0)&gt;0,mets2721[[#This Row],[name]],TRUE,mets2721[[#This Row],[category]]&amp;"-"&amp;mets2721[[#This Row],[name]])</f>
        <v>BIOSYN-LIPID-linocoa_c</v>
      </c>
      <c r="L42" s="149" t="str" cm="1">
        <f t="array" ref="L42">IF(IsElementOfSet_DIY(mets2721[[#This Row],[category]],{"ignore","PROT"}),"",_xlfn.LET(_xlpm.mw,mets2721[[#This Row],[MW for biomass normalization (g/mol)]],"MET-"&amp;mets2721[[#This Row],[name]]&amp;" --&gt; "&amp;IF((mets2721[[#This Row],[category]]="DNA")+(mets2721[[#This Row],[category]]="RNA"),"MET-ppi_c + ","")&amp;ROUND(ABS(_xlpm.mw/1000),6)&amp;" BIO-"&amp;mets2721[[#This Row],[name]]))</f>
        <v>MET-linocoa_c --&gt; 1.025933 BIO-linocoa_c</v>
      </c>
      <c r="M42" s="149" cm="1">
        <f t="array" ref="M4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-2.5750732262594443E-4</v>
      </c>
      <c r="N42" s="149"/>
      <c r="O42" s="149"/>
      <c r="P42" s="149" t="str">
        <v>"ctp_c":0.119302</v>
      </c>
      <c r="R42" s="149" t="str">
        <v>"ctp_c":-0.119302</v>
      </c>
      <c r="S42" s="149"/>
      <c r="T42" s="149" t="str">
        <v>1</v>
      </c>
      <c r="U42" s="149" t="str">
        <v>ffabiom_c</v>
      </c>
      <c r="V42" s="149"/>
      <c r="AB42" t="str">
        <v>BIOSYN-LIPID-ergst_c</v>
      </c>
      <c r="AC42" t="str">
        <v>MET-ergst_c --&gt; 0.396648 BIO-ergst_c</v>
      </c>
      <c r="AD42" t="s">
        <v>1626</v>
      </c>
      <c r="AE42" t="b">
        <v>1</v>
      </c>
    </row>
    <row r="43" spans="1:31" ht="16" x14ac:dyDescent="0.2">
      <c r="A43" s="144" t="s">
        <v>1375</v>
      </c>
      <c r="B43" t="str">
        <f>SUBSTITUTE(_xlfn.TEXTBEFORE(mets2721[[#This Row],[pasted JSON metabolite keys and values from GSM biomass rxn]],":"),CHAR(34),"")</f>
        <v>linolncoa_c</v>
      </c>
      <c r="C43" t="str">
        <f>_xlfn.TEXTBEFORE(mets2721[[#This Row],[name]],"_",-1)</f>
        <v>linolncoa</v>
      </c>
      <c r="D43" t="str">
        <f>_xlfn.XLOOKUP(mets2721[[#This Row],[name w/o location]],metaboliteInfo[name w/o location],metaboliteInfo[suggested category],"")</f>
        <v>LIPID</v>
      </c>
      <c r="E43" s="21">
        <f>_xlfn.XLOOKUP(mets2721[[#This Row],[name w/o location]],metaboliteInfo[name w/o location],metaboliteInfo[MW for biomass normalization (g/mol)],0)</f>
        <v>1023.91668299999</v>
      </c>
      <c r="F43" s="21">
        <f>_xlfn.NUMBERVALUE(SUBSTITUTE(_xlfn.TEXTAFTER(mets2721[[#This Row],[pasted JSON metabolite keys and values from GSM biomass rxn]],":"),",",""))</f>
        <v>-6.5095715999999998E-5</v>
      </c>
      <c r="G43" s="21" cm="1">
        <f t="array" ref="G43">_xlfn.LET(_xlpm.id,mets2721[[#This Row],[name w/o location]],IF(IsElementOfSet_DIY(_xlpm.id,{"atp","adp","h","pi","h2o"}),SIGN(mets2721[[#This Row],[raw (GSM) coefficient]])*(ABS(mets2721[[#This Row],[raw (GSM) coefficient]])-$J$2),mets2721[[#This Row],[raw (GSM) coefficient]]))</f>
        <v>-6.5095715999999998E-5</v>
      </c>
      <c r="H43" s="21">
        <f>mets2721[[#This Row],[coeff. w/o GAM]]</f>
        <v>-6.5095715999999998E-5</v>
      </c>
      <c r="I43" s="161">
        <f t="shared" si="0"/>
        <v>-6.4591201831548306E-5</v>
      </c>
      <c r="J43" s="21" cm="1">
        <f t="array" ref="J43">_xlfn.LET(_xlpm.id,mets2721[[#This Row],[name w/o location]],_xlpm.oldcoeff,mets2721[[#This Row],[normalized coeffs]],_xlpm.gam,$J$2-$G$2,_xlfn.IFS(IFERROR(MATCH(_xlpm.id,{"atp","h2o"},0),0)&gt;0,_xlpm.oldcoeff-_xlpm.gam,IFERROR(MATCH(_xlpm.id,{"adp","h","pi"},0),0)&gt;0,_xlpm.oldcoeff+_xlpm.gam,TRUE,_xlpm.oldcoeff))</f>
        <v>-6.4591201831548306E-5</v>
      </c>
      <c r="K43" t="str" cm="1">
        <f t="array" ref="K43">"BIOSYN-"&amp;_xlfn.IFS(IFERROR(MATCH(mets2721[[#This Row],[category]],{0,"0",""},0),0)&gt;0,mets2721[[#This Row],[name]],TRUE,mets2721[[#This Row],[category]]&amp;"-"&amp;mets2721[[#This Row],[name]])</f>
        <v>BIOSYN-LIPID-linolncoa_c</v>
      </c>
      <c r="L43" s="149" t="str" cm="1">
        <f t="array" ref="L43">IF(IsElementOfSet_DIY(mets2721[[#This Row],[category]],{"ignore","PROT"}),"",_xlfn.LET(_xlpm.mw,mets2721[[#This Row],[MW for biomass normalization (g/mol)]],"MET-"&amp;mets2721[[#This Row],[name]]&amp;" --&gt; "&amp;IF((mets2721[[#This Row],[category]]="DNA")+(mets2721[[#This Row],[category]]="RNA"),"MET-ppi_c + ","")&amp;ROUND(ABS(_xlpm.mw/1000),6)&amp;" BIO-"&amp;mets2721[[#This Row],[name]]))</f>
        <v>MET-linolncoa_c --&gt; 1.023917 BIO-linolncoa_c</v>
      </c>
      <c r="M43" s="149" cm="1">
        <f t="array" ref="M4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-6.3432710507400919E-5</v>
      </c>
      <c r="N43" s="149"/>
      <c r="O43" s="149"/>
      <c r="P43" s="149" t="str">
        <v>"cu2_c":0.000114</v>
      </c>
      <c r="R43" s="149" t="str">
        <v>"cu2_c":-0.000114</v>
      </c>
      <c r="S43" s="149"/>
      <c r="T43" s="149" t="str">
        <v>1</v>
      </c>
      <c r="U43" s="149" t="str">
        <v>h_c</v>
      </c>
      <c r="V43" s="149"/>
      <c r="AB43" t="str">
        <v>BIOSYN-LIPID-ergstest_c</v>
      </c>
      <c r="AC43" t="str">
        <v>MET-ergstest_c --&gt; 0.660084 BIO-ergstest_c</v>
      </c>
      <c r="AD43" t="s">
        <v>1627</v>
      </c>
      <c r="AE43" t="b">
        <v>1</v>
      </c>
    </row>
    <row r="44" spans="1:31" ht="16" x14ac:dyDescent="0.2">
      <c r="A44" s="144" t="s">
        <v>1343</v>
      </c>
      <c r="B44" t="str">
        <f>SUBSTITUTE(_xlfn.TEXTBEFORE(mets2721[[#This Row],[pasted JSON metabolite keys and values from GSM biomass rxn]],":"),CHAR(34),"")</f>
        <v>lystrna_c</v>
      </c>
      <c r="C44" t="str">
        <f>_xlfn.TEXTBEFORE(mets2721[[#This Row],[name]],"_",-1)</f>
        <v>lystrna</v>
      </c>
      <c r="D44" t="str">
        <f>_xlfn.XLOOKUP(mets2721[[#This Row],[name w/o location]],metaboliteInfo[name w/o location],metaboliteInfo[suggested category],"")</f>
        <v>PROT</v>
      </c>
      <c r="E44" s="21">
        <f>_xlfn.XLOOKUP(mets2721[[#This Row],[name w/o location]],metaboliteInfo[name w/o location],metaboliteInfo[MW for biomass normalization (g/mol)],0)</f>
        <v>130.18816000000001</v>
      </c>
      <c r="F44" s="21">
        <f>_xlfn.NUMBERVALUE(SUBSTITUTE(_xlfn.TEXTAFTER(mets2721[[#This Row],[pasted JSON metabolite keys and values from GSM biomass rxn]],":"),",",""))</f>
        <v>-0.27295000000000003</v>
      </c>
      <c r="G44" s="21" cm="1">
        <f t="array" ref="G44">_xlfn.LET(_xlpm.id,mets2721[[#This Row],[name w/o location]],IF(IsElementOfSet_DIY(_xlpm.id,{"atp","adp","h","pi","h2o"}),SIGN(mets2721[[#This Row],[raw (GSM) coefficient]])*(ABS(mets2721[[#This Row],[raw (GSM) coefficient]])-$J$2),mets2721[[#This Row],[raw (GSM) coefficient]]))</f>
        <v>-0.27295000000000003</v>
      </c>
      <c r="H44" s="21">
        <f>mets2721[[#This Row],[coeff. w/o GAM]]</f>
        <v>-0.27295000000000003</v>
      </c>
      <c r="I44" s="161">
        <f t="shared" si="0"/>
        <v>-0.27083454370363041</v>
      </c>
      <c r="J44" s="21" cm="1">
        <f t="array" ref="J44">_xlfn.LET(_xlpm.id,mets2721[[#This Row],[name w/o location]],_xlpm.oldcoeff,mets2721[[#This Row],[normalized coeffs]],_xlpm.gam,$J$2-$G$2,_xlfn.IFS(IFERROR(MATCH(_xlpm.id,{"atp","h2o"},0),0)&gt;0,_xlpm.oldcoeff-_xlpm.gam,IFERROR(MATCH(_xlpm.id,{"adp","h","pi"},0),0)&gt;0,_xlpm.oldcoeff+_xlpm.gam,TRUE,_xlpm.oldcoeff))</f>
        <v>-0.27083454370363041</v>
      </c>
      <c r="K44" t="str" cm="1">
        <f t="array" ref="K44">"BIOSYN-"&amp;_xlfn.IFS(IFERROR(MATCH(mets2721[[#This Row],[category]],{0,"0",""},0),0)&gt;0,mets2721[[#This Row],[name]],TRUE,mets2721[[#This Row],[category]]&amp;"-"&amp;mets2721[[#This Row],[name]])</f>
        <v>BIOSYN-PROT-lystrna_c</v>
      </c>
      <c r="L44" s="149" t="str" cm="1">
        <f t="array" ref="L44">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44" s="149" cm="1">
        <f t="array" ref="M4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-0.28056425652012557</v>
      </c>
      <c r="N44" s="149"/>
      <c r="O44" s="149"/>
      <c r="P44" s="149" t="str">
        <v>"cys__L_c":0.005816</v>
      </c>
      <c r="R44" s="149" t="str">
        <v>"cystrna_c":-0.005816</v>
      </c>
      <c r="S44" s="149"/>
      <c r="T44" s="149"/>
      <c r="U44" s="149"/>
      <c r="V44" s="149"/>
      <c r="AB44" t="str">
        <v>BIOSYN-LIPID-hxccoa_c</v>
      </c>
      <c r="AC44" t="str">
        <v>MET-hxccoa_c --&gt; 1.142177 BIO-hxccoa_c</v>
      </c>
      <c r="AD44" t="s">
        <v>1628</v>
      </c>
      <c r="AE44" t="b">
        <v>1</v>
      </c>
    </row>
    <row r="45" spans="1:31" ht="16" x14ac:dyDescent="0.2">
      <c r="A45" s="144" t="s">
        <v>1344</v>
      </c>
      <c r="B45" t="str">
        <f>SUBSTITUTE(_xlfn.TEXTBEFORE(mets2721[[#This Row],[pasted JSON metabolite keys and values from GSM biomass rxn]],":"),CHAR(34),"")</f>
        <v>mannan_c</v>
      </c>
      <c r="C45" t="str">
        <f>_xlfn.TEXTBEFORE(mets2721[[#This Row],[name]],"_",-1)</f>
        <v>mannan</v>
      </c>
      <c r="D45" t="str">
        <f>_xlfn.XLOOKUP(mets2721[[#This Row],[name w/o location]],metaboliteInfo[name w/o location],metaboliteInfo[suggested category],"")</f>
        <v>CARB</v>
      </c>
      <c r="E45" s="21">
        <f>_xlfn.XLOOKUP(mets2721[[#This Row],[name w/o location]],metaboliteInfo[name w/o location],metaboliteInfo[MW for biomass normalization (g/mol)],0)</f>
        <v>162.14060000000001</v>
      </c>
      <c r="F45" s="21">
        <f>_xlfn.NUMBERVALUE(SUBSTITUTE(_xlfn.TEXTAFTER(mets2721[[#This Row],[pasted JSON metabolite keys and values from GSM biomass rxn]],":"),",",""))</f>
        <v>-0.49014999999999997</v>
      </c>
      <c r="G45" s="21" cm="1">
        <f t="array" ref="G45">_xlfn.LET(_xlpm.id,mets2721[[#This Row],[name w/o location]],IF(IsElementOfSet_DIY(_xlpm.id,{"atp","adp","h","pi","h2o"}),SIGN(mets2721[[#This Row],[raw (GSM) coefficient]])*(ABS(mets2721[[#This Row],[raw (GSM) coefficient]])-$J$2),mets2721[[#This Row],[raw (GSM) coefficient]]))</f>
        <v>-0.49014999999999997</v>
      </c>
      <c r="H45" s="21">
        <f>mets2721[[#This Row],[coeff. w/o GAM]]</f>
        <v>-0.49014999999999997</v>
      </c>
      <c r="I45" s="161">
        <f t="shared" si="0"/>
        <v>-0.4863511690651563</v>
      </c>
      <c r="J45" s="21" cm="1">
        <f t="array" ref="J45">_xlfn.LET(_xlpm.id,mets2721[[#This Row],[name w/o location]],_xlpm.oldcoeff,mets2721[[#This Row],[normalized coeffs]],_xlpm.gam,$J$2-$G$2,_xlfn.IFS(IFERROR(MATCH(_xlpm.id,{"atp","h2o"},0),0)&gt;0,_xlpm.oldcoeff-_xlpm.gam,IFERROR(MATCH(_xlpm.id,{"adp","h","pi"},0),0)&gt;0,_xlpm.oldcoeff+_xlpm.gam,TRUE,_xlpm.oldcoeff))</f>
        <v>-0.4863511690651563</v>
      </c>
      <c r="K45" t="str" cm="1">
        <f t="array" ref="K45">"BIOSYN-"&amp;_xlfn.IFS(IFERROR(MATCH(mets2721[[#This Row],[category]],{0,"0",""},0),0)&gt;0,mets2721[[#This Row],[name]],TRUE,mets2721[[#This Row],[category]]&amp;"-"&amp;mets2721[[#This Row],[name]])</f>
        <v>BIOSYN-CARB-mannan_c</v>
      </c>
      <c r="L45" s="149" t="str" cm="1">
        <f t="array" ref="L45">IF(IsElementOfSet_DIY(mets2721[[#This Row],[category]],{"ignore","PROT"}),"",_xlfn.LET(_xlpm.mw,mets2721[[#This Row],[MW for biomass normalization (g/mol)]],"MET-"&amp;mets2721[[#This Row],[name]]&amp;" --&gt; "&amp;IF((mets2721[[#This Row],[category]]="DNA")+(mets2721[[#This Row],[category]]="RNA"),"MET-ppi_c + ","")&amp;ROUND(ABS(_xlpm.mw/1000),6)&amp;" BIO-"&amp;mets2721[[#This Row],[name]]))</f>
        <v>MET-mannan_c --&gt; 0.162141 BIO-mannan_c</v>
      </c>
      <c r="M45" s="149" cm="1">
        <f t="array" ref="M4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-0.47762809852498672</v>
      </c>
      <c r="N45" s="149"/>
      <c r="O45" s="149"/>
      <c r="P45" s="149" t="str">
        <v>"datp_c":0.006009</v>
      </c>
      <c r="R45" s="149" t="str">
        <v>"datp_c":-0.006009</v>
      </c>
      <c r="S45" s="149"/>
      <c r="T45" s="149" cm="1">
        <f t="array" ref="T45:T55">_xlfn.CHOOSECOLS(_xlfn.ANCHORARRAY(T33),1)*0.000743</f>
        <v>1.3931249999999998E-5</v>
      </c>
      <c r="U45" s="149"/>
      <c r="V45" s="149"/>
      <c r="AB45" t="str">
        <v>BIOSYN-LIPID-linocoa_c</v>
      </c>
      <c r="AC45" t="str">
        <v>MET-linocoa_c --&gt; 1.025933 BIO-linocoa_c</v>
      </c>
      <c r="AD45" t="s">
        <v>1629</v>
      </c>
      <c r="AE45" t="b">
        <v>1</v>
      </c>
    </row>
    <row r="46" spans="1:31" ht="16" x14ac:dyDescent="0.2">
      <c r="A46" s="144" t="s">
        <v>1345</v>
      </c>
      <c r="B46" t="str">
        <f>SUBSTITUTE(_xlfn.TEXTBEFORE(mets2721[[#This Row],[pasted JSON metabolite keys and values from GSM biomass rxn]],":"),CHAR(34),"")</f>
        <v>mettrna_c</v>
      </c>
      <c r="C46" t="str">
        <f>_xlfn.TEXTBEFORE(mets2721[[#This Row],[name]],"_",-1)</f>
        <v>mettrna</v>
      </c>
      <c r="D46" t="str">
        <f>_xlfn.XLOOKUP(mets2721[[#This Row],[name w/o location]],metaboliteInfo[name w/o location],metaboliteInfo[suggested category],"")</f>
        <v>PROT</v>
      </c>
      <c r="E46" s="21">
        <f>_xlfn.XLOOKUP(mets2721[[#This Row],[name w/o location]],metaboliteInfo[name w/o location],metaboliteInfo[MW for biomass normalization (g/mol)],0)</f>
        <v>132.20400000000001</v>
      </c>
      <c r="F46" s="21">
        <f>_xlfn.NUMBERVALUE(SUBSTITUTE(_xlfn.TEXTAFTER(mets2721[[#This Row],[pasted JSON metabolite keys and values from GSM biomass rxn]],":"),",",""))</f>
        <v>-4.7361E-2</v>
      </c>
      <c r="G46" s="21" cm="1">
        <f t="array" ref="G46">_xlfn.LET(_xlpm.id,mets2721[[#This Row],[name w/o location]],IF(IsElementOfSet_DIY(_xlpm.id,{"atp","adp","h","pi","h2o"}),SIGN(mets2721[[#This Row],[raw (GSM) coefficient]])*(ABS(mets2721[[#This Row],[raw (GSM) coefficient]])-$J$2),mets2721[[#This Row],[raw (GSM) coefficient]]))</f>
        <v>-4.7361E-2</v>
      </c>
      <c r="H46" s="21">
        <f>mets2721[[#This Row],[coeff. w/o GAM]]</f>
        <v>-4.7361E-2</v>
      </c>
      <c r="I46" s="161">
        <f t="shared" si="0"/>
        <v>-4.6993935974895172E-2</v>
      </c>
      <c r="J46" s="21" cm="1">
        <f t="array" ref="J46">_xlfn.LET(_xlpm.id,mets2721[[#This Row],[name w/o location]],_xlpm.oldcoeff,mets2721[[#This Row],[normalized coeffs]],_xlpm.gam,$J$2-$G$2,_xlfn.IFS(IFERROR(MATCH(_xlpm.id,{"atp","h2o"},0),0)&gt;0,_xlpm.oldcoeff-_xlpm.gam,IFERROR(MATCH(_xlpm.id,{"adp","h","pi"},0),0)&gt;0,_xlpm.oldcoeff+_xlpm.gam,TRUE,_xlpm.oldcoeff))</f>
        <v>-4.6993935974895172E-2</v>
      </c>
      <c r="K46" t="str" cm="1">
        <f t="array" ref="K46">"BIOSYN-"&amp;_xlfn.IFS(IFERROR(MATCH(mets2721[[#This Row],[category]],{0,"0",""},0),0)&gt;0,mets2721[[#This Row],[name]],TRUE,mets2721[[#This Row],[category]]&amp;"-"&amp;mets2721[[#This Row],[name]])</f>
        <v>BIOSYN-PROT-mettrna_c</v>
      </c>
      <c r="L46" s="149" t="str" cm="1">
        <f t="array" ref="L46">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46" s="149" cm="1">
        <f t="array" ref="M4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-4.868218997270439E-2</v>
      </c>
      <c r="N46" s="149"/>
      <c r="O46" s="149"/>
      <c r="P46" s="149" t="str">
        <v>"dctp_c":0.009379</v>
      </c>
      <c r="R46" s="149" t="str">
        <v>"dctp_c":-0.009379</v>
      </c>
      <c r="S46" s="149"/>
      <c r="T46" s="149">
        <v>7.4299999999999995E-4</v>
      </c>
      <c r="U46" s="149"/>
      <c r="V46" s="149"/>
      <c r="AB46" t="str">
        <v>BIOSYN-LIPID-linolncoa_c</v>
      </c>
      <c r="AC46" t="str">
        <v>MET-linolncoa_c --&gt; 1.023917 BIO-linolncoa_c</v>
      </c>
      <c r="AD46" t="s">
        <v>1630</v>
      </c>
      <c r="AE46" t="b">
        <v>1</v>
      </c>
    </row>
    <row r="47" spans="1:31" ht="16" x14ac:dyDescent="0.2">
      <c r="A47" s="144" t="s">
        <v>1346</v>
      </c>
      <c r="B47" t="str">
        <f>SUBSTITUTE(_xlfn.TEXTBEFORE(mets2721[[#This Row],[pasted JSON metabolite keys and values from GSM biomass rxn]],":"),CHAR(34),"")</f>
        <v>mg2_c</v>
      </c>
      <c r="C47" t="str">
        <f>_xlfn.TEXTBEFORE(mets2721[[#This Row],[name]],"_",-1)</f>
        <v>mg2</v>
      </c>
      <c r="D47" t="str">
        <f>_xlfn.XLOOKUP(mets2721[[#This Row],[name w/o location]],metaboliteInfo[name w/o location],metaboliteInfo[suggested category],"")</f>
        <v>METAL</v>
      </c>
      <c r="E47" s="21">
        <f>_xlfn.XLOOKUP(mets2721[[#This Row],[name w/o location]],metaboliteInfo[name w/o location],metaboliteInfo[MW for biomass normalization (g/mol)],0)</f>
        <v>24.305</v>
      </c>
      <c r="F47" s="21">
        <f>_xlfn.NUMBERVALUE(SUBSTITUTE(_xlfn.TEXTAFTER(mets2721[[#This Row],[pasted JSON metabolite keys and values from GSM biomass rxn]],":"),",",""))</f>
        <v>-6.3606999999999997E-2</v>
      </c>
      <c r="G47" s="21" cm="1">
        <f t="array" ref="G47">_xlfn.LET(_xlpm.id,mets2721[[#This Row],[name w/o location]],IF(IsElementOfSet_DIY(_xlpm.id,{"atp","adp","h","pi","h2o"}),SIGN(mets2721[[#This Row],[raw (GSM) coefficient]])*(ABS(mets2721[[#This Row],[raw (GSM) coefficient]])-$J$2),mets2721[[#This Row],[raw (GSM) coefficient]]))</f>
        <v>-6.3606999999999997E-2</v>
      </c>
      <c r="H47" s="21">
        <f>mets2721[[#This Row],[coeff. w/o GAM]]</f>
        <v>-6.3606999999999997E-2</v>
      </c>
      <c r="I47" s="161">
        <f t="shared" si="0"/>
        <v>-6.311402389212975E-2</v>
      </c>
      <c r="J47" s="21" cm="1">
        <f t="array" ref="J47">_xlfn.LET(_xlpm.id,mets2721[[#This Row],[name w/o location]],_xlpm.oldcoeff,mets2721[[#This Row],[normalized coeffs]],_xlpm.gam,$J$2-$G$2,_xlfn.IFS(IFERROR(MATCH(_xlpm.id,{"atp","h2o"},0),0)&gt;0,_xlpm.oldcoeff-_xlpm.gam,IFERROR(MATCH(_xlpm.id,{"adp","h","pi"},0),0)&gt;0,_xlpm.oldcoeff+_xlpm.gam,TRUE,_xlpm.oldcoeff))</f>
        <v>-6.311402389212975E-2</v>
      </c>
      <c r="K47" t="str" cm="1">
        <f t="array" ref="K47">"BIOSYN-"&amp;_xlfn.IFS(IFERROR(MATCH(mets2721[[#This Row],[category]],{0,"0",""},0),0)&gt;0,mets2721[[#This Row],[name]],TRUE,mets2721[[#This Row],[category]]&amp;"-"&amp;mets2721[[#This Row],[name]])</f>
        <v>BIOSYN-METAL-mg2_c</v>
      </c>
      <c r="L47" s="149" t="str" cm="1">
        <f t="array" ref="L47">IF(IsElementOfSet_DIY(mets2721[[#This Row],[category]],{"ignore","PROT"}),"",_xlfn.LET(_xlpm.mw,mets2721[[#This Row],[MW for biomass normalization (g/mol)]],"MET-"&amp;mets2721[[#This Row],[name]]&amp;" --&gt; "&amp;IF((mets2721[[#This Row],[category]]="DNA")+(mets2721[[#This Row],[category]]="RNA"),"MET-ppi_c + ","")&amp;ROUND(ABS(_xlpm.mw/1000),6)&amp;" BIO-"&amp;mets2721[[#This Row],[name]]))</f>
        <v>MET-mg2_c --&gt; 0.024305 BIO-mg2_c</v>
      </c>
      <c r="M47" s="149" cm="1">
        <f t="array" ref="M4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-6.1982026854797166E-2</v>
      </c>
      <c r="N47" s="149"/>
      <c r="O47" s="149"/>
      <c r="P47" s="149" t="str">
        <v>"dgtp_c":0.009379</v>
      </c>
      <c r="R47" s="149" t="str">
        <v>"dgtp_c":-0.009379</v>
      </c>
      <c r="S47" s="149"/>
      <c r="T47" s="149">
        <v>2.6425835199999997E-4</v>
      </c>
      <c r="U47" s="149"/>
      <c r="V47" s="149"/>
      <c r="AB47" t="str">
        <v>BIOSYN-LIPID-odecoa_c</v>
      </c>
      <c r="AC47" t="str">
        <v>MET-odecoa_c --&gt; 1.027948 BIO-odecoa_c</v>
      </c>
      <c r="AD47" t="s">
        <v>1631</v>
      </c>
      <c r="AE47" t="b">
        <v>1</v>
      </c>
    </row>
    <row r="48" spans="1:31" ht="16" x14ac:dyDescent="0.2">
      <c r="A48" s="144" t="s">
        <v>1376</v>
      </c>
      <c r="B48" t="str">
        <f>SUBSTITUTE(_xlfn.TEXTBEFORE(mets2721[[#This Row],[pasted JSON metabolite keys and values from GSM biomass rxn]],":"),CHAR(34),"")</f>
        <v>mn2_c</v>
      </c>
      <c r="C48" t="str">
        <f>_xlfn.TEXTBEFORE(mets2721[[#This Row],[name]],"_",-1)</f>
        <v>mn2</v>
      </c>
      <c r="D48" t="str">
        <f>_xlfn.XLOOKUP(mets2721[[#This Row],[name w/o location]],metaboliteInfo[name w/o location],metaboliteInfo[suggested category],"")</f>
        <v>METAL</v>
      </c>
      <c r="E48" s="21">
        <f>_xlfn.XLOOKUP(mets2721[[#This Row],[name w/o location]],metaboliteInfo[name w/o location],metaboliteInfo[MW for biomass normalization (g/mol)],0)</f>
        <v>54.938043999999998</v>
      </c>
      <c r="F48" s="21">
        <f>_xlfn.NUMBERVALUE(SUBSTITUTE(_xlfn.TEXTAFTER(mets2721[[#This Row],[pasted JSON metabolite keys and values from GSM biomass rxn]],":"),",",""))</f>
        <v>-9.3999999999999994E-5</v>
      </c>
      <c r="G48" s="21" cm="1">
        <f t="array" ref="G48">_xlfn.LET(_xlpm.id,mets2721[[#This Row],[name w/o location]],IF(IsElementOfSet_DIY(_xlpm.id,{"atp","adp","h","pi","h2o"}),SIGN(mets2721[[#This Row],[raw (GSM) coefficient]])*(ABS(mets2721[[#This Row],[raw (GSM) coefficient]])-$J$2),mets2721[[#This Row],[raw (GSM) coefficient]]))</f>
        <v>-9.3999999999999994E-5</v>
      </c>
      <c r="H48" s="21">
        <f>mets2721[[#This Row],[coeff. w/o GAM]]</f>
        <v>-9.3999999999999994E-5</v>
      </c>
      <c r="I48" s="161">
        <f t="shared" si="0"/>
        <v>-9.3271467697897983E-5</v>
      </c>
      <c r="J48" s="21" cm="1">
        <f t="array" ref="J48">_xlfn.LET(_xlpm.id,mets2721[[#This Row],[name w/o location]],_xlpm.oldcoeff,mets2721[[#This Row],[normalized coeffs]],_xlpm.gam,$J$2-$G$2,_xlfn.IFS(IFERROR(MATCH(_xlpm.id,{"atp","h2o"},0),0)&gt;0,_xlpm.oldcoeff-_xlpm.gam,IFERROR(MATCH(_xlpm.id,{"adp","h","pi"},0),0)&gt;0,_xlpm.oldcoeff+_xlpm.gam,TRUE,_xlpm.oldcoeff))</f>
        <v>-9.3271467697897983E-5</v>
      </c>
      <c r="K48" t="str" cm="1">
        <f t="array" ref="K48">"BIOSYN-"&amp;_xlfn.IFS(IFERROR(MATCH(mets2721[[#This Row],[category]],{0,"0",""},0),0)&gt;0,mets2721[[#This Row],[name]],TRUE,mets2721[[#This Row],[category]]&amp;"-"&amp;mets2721[[#This Row],[name]])</f>
        <v>BIOSYN-METAL-mn2_c</v>
      </c>
      <c r="L48" s="149" t="str" cm="1">
        <f t="array" ref="L48">IF(IsElementOfSet_DIY(mets2721[[#This Row],[category]],{"ignore","PROT"}),"",_xlfn.LET(_xlpm.mw,mets2721[[#This Row],[MW for biomass normalization (g/mol)]],"MET-"&amp;mets2721[[#This Row],[name]]&amp;" --&gt; "&amp;IF((mets2721[[#This Row],[category]]="DNA")+(mets2721[[#This Row],[category]]="RNA"),"MET-ppi_c + ","")&amp;ROUND(ABS(_xlpm.mw/1000),6)&amp;" BIO-"&amp;mets2721[[#This Row],[name]]))</f>
        <v>MET-mn2_c --&gt; 0.054938 BIO-mn2_c</v>
      </c>
      <c r="M48" s="149" cm="1">
        <f t="array" ref="M4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-9.1598574439148754E-5</v>
      </c>
      <c r="N48" s="149"/>
      <c r="O48" s="149"/>
      <c r="P48" s="149" t="str">
        <v>"dttp_c":0.006009</v>
      </c>
      <c r="R48" s="149" t="str">
        <v>"dttp_c":-0.006009</v>
      </c>
      <c r="S48" s="149"/>
      <c r="T48" s="149">
        <v>6.5095715999999998E-5</v>
      </c>
      <c r="U48" s="149"/>
      <c r="V48" s="149"/>
      <c r="AB48" t="str">
        <v>BIOSYN-LIPID-pail_c</v>
      </c>
      <c r="AC48" t="str">
        <v>MET-pail_c --&gt; 0.862149 BIO-pail_c</v>
      </c>
      <c r="AD48" t="s">
        <v>1632</v>
      </c>
      <c r="AE48" t="b">
        <v>1</v>
      </c>
    </row>
    <row r="49" spans="1:31" ht="16" x14ac:dyDescent="0.2">
      <c r="A49" s="144" t="s">
        <v>1377</v>
      </c>
      <c r="B49" t="str">
        <f>SUBSTITUTE(_xlfn.TEXTBEFORE(mets2721[[#This Row],[pasted JSON metabolite keys and values from GSM biomass rxn]],":"),CHAR(34),"")</f>
        <v>nadp_c</v>
      </c>
      <c r="C49" t="str">
        <f>_xlfn.TEXTBEFORE(mets2721[[#This Row],[name]],"_",-1)</f>
        <v>nadp</v>
      </c>
      <c r="D49" t="str">
        <f>_xlfn.XLOOKUP(mets2721[[#This Row],[name w/o location]],metaboliteInfo[name w/o location],metaboliteInfo[suggested category],"")</f>
        <v>COFACTOR</v>
      </c>
      <c r="E49" s="21">
        <f>_xlfn.XLOOKUP(mets2721[[#This Row],[name w/o location]],metaboliteInfo[name w/o location],metaboliteInfo[MW for biomass normalization (g/mol)],0)</f>
        <v>740.38118299999996</v>
      </c>
      <c r="F49" s="21">
        <f>_xlfn.NUMBERVALUE(SUBSTITUTE(_xlfn.TEXTAFTER(mets2721[[#This Row],[pasted JSON metabolite keys and values from GSM biomass rxn]],":"),",",""))</f>
        <v>3.0000000000000001E-3</v>
      </c>
      <c r="G49" s="21" cm="1">
        <f t="array" ref="G49">_xlfn.LET(_xlpm.id,mets2721[[#This Row],[name w/o location]],IF(IsElementOfSet_DIY(_xlpm.id,{"atp","adp","h","pi","h2o"}),SIGN(mets2721[[#This Row],[raw (GSM) coefficient]])*(ABS(mets2721[[#This Row],[raw (GSM) coefficient]])-$J$2),mets2721[[#This Row],[raw (GSM) coefficient]]))</f>
        <v>3.0000000000000001E-3</v>
      </c>
      <c r="H49" s="21">
        <f>mets2721[[#This Row],[coeff. w/o GAM]]</f>
        <v>3.0000000000000001E-3</v>
      </c>
      <c r="I49" s="161">
        <f t="shared" si="0"/>
        <v>2.9767489690818508E-3</v>
      </c>
      <c r="J49" s="21" cm="1">
        <f t="array" ref="J49">_xlfn.LET(_xlpm.id,mets2721[[#This Row],[name w/o location]],_xlpm.oldcoeff,mets2721[[#This Row],[normalized coeffs]],_xlpm.gam,$J$2-$G$2,_xlfn.IFS(IFERROR(MATCH(_xlpm.id,{"atp","h2o"},0),0)&gt;0,_xlpm.oldcoeff-_xlpm.gam,IFERROR(MATCH(_xlpm.id,{"adp","h","pi"},0),0)&gt;0,_xlpm.oldcoeff+_xlpm.gam,TRUE,_xlpm.oldcoeff))</f>
        <v>2.9767489690818508E-3</v>
      </c>
      <c r="K49" t="str" cm="1">
        <f t="array" ref="K49">"BIOSYN-"&amp;_xlfn.IFS(IFERROR(MATCH(mets2721[[#This Row],[category]],{0,"0",""},0),0)&gt;0,mets2721[[#This Row],[name]],TRUE,mets2721[[#This Row],[category]]&amp;"-"&amp;mets2721[[#This Row],[name]])</f>
        <v>BIOSYN-COFACTOR-nadp_c</v>
      </c>
      <c r="L49" s="149" t="str" cm="1">
        <f t="array" ref="L49">IF(IsElementOfSet_DIY(mets2721[[#This Row],[category]],{"ignore","PROT"}),"",_xlfn.LET(_xlpm.mw,mets2721[[#This Row],[MW for biomass normalization (g/mol)]],"MET-"&amp;mets2721[[#This Row],[name]]&amp;" --&gt; "&amp;IF((mets2721[[#This Row],[category]]="DNA")+(mets2721[[#This Row],[category]]="RNA"),"MET-ppi_c + ","")&amp;ROUND(ABS(_xlpm.mw/1000),6)&amp;" BIO-"&amp;mets2721[[#This Row],[name]]))</f>
        <v>MET-nadp_c --&gt; 0.740381 BIO-nadp_c</v>
      </c>
      <c r="M49" s="149" cm="1">
        <f t="array" ref="M4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2.9233587586962369E-3</v>
      </c>
      <c r="N49" s="149"/>
      <c r="O49" s="149"/>
      <c r="P49" s="149" t="str">
        <v>"ergst_c":0.042867</v>
      </c>
      <c r="R49" s="149" t="str">
        <v>"ergst_c":-0.042867</v>
      </c>
      <c r="S49" s="149"/>
      <c r="T49" s="149">
        <v>1.53896847E-4</v>
      </c>
      <c r="U49" s="149"/>
      <c r="V49" s="149"/>
      <c r="AB49" t="str">
        <v>BIOSYN-LIPID-pc_c</v>
      </c>
      <c r="AC49" t="str">
        <v>MET-pc_c --&gt; 0.786166 BIO-pc_c</v>
      </c>
      <c r="AD49" t="s">
        <v>1633</v>
      </c>
      <c r="AE49" t="b">
        <v>1</v>
      </c>
    </row>
    <row r="50" spans="1:31" ht="16" x14ac:dyDescent="0.2">
      <c r="A50" s="144" t="s">
        <v>1378</v>
      </c>
      <c r="B50" t="str">
        <f>SUBSTITUTE(_xlfn.TEXTBEFORE(mets2721[[#This Row],[pasted JSON metabolite keys and values from GSM biomass rxn]],":"),CHAR(34),"")</f>
        <v>nadph_c</v>
      </c>
      <c r="C50" t="str">
        <f>_xlfn.TEXTBEFORE(mets2721[[#This Row],[name]],"_",-1)</f>
        <v>nadph</v>
      </c>
      <c r="D50" t="str">
        <f>_xlfn.XLOOKUP(mets2721[[#This Row],[name w/o location]],metaboliteInfo[name w/o location],metaboliteInfo[suggested category],"")</f>
        <v>COFACTOR</v>
      </c>
      <c r="E50" s="21">
        <f>_xlfn.XLOOKUP(mets2721[[#This Row],[name w/o location]],metaboliteInfo[name w/o location],metaboliteInfo[MW for biomass normalization (g/mol)],0)</f>
        <v>741.38912300000004</v>
      </c>
      <c r="F50" s="21">
        <f>_xlfn.NUMBERVALUE(SUBSTITUTE(_xlfn.TEXTAFTER(mets2721[[#This Row],[pasted JSON metabolite keys and values from GSM biomass rxn]],":"),",",""))</f>
        <v>-3.0000000000000001E-3</v>
      </c>
      <c r="G50" s="21" cm="1">
        <f t="array" ref="G50">_xlfn.LET(_xlpm.id,mets2721[[#This Row],[name w/o location]],IF(IsElementOfSet_DIY(_xlpm.id,{"atp","adp","h","pi","h2o"}),SIGN(mets2721[[#This Row],[raw (GSM) coefficient]])*(ABS(mets2721[[#This Row],[raw (GSM) coefficient]])-$J$2),mets2721[[#This Row],[raw (GSM) coefficient]]))</f>
        <v>-3.0000000000000001E-3</v>
      </c>
      <c r="H50" s="21">
        <f>mets2721[[#This Row],[coeff. w/o GAM]]</f>
        <v>-3.0000000000000001E-3</v>
      </c>
      <c r="I50" s="161">
        <f t="shared" si="0"/>
        <v>-2.9767489690818508E-3</v>
      </c>
      <c r="J50" s="21" cm="1">
        <f t="array" ref="J50">_xlfn.LET(_xlpm.id,mets2721[[#This Row],[name w/o location]],_xlpm.oldcoeff,mets2721[[#This Row],[normalized coeffs]],_xlpm.gam,$J$2-$G$2,_xlfn.IFS(IFERROR(MATCH(_xlpm.id,{"atp","h2o"},0),0)&gt;0,_xlpm.oldcoeff-_xlpm.gam,IFERROR(MATCH(_xlpm.id,{"adp","h","pi"},0),0)&gt;0,_xlpm.oldcoeff+_xlpm.gam,TRUE,_xlpm.oldcoeff))</f>
        <v>-2.9767489690818508E-3</v>
      </c>
      <c r="K50" t="str" cm="1">
        <f t="array" ref="K50">"BIOSYN-"&amp;_xlfn.IFS(IFERROR(MATCH(mets2721[[#This Row],[category]],{0,"0",""},0),0)&gt;0,mets2721[[#This Row],[name]],TRUE,mets2721[[#This Row],[category]]&amp;"-"&amp;mets2721[[#This Row],[name]])</f>
        <v>BIOSYN-COFACTOR-nadph_c</v>
      </c>
      <c r="L50" s="149" t="str" cm="1">
        <f t="array" ref="L50">IF(IsElementOfSet_DIY(mets2721[[#This Row],[category]],{"ignore","PROT"}),"",_xlfn.LET(_xlpm.mw,mets2721[[#This Row],[MW for biomass normalization (g/mol)]],"MET-"&amp;mets2721[[#This Row],[name]]&amp;" --&gt; "&amp;IF((mets2721[[#This Row],[category]]="DNA")+(mets2721[[#This Row],[category]]="RNA"),"MET-ppi_c + ","")&amp;ROUND(ABS(_xlpm.mw/1000),6)&amp;" BIO-"&amp;mets2721[[#This Row],[name]]))</f>
        <v>MET-nadph_c --&gt; 0.741389 BIO-nadph_c</v>
      </c>
      <c r="M50" s="149" cm="1">
        <f t="array" ref="M5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-2.9233587586962369E-3</v>
      </c>
      <c r="N50" s="149"/>
      <c r="O50" s="149"/>
      <c r="P50" s="149" t="str">
        <v>"ergstest_c":0.010634</v>
      </c>
      <c r="R50" s="149" t="str">
        <v>"ergstest_c":-0.010634</v>
      </c>
      <c r="S50" s="149"/>
      <c r="T50" s="149">
        <v>1.2586419999999999E-4</v>
      </c>
      <c r="U50" s="149"/>
      <c r="V50" s="149"/>
      <c r="AB50" t="str">
        <v>BIOSYN-LIPID-pe_c</v>
      </c>
      <c r="AC50" t="str">
        <v>MET-pe_c --&gt; 0.744086 BIO-pe_c</v>
      </c>
      <c r="AD50" t="s">
        <v>1634</v>
      </c>
      <c r="AE50" t="b">
        <v>1</v>
      </c>
    </row>
    <row r="51" spans="1:31" ht="16" x14ac:dyDescent="0.2">
      <c r="A51" s="144" t="s">
        <v>1379</v>
      </c>
      <c r="B51" t="str">
        <f>SUBSTITUTE(_xlfn.TEXTBEFORE(mets2721[[#This Row],[pasted JSON metabolite keys and values from GSM biomass rxn]],":"),CHAR(34),"")</f>
        <v>o2_c</v>
      </c>
      <c r="C51" t="str">
        <f>_xlfn.TEXTBEFORE(mets2721[[#This Row],[name]],"_",-1)</f>
        <v>o2</v>
      </c>
      <c r="D51" t="str">
        <f>_xlfn.XLOOKUP(mets2721[[#This Row],[name w/o location]],metaboliteInfo[name w/o location],metaboliteInfo[suggested category],"")</f>
        <v>other</v>
      </c>
      <c r="E51" s="21">
        <f>_xlfn.XLOOKUP(mets2721[[#This Row],[name w/o location]],metaboliteInfo[name w/o location],metaboliteInfo[MW for biomass normalization (g/mol)],0)</f>
        <v>31.998799999999999</v>
      </c>
      <c r="F51" s="21">
        <f>_xlfn.NUMBERVALUE(SUBSTITUTE(_xlfn.TEXTAFTER(mets2721[[#This Row],[pasted JSON metabolite keys and values from GSM biomass rxn]],":"),",",""))</f>
        <v>-1E-3</v>
      </c>
      <c r="G51" s="21" cm="1">
        <f t="array" ref="G51">_xlfn.LET(_xlpm.id,mets2721[[#This Row],[name w/o location]],IF(IsElementOfSet_DIY(_xlpm.id,{"atp","adp","h","pi","h2o"}),SIGN(mets2721[[#This Row],[raw (GSM) coefficient]])*(ABS(mets2721[[#This Row],[raw (GSM) coefficient]])-$J$2),mets2721[[#This Row],[raw (GSM) coefficient]]))</f>
        <v>-1E-3</v>
      </c>
      <c r="H51" s="21">
        <f>mets2721[[#This Row],[coeff. w/o GAM]]</f>
        <v>-1E-3</v>
      </c>
      <c r="I51" s="161">
        <f t="shared" si="0"/>
        <v>-9.9224965636061685E-4</v>
      </c>
      <c r="J51" s="21" cm="1">
        <f t="array" ref="J51">_xlfn.LET(_xlpm.id,mets2721[[#This Row],[name w/o location]],_xlpm.oldcoeff,mets2721[[#This Row],[normalized coeffs]],_xlpm.gam,$J$2-$G$2,_xlfn.IFS(IFERROR(MATCH(_xlpm.id,{"atp","h2o"},0),0)&gt;0,_xlpm.oldcoeff-_xlpm.gam,IFERROR(MATCH(_xlpm.id,{"adp","h","pi"},0),0)&gt;0,_xlpm.oldcoeff+_xlpm.gam,TRUE,_xlpm.oldcoeff))</f>
        <v>-9.9224965636061685E-4</v>
      </c>
      <c r="K51" t="str" cm="1">
        <f t="array" ref="K51">"BIOSYN-"&amp;_xlfn.IFS(IFERROR(MATCH(mets2721[[#This Row],[category]],{0,"0",""},0),0)&gt;0,mets2721[[#This Row],[name]],TRUE,mets2721[[#This Row],[category]]&amp;"-"&amp;mets2721[[#This Row],[name]])</f>
        <v>BIOSYN-other-o2_c</v>
      </c>
      <c r="L51" s="149" t="str" cm="1">
        <f t="array" ref="L51">IF(IsElementOfSet_DIY(mets2721[[#This Row],[category]],{"ignore","PROT"}),"",_xlfn.LET(_xlpm.mw,mets2721[[#This Row],[MW for biomass normalization (g/mol)]],"MET-"&amp;mets2721[[#This Row],[name]]&amp;" --&gt; "&amp;IF((mets2721[[#This Row],[category]]="DNA")+(mets2721[[#This Row],[category]]="RNA"),"MET-ppi_c + ","")&amp;ROUND(ABS(_xlpm.mw/1000),6)&amp;" BIO-"&amp;mets2721[[#This Row],[name]]))</f>
        <v>MET-o2_c --&gt; 0.031999 BIO-o2_c</v>
      </c>
      <c r="M51" s="149" cm="1">
        <f t="array" ref="M5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-9.744529195654121E-4</v>
      </c>
      <c r="N51" s="149"/>
      <c r="O51" s="149"/>
      <c r="P51" s="149" t="str">
        <v>"fe2_c":0.000664</v>
      </c>
      <c r="R51" s="149" t="str">
        <v>"fe2_c":-0.000664</v>
      </c>
      <c r="S51" s="149"/>
      <c r="T51" s="149">
        <v>8.3814857999999994E-5</v>
      </c>
      <c r="U51" s="149"/>
      <c r="V51" s="149"/>
      <c r="AB51" t="str">
        <v>BIOSYN-LIPID-pmtcoa_c</v>
      </c>
      <c r="AC51" t="str">
        <v>MET-pmtcoa_c --&gt; 1.001911 BIO-pmtcoa_c</v>
      </c>
      <c r="AD51" t="s">
        <v>1635</v>
      </c>
      <c r="AE51" t="b">
        <v>1</v>
      </c>
    </row>
    <row r="52" spans="1:31" ht="16" x14ac:dyDescent="0.2">
      <c r="A52" s="144" t="s">
        <v>1380</v>
      </c>
      <c r="B52" t="str">
        <f>SUBSTITUTE(_xlfn.TEXTBEFORE(mets2721[[#This Row],[pasted JSON metabolite keys and values from GSM biomass rxn]],":"),CHAR(34),"")</f>
        <v>odecoa_c</v>
      </c>
      <c r="C52" t="str">
        <f>_xlfn.TEXTBEFORE(mets2721[[#This Row],[name]],"_",-1)</f>
        <v>odecoa</v>
      </c>
      <c r="D52" t="str">
        <f>_xlfn.XLOOKUP(mets2721[[#This Row],[name w/o location]],metaboliteInfo[name w/o location],metaboliteInfo[suggested category],"")</f>
        <v>LIPID</v>
      </c>
      <c r="E52" s="21">
        <f>_xlfn.XLOOKUP(mets2721[[#This Row],[name w/o location]],metaboliteInfo[name w/o location],metaboliteInfo[MW for biomass normalization (g/mol)],0)</f>
        <v>1027.948443</v>
      </c>
      <c r="F52" s="21">
        <f>_xlfn.NUMBERVALUE(SUBSTITUTE(_xlfn.TEXTAFTER(mets2721[[#This Row],[pasted JSON metabolite keys and values from GSM biomass rxn]],":"),",",""))</f>
        <v>-1.53896847E-4</v>
      </c>
      <c r="G52" s="21" cm="1">
        <f t="array" ref="G52">_xlfn.LET(_xlpm.id,mets2721[[#This Row],[name w/o location]],IF(IsElementOfSet_DIY(_xlpm.id,{"atp","adp","h","pi","h2o"}),SIGN(mets2721[[#This Row],[raw (GSM) coefficient]])*(ABS(mets2721[[#This Row],[raw (GSM) coefficient]])-$J$2),mets2721[[#This Row],[raw (GSM) coefficient]]))</f>
        <v>-1.53896847E-4</v>
      </c>
      <c r="H52" s="21">
        <f>mets2721[[#This Row],[coeff. w/o GAM]]</f>
        <v>-1.53896847E-4</v>
      </c>
      <c r="I52" s="161">
        <f t="shared" si="0"/>
        <v>-1.5270409355073243E-4</v>
      </c>
      <c r="J52" s="21" cm="1">
        <f t="array" ref="J52">_xlfn.LET(_xlpm.id,mets2721[[#This Row],[name w/o location]],_xlpm.oldcoeff,mets2721[[#This Row],[normalized coeffs]],_xlpm.gam,$J$2-$G$2,_xlfn.IFS(IFERROR(MATCH(_xlpm.id,{"atp","h2o"},0),0)&gt;0,_xlpm.oldcoeff-_xlpm.gam,IFERROR(MATCH(_xlpm.id,{"adp","h","pi"},0),0)&gt;0,_xlpm.oldcoeff+_xlpm.gam,TRUE,_xlpm.oldcoeff))</f>
        <v>-1.5270409355073243E-4</v>
      </c>
      <c r="K52" t="str" cm="1">
        <f t="array" ref="K52">"BIOSYN-"&amp;_xlfn.IFS(IFERROR(MATCH(mets2721[[#This Row],[category]],{0,"0",""},0),0)&gt;0,mets2721[[#This Row],[name]],TRUE,mets2721[[#This Row],[category]]&amp;"-"&amp;mets2721[[#This Row],[name]])</f>
        <v>BIOSYN-LIPID-odecoa_c</v>
      </c>
      <c r="L52" s="149" t="str" cm="1">
        <f t="array" ref="L52">IF(IsElementOfSet_DIY(mets2721[[#This Row],[category]],{"ignore","PROT"}),"",_xlfn.LET(_xlpm.mw,mets2721[[#This Row],[MW for biomass normalization (g/mol)]],"MET-"&amp;mets2721[[#This Row],[name]]&amp;" --&gt; "&amp;IF((mets2721[[#This Row],[category]]="DNA")+(mets2721[[#This Row],[category]]="RNA"),"MET-ppi_c + ","")&amp;ROUND(ABS(_xlpm.mw/1000),6)&amp;" BIO-"&amp;mets2721[[#This Row],[name]]))</f>
        <v>MET-odecoa_c --&gt; 1.027948 BIO-odecoa_c</v>
      </c>
      <c r="M52" s="149" cm="1">
        <f t="array" ref="M5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-1.4996523187106158E-4</v>
      </c>
      <c r="N52" s="149"/>
      <c r="O52" s="149"/>
      <c r="P52" s="149" t="str">
        <v>"ffabiom_c":0.001922</v>
      </c>
      <c r="R52" s="149" t="str">
        <v>"ffabiom_c":-0.001922</v>
      </c>
      <c r="S52" s="149"/>
      <c r="T52" s="149">
        <v>3.6138776999999997E-5</v>
      </c>
      <c r="U52" s="149"/>
      <c r="V52" s="149"/>
      <c r="AB52" t="str">
        <v>BIOSYN-LIPID-ps_c</v>
      </c>
      <c r="AC52" t="str">
        <v>MET-ps_c --&gt; 0.786079 BIO-ps_c</v>
      </c>
      <c r="AD52" t="s">
        <v>1636</v>
      </c>
      <c r="AE52" t="b">
        <v>1</v>
      </c>
    </row>
    <row r="53" spans="1:31" ht="16" x14ac:dyDescent="0.2">
      <c r="A53" s="144" t="s">
        <v>1381</v>
      </c>
      <c r="B53" t="str">
        <f>SUBSTITUTE(_xlfn.TEXTBEFORE(mets2721[[#This Row],[pasted JSON metabolite keys and values from GSM biomass rxn]],":"),CHAR(34),"")</f>
        <v>pail_c</v>
      </c>
      <c r="C53" t="str">
        <f>_xlfn.TEXTBEFORE(mets2721[[#This Row],[name]],"_",-1)</f>
        <v>pail</v>
      </c>
      <c r="D53" t="str">
        <f>_xlfn.XLOOKUP(mets2721[[#This Row],[name w/o location]],metaboliteInfo[name w/o location],metaboliteInfo[suggested category],"")</f>
        <v>LIPID</v>
      </c>
      <c r="E53" s="21">
        <f>_xlfn.XLOOKUP(mets2721[[#This Row],[name w/o location]],metaboliteInfo[name w/o location],metaboliteInfo[MW for biomass normalization (g/mol)],0)</f>
        <v>862.14885442176001</v>
      </c>
      <c r="F53" s="21">
        <f>_xlfn.NUMBERVALUE(SUBSTITUTE(_xlfn.TEXTAFTER(mets2721[[#This Row],[pasted JSON metabolite keys and values from GSM biomass rxn]],":"),",",""))</f>
        <v>-9.7380000000000001E-3</v>
      </c>
      <c r="G53" s="21" cm="1">
        <f t="array" ref="G53">_xlfn.LET(_xlpm.id,mets2721[[#This Row],[name w/o location]],IF(IsElementOfSet_DIY(_xlpm.id,{"atp","adp","h","pi","h2o"}),SIGN(mets2721[[#This Row],[raw (GSM) coefficient]])*(ABS(mets2721[[#This Row],[raw (GSM) coefficient]])-$J$2),mets2721[[#This Row],[raw (GSM) coefficient]]))</f>
        <v>-9.7380000000000001E-3</v>
      </c>
      <c r="H53" s="21">
        <f>mets2721[[#This Row],[coeff. w/o GAM]]</f>
        <v>-9.7380000000000001E-3</v>
      </c>
      <c r="I53" s="161">
        <f t="shared" si="0"/>
        <v>-9.6625271536396867E-3</v>
      </c>
      <c r="J53" s="21" cm="1">
        <f t="array" ref="J53">_xlfn.LET(_xlpm.id,mets2721[[#This Row],[name w/o location]],_xlpm.oldcoeff,mets2721[[#This Row],[normalized coeffs]],_xlpm.gam,$J$2-$G$2,_xlfn.IFS(IFERROR(MATCH(_xlpm.id,{"atp","h2o"},0),0)&gt;0,_xlpm.oldcoeff-_xlpm.gam,IFERROR(MATCH(_xlpm.id,{"adp","h","pi"},0),0)&gt;0,_xlpm.oldcoeff+_xlpm.gam,TRUE,_xlpm.oldcoeff))</f>
        <v>-9.6625271536396867E-3</v>
      </c>
      <c r="K53" t="str" cm="1">
        <f t="array" ref="K53">"BIOSYN-"&amp;_xlfn.IFS(IFERROR(MATCH(mets2721[[#This Row],[category]],{0,"0",""},0),0)&gt;0,mets2721[[#This Row],[name]],TRUE,mets2721[[#This Row],[category]]&amp;"-"&amp;mets2721[[#This Row],[name]])</f>
        <v>BIOSYN-LIPID-pail_c</v>
      </c>
      <c r="L53" s="149" t="str" cm="1">
        <f t="array" ref="L53">IF(IsElementOfSet_DIY(mets2721[[#This Row],[category]],{"ignore","PROT"}),"",_xlfn.LET(_xlpm.mw,mets2721[[#This Row],[MW for biomass normalization (g/mol)]],"MET-"&amp;mets2721[[#This Row],[name]]&amp;" --&gt; "&amp;IF((mets2721[[#This Row],[category]]="DNA")+(mets2721[[#This Row],[category]]="RNA"),"MET-ppi_c + ","")&amp;ROUND(ABS(_xlpm.mw/1000),6)&amp;" BIO-"&amp;mets2721[[#This Row],[name]]))</f>
        <v>MET-pail_c --&gt; 0.862149 BIO-pail_c</v>
      </c>
      <c r="M53" s="149" cm="1">
        <f t="array" ref="M5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-9.4892225307279844E-3</v>
      </c>
      <c r="N53" s="149"/>
      <c r="O53" s="149"/>
      <c r="P53" s="149" t="str">
        <v>"gln__L_c":0.321557</v>
      </c>
      <c r="R53" s="149" t="str">
        <v>"glntrna_c":-0.321557</v>
      </c>
      <c r="S53" s="149"/>
      <c r="T53" s="149">
        <v>7.4299999999999995E-4</v>
      </c>
      <c r="U53" s="149"/>
      <c r="V53" s="149"/>
      <c r="AB53" t="str">
        <v>BIOSYN-LIPID-stcoa_c</v>
      </c>
      <c r="AC53" t="str">
        <v>MET-stcoa_c --&gt; 1.029964 BIO-stcoa_c</v>
      </c>
      <c r="AD53" t="s">
        <v>1637</v>
      </c>
      <c r="AE53" t="b">
        <v>1</v>
      </c>
    </row>
    <row r="54" spans="1:31" ht="16" x14ac:dyDescent="0.2">
      <c r="A54" s="144" t="s">
        <v>1347</v>
      </c>
      <c r="B54" t="str">
        <f>SUBSTITUTE(_xlfn.TEXTBEFORE(mets2721[[#This Row],[pasted JSON metabolite keys and values from GSM biomass rxn]],":"),CHAR(34),"")</f>
        <v>pc_c</v>
      </c>
      <c r="C54" t="str">
        <f>_xlfn.TEXTBEFORE(mets2721[[#This Row],[name]],"_",-1)</f>
        <v>pc</v>
      </c>
      <c r="D54" t="str">
        <f>_xlfn.XLOOKUP(mets2721[[#This Row],[name w/o location]],metaboliteInfo[name w/o location],metaboliteInfo[suggested category],"")</f>
        <v>LIPID</v>
      </c>
      <c r="E54" s="21">
        <f>_xlfn.XLOOKUP(mets2721[[#This Row],[name w/o location]],metaboliteInfo[name w/o location],metaboliteInfo[MW for biomass normalization (g/mol)],0)</f>
        <v>786.16573442176002</v>
      </c>
      <c r="F54" s="21">
        <f>_xlfn.NUMBERVALUE(SUBSTITUTE(_xlfn.TEXTAFTER(mets2721[[#This Row],[pasted JSON metabolite keys and values from GSM biomass rxn]],":"),",",""))</f>
        <v>-2.8783E-2</v>
      </c>
      <c r="G54" s="21" cm="1">
        <f t="array" ref="G54">_xlfn.LET(_xlpm.id,mets2721[[#This Row],[name w/o location]],IF(IsElementOfSet_DIY(_xlpm.id,{"atp","adp","h","pi","h2o"}),SIGN(mets2721[[#This Row],[raw (GSM) coefficient]])*(ABS(mets2721[[#This Row],[raw (GSM) coefficient]])-$J$2),mets2721[[#This Row],[raw (GSM) coefficient]]))</f>
        <v>-2.8783E-2</v>
      </c>
      <c r="H54" s="21">
        <f>mets2721[[#This Row],[coeff. w/o GAM]]</f>
        <v>-2.8783E-2</v>
      </c>
      <c r="I54" s="161">
        <f t="shared" si="0"/>
        <v>-2.8559921859027632E-2</v>
      </c>
      <c r="J54" s="21" cm="1">
        <f t="array" ref="J54">_xlfn.LET(_xlpm.id,mets2721[[#This Row],[name w/o location]],_xlpm.oldcoeff,mets2721[[#This Row],[normalized coeffs]],_xlpm.gam,$J$2-$G$2,_xlfn.IFS(IFERROR(MATCH(_xlpm.id,{"atp","h2o"},0),0)&gt;0,_xlpm.oldcoeff-_xlpm.gam,IFERROR(MATCH(_xlpm.id,{"adp","h","pi"},0),0)&gt;0,_xlpm.oldcoeff+_xlpm.gam,TRUE,_xlpm.oldcoeff))</f>
        <v>-2.8559921859027632E-2</v>
      </c>
      <c r="K54" t="str" cm="1">
        <f t="array" ref="K54">"BIOSYN-"&amp;_xlfn.IFS(IFERROR(MATCH(mets2721[[#This Row],[category]],{0,"0",""},0),0)&gt;0,mets2721[[#This Row],[name]],TRUE,mets2721[[#This Row],[category]]&amp;"-"&amp;mets2721[[#This Row],[name]])</f>
        <v>BIOSYN-LIPID-pc_c</v>
      </c>
      <c r="L54" s="149" t="str" cm="1">
        <f t="array" ref="L54">IF(IsElementOfSet_DIY(mets2721[[#This Row],[category]],{"ignore","PROT"}),"",_xlfn.LET(_xlpm.mw,mets2721[[#This Row],[MW for biomass normalization (g/mol)]],"MET-"&amp;mets2721[[#This Row],[name]]&amp;" --&gt; "&amp;IF((mets2721[[#This Row],[category]]="DNA")+(mets2721[[#This Row],[category]]="RNA"),"MET-ppi_c + ","")&amp;ROUND(ABS(_xlpm.mw/1000),6)&amp;" BIO-"&amp;mets2721[[#This Row],[name]]))</f>
        <v>MET-pc_c --&gt; 0.786166 BIO-pc_c</v>
      </c>
      <c r="M54" s="149" cm="1">
        <f t="array" ref="M5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-2.8047678383851259E-2</v>
      </c>
      <c r="N54" s="149"/>
      <c r="O54" s="149"/>
      <c r="P54" s="149" t="str">
        <v>"glu__L_c":0.321557</v>
      </c>
      <c r="R54" s="149" t="str">
        <v>"glutrna_c":-0.321557</v>
      </c>
      <c r="S54" s="149"/>
      <c r="T54" s="149">
        <v>7.4299999999999995E-4</v>
      </c>
      <c r="U54" s="149"/>
      <c r="V54" s="149"/>
      <c r="AB54" t="str">
        <v>BIOSYN-LIPID-tag_c</v>
      </c>
      <c r="AC54" t="str">
        <v>MET-tag_c --&gt; 0.885513 BIO-tag_c</v>
      </c>
      <c r="AD54" t="s">
        <v>1638</v>
      </c>
      <c r="AE54" t="b">
        <v>1</v>
      </c>
    </row>
    <row r="55" spans="1:31" ht="16" x14ac:dyDescent="0.2">
      <c r="A55" s="144" t="s">
        <v>1348</v>
      </c>
      <c r="B55" t="str">
        <f>SUBSTITUTE(_xlfn.TEXTBEFORE(mets2721[[#This Row],[pasted JSON metabolite keys and values from GSM biomass rxn]],":"),CHAR(34),"")</f>
        <v>pe_c</v>
      </c>
      <c r="C55" t="str">
        <f>_xlfn.TEXTBEFORE(mets2721[[#This Row],[name]],"_",-1)</f>
        <v>pe</v>
      </c>
      <c r="D55" t="str">
        <f>_xlfn.XLOOKUP(mets2721[[#This Row],[name w/o location]],metaboliteInfo[name w/o location],metaboliteInfo[suggested category],"")</f>
        <v>LIPID</v>
      </c>
      <c r="E55" s="21">
        <f>_xlfn.XLOOKUP(mets2721[[#This Row],[name w/o location]],metaboliteInfo[name w/o location],metaboliteInfo[MW for biomass normalization (g/mol)],0)</f>
        <v>744.08599442176001</v>
      </c>
      <c r="F55" s="21">
        <f>_xlfn.NUMBERVALUE(SUBSTITUTE(_xlfn.TEXTAFTER(mets2721[[#This Row],[pasted JSON metabolite keys and values from GSM biomass rxn]],":"),",",""))</f>
        <v>-7.7200000000000003E-3</v>
      </c>
      <c r="G55" s="21" cm="1">
        <f t="array" ref="G55">_xlfn.LET(_xlpm.id,mets2721[[#This Row],[name w/o location]],IF(IsElementOfSet_DIY(_xlpm.id,{"atp","adp","h","pi","h2o"}),SIGN(mets2721[[#This Row],[raw (GSM) coefficient]])*(ABS(mets2721[[#This Row],[raw (GSM) coefficient]])-$J$2),mets2721[[#This Row],[raw (GSM) coefficient]]))</f>
        <v>-7.7200000000000003E-3</v>
      </c>
      <c r="H55" s="21">
        <f>mets2721[[#This Row],[coeff. w/o GAM]]</f>
        <v>-7.7200000000000003E-3</v>
      </c>
      <c r="I55" s="161">
        <f t="shared" si="0"/>
        <v>-7.6601673471039626E-3</v>
      </c>
      <c r="J55" s="21" cm="1">
        <f t="array" ref="J55">_xlfn.LET(_xlpm.id,mets2721[[#This Row],[name w/o location]],_xlpm.oldcoeff,mets2721[[#This Row],[normalized coeffs]],_xlpm.gam,$J$2-$G$2,_xlfn.IFS(IFERROR(MATCH(_xlpm.id,{"atp","h2o"},0),0)&gt;0,_xlpm.oldcoeff-_xlpm.gam,IFERROR(MATCH(_xlpm.id,{"adp","h","pi"},0),0)&gt;0,_xlpm.oldcoeff+_xlpm.gam,TRUE,_xlpm.oldcoeff))</f>
        <v>-7.6601673471039626E-3</v>
      </c>
      <c r="K55" t="str" cm="1">
        <f t="array" ref="K55">"BIOSYN-"&amp;_xlfn.IFS(IFERROR(MATCH(mets2721[[#This Row],[category]],{0,"0",""},0),0)&gt;0,mets2721[[#This Row],[name]],TRUE,mets2721[[#This Row],[category]]&amp;"-"&amp;mets2721[[#This Row],[name]])</f>
        <v>BIOSYN-LIPID-pe_c</v>
      </c>
      <c r="L55" s="149" t="str" cm="1">
        <f t="array" ref="L55">IF(IsElementOfSet_DIY(mets2721[[#This Row],[category]],{"ignore","PROT"}),"",_xlfn.LET(_xlpm.mw,mets2721[[#This Row],[MW for biomass normalization (g/mol)]],"MET-"&amp;mets2721[[#This Row],[name]]&amp;" --&gt; "&amp;IF((mets2721[[#This Row],[category]]="DNA")+(mets2721[[#This Row],[category]]="RNA"),"MET-ppi_c + ","")&amp;ROUND(ABS(_xlpm.mw/1000),6)&amp;" BIO-"&amp;mets2721[[#This Row],[name]]))</f>
        <v>MET-pe_c --&gt; 0.744086 BIO-pe_c</v>
      </c>
      <c r="M55" s="149" cm="1">
        <f t="array" ref="M5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-7.5227765390449841E-3</v>
      </c>
      <c r="N55" s="149"/>
      <c r="O55" s="149"/>
      <c r="P55" s="149" t="str">
        <v>"gly_c":0.369334</v>
      </c>
      <c r="R55" s="149" t="str">
        <v>"gly_c":-0.369334</v>
      </c>
      <c r="S55" s="149"/>
      <c r="T55" s="149">
        <v>7.4299999999999995E-4</v>
      </c>
      <c r="U55" s="149"/>
      <c r="V55" s="149"/>
      <c r="AB55" t="str">
        <v>BIOSYN-LIPID-ttccoa_c</v>
      </c>
      <c r="AC55" t="str">
        <v>MET-ttccoa_c --&gt; 1.114124 BIO-ttccoa_c</v>
      </c>
      <c r="AD55" t="s">
        <v>1639</v>
      </c>
      <c r="AE55" t="b">
        <v>1</v>
      </c>
    </row>
    <row r="56" spans="1:31" ht="16" x14ac:dyDescent="0.2">
      <c r="A56" s="144" t="s">
        <v>1349</v>
      </c>
      <c r="B56" t="str">
        <f>SUBSTITUTE(_xlfn.TEXTBEFORE(mets2721[[#This Row],[pasted JSON metabolite keys and values from GSM biomass rxn]],":"),CHAR(34),"")</f>
        <v>phetrna_c</v>
      </c>
      <c r="C56" t="str">
        <f>_xlfn.TEXTBEFORE(mets2721[[#This Row],[name]],"_",-1)</f>
        <v>phetrna</v>
      </c>
      <c r="D56" t="str">
        <f>_xlfn.XLOOKUP(mets2721[[#This Row],[name w/o location]],metaboliteInfo[name w/o location],metaboliteInfo[suggested category],"")</f>
        <v>PROT</v>
      </c>
      <c r="E56" s="21">
        <f>_xlfn.XLOOKUP(mets2721[[#This Row],[name w/o location]],metaboliteInfo[name w/o location],metaboliteInfo[MW for biomass normalization (g/mol)],0)</f>
        <v>148.18180000000001</v>
      </c>
      <c r="F56" s="21">
        <f>_xlfn.NUMBERVALUE(SUBSTITUTE(_xlfn.TEXTAFTER(mets2721[[#This Row],[pasted JSON metabolite keys and values from GSM biomass rxn]],":"),",",""))</f>
        <v>-0.15620899999999999</v>
      </c>
      <c r="G56" s="21" cm="1">
        <f t="array" ref="G56">_xlfn.LET(_xlpm.id,mets2721[[#This Row],[name w/o location]],IF(IsElementOfSet_DIY(_xlpm.id,{"atp","adp","h","pi","h2o"}),SIGN(mets2721[[#This Row],[raw (GSM) coefficient]])*(ABS(mets2721[[#This Row],[raw (GSM) coefficient]])-$J$2),mets2721[[#This Row],[raw (GSM) coefficient]]))</f>
        <v>-0.15620899999999999</v>
      </c>
      <c r="H56" s="21">
        <f>mets2721[[#This Row],[coeff. w/o GAM]]</f>
        <v>-0.15620899999999999</v>
      </c>
      <c r="I56" s="161">
        <f t="shared" si="0"/>
        <v>-0.15499832657043558</v>
      </c>
      <c r="J56" s="21" cm="1">
        <f t="array" ref="J56">_xlfn.LET(_xlpm.id,mets2721[[#This Row],[name w/o location]],_xlpm.oldcoeff,mets2721[[#This Row],[normalized coeffs]],_xlpm.gam,$J$2-$G$2,_xlfn.IFS(IFERROR(MATCH(_xlpm.id,{"atp","h2o"},0),0)&gt;0,_xlpm.oldcoeff-_xlpm.gam,IFERROR(MATCH(_xlpm.id,{"adp","h","pi"},0),0)&gt;0,_xlpm.oldcoeff+_xlpm.gam,TRUE,_xlpm.oldcoeff))</f>
        <v>-0.15499832657043558</v>
      </c>
      <c r="K56" t="str" cm="1">
        <f t="array" ref="K56">"BIOSYN-"&amp;_xlfn.IFS(IFERROR(MATCH(mets2721[[#This Row],[category]],{0,"0",""},0),0)&gt;0,mets2721[[#This Row],[name]],TRUE,mets2721[[#This Row],[category]]&amp;"-"&amp;mets2721[[#This Row],[name]])</f>
        <v>BIOSYN-PROT-phetrna_c</v>
      </c>
      <c r="L56" s="149" t="str" cm="1">
        <f t="array" ref="L56">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56" s="149" cm="1">
        <f t="array" ref="M5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-0.16056663105606256</v>
      </c>
      <c r="N56" s="149"/>
      <c r="O56" s="149"/>
      <c r="P56" s="149" t="str">
        <v>"glycogen_c":0.234811</v>
      </c>
      <c r="R56" s="149" t="str">
        <v>"glycogen_c":-0.234811</v>
      </c>
      <c r="S56" s="149"/>
      <c r="T56" s="149"/>
      <c r="U56" s="149"/>
      <c r="V56" s="149"/>
      <c r="AB56" t="str">
        <v>BIOSYN-METAL-ca2_c</v>
      </c>
      <c r="AC56" t="str">
        <v>MET-ca2_c --&gt; 0.040078 BIO-ca2_c</v>
      </c>
      <c r="AD56" t="s">
        <v>1640</v>
      </c>
      <c r="AE56" t="b">
        <v>1</v>
      </c>
    </row>
    <row r="57" spans="1:31" ht="16" x14ac:dyDescent="0.2">
      <c r="A57" s="144" t="s">
        <v>1315</v>
      </c>
      <c r="B57" t="str">
        <f>SUBSTITUTE(_xlfn.TEXTBEFORE(mets2721[[#This Row],[pasted JSON metabolite keys and values from GSM biomass rxn]],":"),CHAR(34),"")</f>
        <v>pi_c</v>
      </c>
      <c r="C57" t="str">
        <f>_xlfn.TEXTBEFORE(mets2721[[#This Row],[name]],"_",-1)</f>
        <v>pi</v>
      </c>
      <c r="D57" t="str">
        <f>_xlfn.XLOOKUP(mets2721[[#This Row],[name w/o location]],metaboliteInfo[name w/o location],metaboliteInfo[suggested category],"")</f>
        <v>PI</v>
      </c>
      <c r="E57" s="21">
        <f>_xlfn.XLOOKUP(mets2721[[#This Row],[name w/o location]],metaboliteInfo[name w/o location],metaboliteInfo[MW for biomass normalization (g/mol)],0)</f>
        <v>95.979301000000007</v>
      </c>
      <c r="F57" s="21">
        <f>_xlfn.NUMBERVALUE(SUBSTITUTE(_xlfn.TEXTAFTER(mets2721[[#This Row],[pasted JSON metabolite keys and values from GSM biomass rxn]],":"),",",""))</f>
        <v>190.47333499999999</v>
      </c>
      <c r="G57" s="21" cm="1">
        <f t="array" ref="G57">_xlfn.LET(_xlpm.id,mets2721[[#This Row],[name w/o location]],IF(IsElementOfSet_DIY(_xlpm.id,{"atp","adp","h","pi","h2o"}),SIGN(mets2721[[#This Row],[raw (GSM) coefficient]])*(ABS(mets2721[[#This Row],[raw (GSM) coefficient]])-$J$2),mets2721[[#This Row],[raw (GSM) coefficient]]))</f>
        <v>-0.10565500000001293</v>
      </c>
      <c r="H57" s="21">
        <f>mets2721[[#This Row],[coeff. w/o GAM]]</f>
        <v>-0.10565500000001293</v>
      </c>
      <c r="I57" s="161">
        <f t="shared" si="0"/>
        <v>-0.10483613744279381</v>
      </c>
      <c r="J57" s="21" cm="1">
        <f t="array" ref="J57">_xlfn.LET(_xlpm.id,mets2721[[#This Row],[name w/o location]],_xlpm.oldcoeff,mets2721[[#This Row],[normalized coeffs]],_xlpm.gam,$J$2-$G$2,_xlfn.IFS(IFERROR(MATCH(_xlpm.id,{"atp","h2o"},0),0)&gt;0,_xlpm.oldcoeff-_xlpm.gam,IFERROR(MATCH(_xlpm.id,{"adp","h","pi"},0),0)&gt;0,_xlpm.oldcoeff+_xlpm.gam,TRUE,_xlpm.oldcoeff))</f>
        <v>181.97415386255722</v>
      </c>
      <c r="K57" t="str" cm="1">
        <f t="array" ref="K57">"BIOSYN-"&amp;_xlfn.IFS(IFERROR(MATCH(mets2721[[#This Row],[category]],{0,"0",""},0),0)&gt;0,mets2721[[#This Row],[name]],TRUE,mets2721[[#This Row],[category]]&amp;"-"&amp;mets2721[[#This Row],[name]])</f>
        <v>BIOSYN-PI-pi_c</v>
      </c>
      <c r="L57" s="149" t="str" cm="1">
        <f t="array" ref="L57">IF(IsElementOfSet_DIY(mets2721[[#This Row],[category]],{"ignore","PROT"}),"",_xlfn.LET(_xlpm.mw,mets2721[[#This Row],[MW for biomass normalization (g/mol)]],"MET-"&amp;mets2721[[#This Row],[name]]&amp;" --&gt; "&amp;IF((mets2721[[#This Row],[category]]="DNA")+(mets2721[[#This Row],[category]]="RNA"),"MET-ppi_c + ","")&amp;ROUND(ABS(_xlpm.mw/1000),6)&amp;" BIO-"&amp;mets2721[[#This Row],[name]]))</f>
        <v>MET-pi_c --&gt; 0.095979 BIO-pi_c</v>
      </c>
      <c r="M57" s="149" cm="1">
        <f t="array" ref="M5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190.47603417678332</v>
      </c>
      <c r="N57" s="149"/>
      <c r="O57" s="149"/>
      <c r="P57" s="149" t="str">
        <v>"gtp_c":0.104534</v>
      </c>
      <c r="R57" s="149" t="str">
        <v>"gtp_c":-0.104534</v>
      </c>
      <c r="S57" s="149"/>
      <c r="T57" s="149"/>
      <c r="U57" s="149"/>
      <c r="V57" s="149"/>
      <c r="AB57" t="str">
        <v>BIOSYN-METAL-cu2_c</v>
      </c>
      <c r="AC57" t="str">
        <v>MET-cu2_c --&gt; 0.063546 BIO-cu2_c</v>
      </c>
      <c r="AD57" t="s">
        <v>1641</v>
      </c>
      <c r="AE57" t="b">
        <v>1</v>
      </c>
    </row>
    <row r="58" spans="1:31" ht="16" x14ac:dyDescent="0.2">
      <c r="A58" s="144" t="s">
        <v>1382</v>
      </c>
      <c r="B58" t="str">
        <f>SUBSTITUTE(_xlfn.TEXTBEFORE(mets2721[[#This Row],[pasted JSON metabolite keys and values from GSM biomass rxn]],":"),CHAR(34),"")</f>
        <v>pmtcoa_c</v>
      </c>
      <c r="C58" t="str">
        <f>_xlfn.TEXTBEFORE(mets2721[[#This Row],[name]],"_",-1)</f>
        <v>pmtcoa</v>
      </c>
      <c r="D58" t="str">
        <f>_xlfn.XLOOKUP(mets2721[[#This Row],[name w/o location]],metaboliteInfo[name w/o location],metaboliteInfo[suggested category],"")</f>
        <v>LIPID</v>
      </c>
      <c r="E58" s="21">
        <f>_xlfn.XLOOKUP(mets2721[[#This Row],[name w/o location]],metaboliteInfo[name w/o location],metaboliteInfo[MW for biomass normalization (g/mol)],0)</f>
        <v>1001.911163</v>
      </c>
      <c r="F58" s="21">
        <f>_xlfn.NUMBERVALUE(SUBSTITUTE(_xlfn.TEXTAFTER(mets2721[[#This Row],[pasted JSON metabolite keys and values from GSM biomass rxn]],":"),",",""))</f>
        <v>-2.1258641999999999E-3</v>
      </c>
      <c r="G58" s="21" cm="1">
        <f t="array" ref="G58">_xlfn.LET(_xlpm.id,mets2721[[#This Row],[name w/o location]],IF(IsElementOfSet_DIY(_xlpm.id,{"atp","adp","h","pi","h2o"}),SIGN(mets2721[[#This Row],[raw (GSM) coefficient]])*(ABS(mets2721[[#This Row],[raw (GSM) coefficient]])-$J$2),mets2721[[#This Row],[raw (GSM) coefficient]]))</f>
        <v>-2.1258641999999999E-3</v>
      </c>
      <c r="H58" s="21">
        <f>mets2721[[#This Row],[coeff. w/o GAM]]</f>
        <v>-2.1258641999999999E-3</v>
      </c>
      <c r="I58" s="161">
        <f t="shared" si="0"/>
        <v>-2.1093880219193377E-3</v>
      </c>
      <c r="J58" s="21" cm="1">
        <f t="array" ref="J58">_xlfn.LET(_xlpm.id,mets2721[[#This Row],[name w/o location]],_xlpm.oldcoeff,mets2721[[#This Row],[normalized coeffs]],_xlpm.gam,$J$2-$G$2,_xlfn.IFS(IFERROR(MATCH(_xlpm.id,{"atp","h2o"},0),0)&gt;0,_xlpm.oldcoeff-_xlpm.gam,IFERROR(MATCH(_xlpm.id,{"adp","h","pi"},0),0)&gt;0,_xlpm.oldcoeff+_xlpm.gam,TRUE,_xlpm.oldcoeff))</f>
        <v>-2.1093880219193377E-3</v>
      </c>
      <c r="K58" t="str" cm="1">
        <f t="array" ref="K58">"BIOSYN-"&amp;_xlfn.IFS(IFERROR(MATCH(mets2721[[#This Row],[category]],{0,"0",""},0),0)&gt;0,mets2721[[#This Row],[name]],TRUE,mets2721[[#This Row],[category]]&amp;"-"&amp;mets2721[[#This Row],[name]])</f>
        <v>BIOSYN-LIPID-pmtcoa_c</v>
      </c>
      <c r="L58" s="149" t="str" cm="1">
        <f t="array" ref="L58">IF(IsElementOfSet_DIY(mets2721[[#This Row],[category]],{"ignore","PROT"}),"",_xlfn.LET(_xlpm.mw,mets2721[[#This Row],[MW for biomass normalization (g/mol)]],"MET-"&amp;mets2721[[#This Row],[name]]&amp;" --&gt; "&amp;IF((mets2721[[#This Row],[category]]="DNA")+(mets2721[[#This Row],[category]]="RNA"),"MET-ppi_c + ","")&amp;ROUND(ABS(_xlpm.mw/1000),6)&amp;" BIO-"&amp;mets2721[[#This Row],[name]]))</f>
        <v>MET-pmtcoa_c --&gt; 1.001911 BIO-pmtcoa_c</v>
      </c>
      <c r="M58" s="149" cm="1">
        <f t="array" ref="M5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-2.0715545762895896E-3</v>
      </c>
      <c r="N58" s="149"/>
      <c r="O58" s="149"/>
      <c r="P58" s="149" t="str">
        <v>"h2o_c":186.43364699999998</v>
      </c>
      <c r="R58" s="149" t="str">
        <v>"h2o_c":-186.43364699999998</v>
      </c>
      <c r="S58" s="149"/>
      <c r="T58" s="149"/>
      <c r="U58" s="149"/>
      <c r="V58" s="149"/>
      <c r="AB58" t="str">
        <v>BIOSYN-METAL-fe2_c</v>
      </c>
      <c r="AC58" t="str">
        <v>MET-fe2_c --&gt; 0.055845 BIO-fe2_c</v>
      </c>
      <c r="AD58" t="s">
        <v>1642</v>
      </c>
      <c r="AE58" t="b">
        <v>1</v>
      </c>
    </row>
    <row r="59" spans="1:31" ht="16" x14ac:dyDescent="0.2">
      <c r="A59" s="144" t="s">
        <v>1316</v>
      </c>
      <c r="B59" t="str">
        <f>SUBSTITUTE(_xlfn.TEXTBEFORE(mets2721[[#This Row],[pasted JSON metabolite keys and values from GSM biomass rxn]],":"),CHAR(34),"")</f>
        <v>ppi_c</v>
      </c>
      <c r="C59" t="str">
        <f>_xlfn.TEXTBEFORE(mets2721[[#This Row],[name]],"_",-1)</f>
        <v>ppi</v>
      </c>
      <c r="D59">
        <f>_xlfn.XLOOKUP(mets2721[[#This Row],[name w/o location]],metaboliteInfo[name w/o location],metaboliteInfo[suggested category],"")</f>
        <v>0</v>
      </c>
      <c r="E59" s="21">
        <f>_xlfn.XLOOKUP(mets2721[[#This Row],[name w/o location]],metaboliteInfo[name w/o location],metaboliteInfo[MW for biomass normalization (g/mol)],0)</f>
        <v>174.95126200000001</v>
      </c>
      <c r="F59" s="21">
        <f>_xlfn.NUMBERVALUE(SUBSTITUTE(_xlfn.TEXTAFTER(mets2721[[#This Row],[pasted JSON metabolite keys and values from GSM biomass rxn]],":"),",",""))</f>
        <v>0.38549499999999998</v>
      </c>
      <c r="G59" s="21" cm="1">
        <f t="array" ref="G59">_xlfn.LET(_xlpm.id,mets2721[[#This Row],[name w/o location]],IF(IsElementOfSet_DIY(_xlpm.id,{"atp","adp","h","pi","h2o"}),SIGN(mets2721[[#This Row],[raw (GSM) coefficient]])*(ABS(mets2721[[#This Row],[raw (GSM) coefficient]])-$J$2),mets2721[[#This Row],[raw (GSM) coefficient]]))</f>
        <v>0.38549499999999998</v>
      </c>
      <c r="H59" s="21">
        <f>mets2721[[#This Row],[coeff. w/o GAM]]</f>
        <v>0.38549499999999998</v>
      </c>
      <c r="I59" s="161">
        <f t="shared" si="0"/>
        <v>0.38250728127873596</v>
      </c>
      <c r="J59" s="21" cm="1">
        <f t="array" ref="J59">_xlfn.LET(_xlpm.id,mets2721[[#This Row],[name w/o location]],_xlpm.oldcoeff,mets2721[[#This Row],[normalized coeffs]],_xlpm.gam,$J$2-$G$2,_xlfn.IFS(IFERROR(MATCH(_xlpm.id,{"atp","h2o"},0),0)&gt;0,_xlpm.oldcoeff-_xlpm.gam,IFERROR(MATCH(_xlpm.id,{"adp","h","pi"},0),0)&gt;0,_xlpm.oldcoeff+_xlpm.gam,TRUE,_xlpm.oldcoeff))</f>
        <v>0.38250728127873596</v>
      </c>
      <c r="K59" t="str" cm="1">
        <f t="array" ref="K59">"BIOSYN-"&amp;_xlfn.IFS(IFERROR(MATCH(mets2721[[#This Row],[category]],{0,"0",""},0),0)&gt;0,mets2721[[#This Row],[name]],TRUE,mets2721[[#This Row],[category]]&amp;"-"&amp;mets2721[[#This Row],[name]])</f>
        <v>BIOSYN-ppi_c</v>
      </c>
      <c r="L59" s="149" t="str" cm="1">
        <f t="array" ref="L59">IF(IsElementOfSet_DIY(mets2721[[#This Row],[category]],{"ignore","PROT"}),"",_xlfn.LET(_xlpm.mw,mets2721[[#This Row],[MW for biomass normalization (g/mol)]],"MET-"&amp;mets2721[[#This Row],[name]]&amp;" --&gt; "&amp;IF((mets2721[[#This Row],[category]]="DNA")+(mets2721[[#This Row],[category]]="RNA"),"MET-ppi_c + ","")&amp;ROUND(ABS(_xlpm.mw/1000),6)&amp;" BIO-"&amp;mets2721[[#This Row],[name]]))</f>
        <v>MET-ppi_c --&gt; 0.174951 BIO-ppi_c</v>
      </c>
      <c r="M59" s="149" cm="1">
        <f t="array" ref="M5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0.37564672822786854</v>
      </c>
      <c r="N59" s="149"/>
      <c r="O59" s="149"/>
      <c r="P59" s="149" t="str">
        <v>"his__L_c":0.080182</v>
      </c>
      <c r="R59" s="149" t="str">
        <v>"histrna_c":-0.080182</v>
      </c>
      <c r="S59" s="149" t="s">
        <v>1416</v>
      </c>
      <c r="T59" s="149">
        <f>(1-T67)/(1-S67)</f>
        <v>0.98206425501775463</v>
      </c>
      <c r="V59" s="149"/>
      <c r="AB59" t="str">
        <v>BIOSYN-METAL-k_c</v>
      </c>
      <c r="AC59" t="str">
        <v>MET-k_c --&gt; 0.039098 BIO-k_c</v>
      </c>
      <c r="AD59" t="s">
        <v>1643</v>
      </c>
      <c r="AE59" t="b">
        <v>1</v>
      </c>
    </row>
    <row r="60" spans="1:31" ht="16" x14ac:dyDescent="0.2">
      <c r="A60" s="144" t="s">
        <v>1350</v>
      </c>
      <c r="B60" t="str">
        <f>SUBSTITUTE(_xlfn.TEXTBEFORE(mets2721[[#This Row],[pasted JSON metabolite keys and values from GSM biomass rxn]],":"),CHAR(34),"")</f>
        <v>protrna_c</v>
      </c>
      <c r="C60" t="str">
        <f>_xlfn.TEXTBEFORE(mets2721[[#This Row],[name]],"_",-1)</f>
        <v>protrna</v>
      </c>
      <c r="D60" t="str">
        <f>_xlfn.XLOOKUP(mets2721[[#This Row],[name w/o location]],metaboliteInfo[name w/o location],metaboliteInfo[suggested category],"")</f>
        <v>PROT</v>
      </c>
      <c r="E60" s="21">
        <f>_xlfn.XLOOKUP(mets2721[[#This Row],[name w/o location]],metaboliteInfo[name w/o location],metaboliteInfo[MW for biomass normalization (g/mol)],0)</f>
        <v>97.115179999999995</v>
      </c>
      <c r="F60" s="21">
        <f>_xlfn.NUMBERVALUE(SUBSTITUTE(_xlfn.TEXTAFTER(mets2721[[#This Row],[pasted JSON metabolite keys and values from GSM biomass rxn]],":"),",",""))</f>
        <v>-0.175319</v>
      </c>
      <c r="G60" s="21" cm="1">
        <f t="array" ref="G60">_xlfn.LET(_xlpm.id,mets2721[[#This Row],[name w/o location]],IF(IsElementOfSet_DIY(_xlpm.id,{"atp","adp","h","pi","h2o"}),SIGN(mets2721[[#This Row],[raw (GSM) coefficient]])*(ABS(mets2721[[#This Row],[raw (GSM) coefficient]])-$J$2),mets2721[[#This Row],[raw (GSM) coefficient]]))</f>
        <v>-0.175319</v>
      </c>
      <c r="H60" s="21">
        <f>mets2721[[#This Row],[coeff. w/o GAM]]</f>
        <v>-0.175319</v>
      </c>
      <c r="I60" s="161">
        <f t="shared" si="0"/>
        <v>-0.17396021750348697</v>
      </c>
      <c r="J60" s="21" cm="1">
        <f t="array" ref="J60">_xlfn.LET(_xlpm.id,mets2721[[#This Row],[name w/o location]],_xlpm.oldcoeff,mets2721[[#This Row],[normalized coeffs]],_xlpm.gam,$J$2-$G$2,_xlfn.IFS(IFERROR(MATCH(_xlpm.id,{"atp","h2o"},0),0)&gt;0,_xlpm.oldcoeff-_xlpm.gam,IFERROR(MATCH(_xlpm.id,{"adp","h","pi"},0),0)&gt;0,_xlpm.oldcoeff+_xlpm.gam,TRUE,_xlpm.oldcoeff))</f>
        <v>-0.17396021750348697</v>
      </c>
      <c r="K60" t="str" cm="1">
        <f t="array" ref="K60">"BIOSYN-"&amp;_xlfn.IFS(IFERROR(MATCH(mets2721[[#This Row],[category]],{0,"0",""},0),0)&gt;0,mets2721[[#This Row],[name]],TRUE,mets2721[[#This Row],[category]]&amp;"-"&amp;mets2721[[#This Row],[name]])</f>
        <v>BIOSYN-PROT-protrna_c</v>
      </c>
      <c r="L60" s="149" t="str" cm="1">
        <f t="array" ref="L60">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60" s="149" cm="1">
        <f t="array" ref="M6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-0.18020972664902685</v>
      </c>
      <c r="N60" s="149"/>
      <c r="O60" s="149"/>
      <c r="P60" s="149" t="str">
        <v>"ile__L_c":0.244699</v>
      </c>
      <c r="R60" s="149" t="str">
        <v>"iletrna_c":-0.244699</v>
      </c>
      <c r="S60" s="173">
        <v>0.30578393847914032</v>
      </c>
      <c r="T60" s="149">
        <f>S60*$T$59</f>
        <v>0.30029947573891186</v>
      </c>
      <c r="U60" cm="1">
        <f t="array" ref="U60:U69">IF(T60:T69&lt;&gt;"",T60:T69,S60:S69)</f>
        <v>0.30029947573891186</v>
      </c>
      <c r="V60" cm="1">
        <f t="array" ref="V60:V69">_xlfn.ANCHORARRAY(U60)/SUM(_xlfn.ANCHORARRAY(U60))</f>
        <v>0.30029947573891191</v>
      </c>
      <c r="AB60" t="str">
        <v>BIOSYN-METAL-mg2_c</v>
      </c>
      <c r="AC60" t="str">
        <v>MET-mg2_c --&gt; 0.024305 BIO-mg2_c</v>
      </c>
      <c r="AD60" t="s">
        <v>1644</v>
      </c>
      <c r="AE60" t="b">
        <v>1</v>
      </c>
    </row>
    <row r="61" spans="1:31" ht="16" x14ac:dyDescent="0.2">
      <c r="A61" s="144" t="s">
        <v>1351</v>
      </c>
      <c r="B61" t="str">
        <f>SUBSTITUTE(_xlfn.TEXTBEFORE(mets2721[[#This Row],[pasted JSON metabolite keys and values from GSM biomass rxn]],":"),CHAR(34),"")</f>
        <v>ps_c</v>
      </c>
      <c r="C61" t="str">
        <f>_xlfn.TEXTBEFORE(mets2721[[#This Row],[name]],"_",-1)</f>
        <v>ps</v>
      </c>
      <c r="D61" t="str">
        <f>_xlfn.XLOOKUP(mets2721[[#This Row],[name w/o location]],metaboliteInfo[name w/o location],metaboliteInfo[suggested category],"")</f>
        <v>LIPID</v>
      </c>
      <c r="E61" s="21">
        <f>_xlfn.XLOOKUP(mets2721[[#This Row],[name w/o location]],metaboliteInfo[name w/o location],metaboliteInfo[MW for biomass normalization (g/mol)],0)</f>
        <v>786.07881442175994</v>
      </c>
      <c r="F61" s="21">
        <f>_xlfn.NUMBERVALUE(SUBSTITUTE(_xlfn.TEXTAFTER(mets2721[[#This Row],[pasted JSON metabolite keys and values from GSM biomass rxn]],":"),",",""))</f>
        <v>-6.6429999999999996E-3</v>
      </c>
      <c r="G61" s="21" cm="1">
        <f t="array" ref="G61">_xlfn.LET(_xlpm.id,mets2721[[#This Row],[name w/o location]],IF(IsElementOfSet_DIY(_xlpm.id,{"atp","adp","h","pi","h2o"}),SIGN(mets2721[[#This Row],[raw (GSM) coefficient]])*(ABS(mets2721[[#This Row],[raw (GSM) coefficient]])-$J$2),mets2721[[#This Row],[raw (GSM) coefficient]]))</f>
        <v>-6.6429999999999996E-3</v>
      </c>
      <c r="H61" s="21">
        <f>mets2721[[#This Row],[coeff. w/o GAM]]</f>
        <v>-6.6429999999999996E-3</v>
      </c>
      <c r="I61" s="161">
        <f t="shared" si="0"/>
        <v>-6.5915144672035776E-3</v>
      </c>
      <c r="J61" s="21" cm="1">
        <f t="array" ref="J61">_xlfn.LET(_xlpm.id,mets2721[[#This Row],[name w/o location]],_xlpm.oldcoeff,mets2721[[#This Row],[normalized coeffs]],_xlpm.gam,$J$2-$G$2,_xlfn.IFS(IFERROR(MATCH(_xlpm.id,{"atp","h2o"},0),0)&gt;0,_xlpm.oldcoeff-_xlpm.gam,IFERROR(MATCH(_xlpm.id,{"adp","h","pi"},0),0)&gt;0,_xlpm.oldcoeff+_xlpm.gam,TRUE,_xlpm.oldcoeff))</f>
        <v>-6.5915144672035776E-3</v>
      </c>
      <c r="K61" t="str" cm="1">
        <f t="array" ref="K61">"BIOSYN-"&amp;_xlfn.IFS(IFERROR(MATCH(mets2721[[#This Row],[category]],{0,"0",""},0),0)&gt;0,mets2721[[#This Row],[name]],TRUE,mets2721[[#This Row],[category]]&amp;"-"&amp;mets2721[[#This Row],[name]])</f>
        <v>BIOSYN-LIPID-ps_c</v>
      </c>
      <c r="L61" s="149" t="str" cm="1">
        <f t="array" ref="L61">IF(IsElementOfSet_DIY(mets2721[[#This Row],[category]],{"ignore","PROT"}),"",_xlfn.LET(_xlpm.mw,mets2721[[#This Row],[MW for biomass normalization (g/mol)]],"MET-"&amp;mets2721[[#This Row],[name]]&amp;" --&gt; "&amp;IF((mets2721[[#This Row],[category]]="DNA")+(mets2721[[#This Row],[category]]="RNA"),"MET-ppi_c + ","")&amp;ROUND(ABS(_xlpm.mw/1000),6)&amp;" BIO-"&amp;mets2721[[#This Row],[name]]))</f>
        <v>MET-ps_c --&gt; 0.786079 BIO-ps_c</v>
      </c>
      <c r="M61" s="149" cm="1">
        <f t="array" ref="M6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-6.4732907446730338E-3</v>
      </c>
      <c r="N61" s="149"/>
      <c r="O61" s="149"/>
      <c r="P61" s="149" t="str">
        <v>"ipcbiom_c":0.005176</v>
      </c>
      <c r="R61" s="149" t="str">
        <v>"ipcbiom_c":-0.005176</v>
      </c>
      <c r="S61" s="174">
        <v>-3.5902250681999095E-3</v>
      </c>
      <c r="T61" s="149">
        <f t="shared" ref="T61:T66" si="2">S61*$T$59</f>
        <v>-3.5258317069478116E-3</v>
      </c>
      <c r="U61">
        <v>-3.5258317069478116E-3</v>
      </c>
      <c r="V61" s="149">
        <v>-3.525831706947812E-3</v>
      </c>
      <c r="AB61" t="str">
        <v>BIOSYN-METAL-mn2_c</v>
      </c>
      <c r="AC61" t="str">
        <v>MET-mn2_c --&gt; 0.054938 BIO-mn2_c</v>
      </c>
      <c r="AD61" t="s">
        <v>1645</v>
      </c>
      <c r="AE61" t="b">
        <v>1</v>
      </c>
    </row>
    <row r="62" spans="1:31" ht="16" x14ac:dyDescent="0.2">
      <c r="A62" s="144" t="s">
        <v>1404</v>
      </c>
      <c r="B62" t="str">
        <f>SUBSTITUTE(_xlfn.TEXTBEFORE(mets2721[[#This Row],[pasted JSON metabolite keys and values from GSM biomass rxn]],":"),CHAR(34),"")</f>
        <v>sertrna_c</v>
      </c>
      <c r="C62" t="str">
        <f>_xlfn.TEXTBEFORE(mets2721[[#This Row],[name]],"_",-1)</f>
        <v>sertrna</v>
      </c>
      <c r="D62" t="str">
        <f>_xlfn.XLOOKUP(mets2721[[#This Row],[name w/o location]],metaboliteInfo[name w/o location],metaboliteInfo[suggested category],"")</f>
        <v>PROT</v>
      </c>
      <c r="E62" s="21">
        <f>_xlfn.XLOOKUP(mets2721[[#This Row],[name w/o location]],metaboliteInfo[name w/o location],metaboliteInfo[MW for biomass normalization (g/mol)],0)</f>
        <v>88.085239999999999</v>
      </c>
      <c r="F62" s="21">
        <f>_xlfn.NUMBERVALUE(SUBSTITUTE(_xlfn.TEXTAFTER(mets2721[[#This Row],[pasted JSON metabolite keys and values from GSM biomass rxn]],":"),",",""))</f>
        <v>-0.22343399999999999</v>
      </c>
      <c r="G62" s="21" cm="1">
        <f t="array" ref="G62">_xlfn.LET(_xlpm.id,mets2721[[#This Row],[name w/o location]],IF(IsElementOfSet_DIY(_xlpm.id,{"atp","adp","h","pi","h2o"}),SIGN(mets2721[[#This Row],[raw (GSM) coefficient]])*(ABS(mets2721[[#This Row],[raw (GSM) coefficient]])-$J$2),mets2721[[#This Row],[raw (GSM) coefficient]]))</f>
        <v>-0.22343399999999999</v>
      </c>
      <c r="H62" s="21">
        <f>mets2721[[#This Row],[coeff. w/o GAM]]</f>
        <v>-0.22343399999999999</v>
      </c>
      <c r="I62" s="161">
        <f t="shared" si="0"/>
        <v>-0.22170230971927807</v>
      </c>
      <c r="J62" s="21" cm="1">
        <f t="array" ref="J62">_xlfn.LET(_xlpm.id,mets2721[[#This Row],[name w/o location]],_xlpm.oldcoeff,mets2721[[#This Row],[normalized coeffs]],_xlpm.gam,$J$2-$G$2,_xlfn.IFS(IFERROR(MATCH(_xlpm.id,{"atp","h2o"},0),0)&gt;0,_xlpm.oldcoeff-_xlpm.gam,IFERROR(MATCH(_xlpm.id,{"adp","h","pi"},0),0)&gt;0,_xlpm.oldcoeff+_xlpm.gam,TRUE,_xlpm.oldcoeff))</f>
        <v>-0.22170230971927807</v>
      </c>
      <c r="K62" t="str" cm="1">
        <f t="array" ref="K62">"BIOSYN-"&amp;_xlfn.IFS(IFERROR(MATCH(mets2721[[#This Row],[category]],{0,"0",""},0),0)&gt;0,mets2721[[#This Row],[name]],TRUE,mets2721[[#This Row],[category]]&amp;"-"&amp;mets2721[[#This Row],[name]])</f>
        <v>BIOSYN-PROT-sertrna_c</v>
      </c>
      <c r="L62" s="149" t="str" cm="1">
        <f t="array" ref="L62">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62" s="149" cm="1">
        <f t="array" ref="M6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-0.22966695032539924</v>
      </c>
      <c r="N62" s="149"/>
      <c r="O62" s="149"/>
      <c r="P62" s="149" t="str">
        <v>"k_c":0.60365</v>
      </c>
      <c r="R62" s="149" t="str">
        <v>"k_c":-0.60365</v>
      </c>
      <c r="S62" s="173">
        <v>9.4053296679395947E-3</v>
      </c>
      <c r="T62" s="149">
        <f t="shared" si="2"/>
        <v>9.2366380735414838E-3</v>
      </c>
      <c r="U62">
        <v>9.2366380735414838E-3</v>
      </c>
      <c r="V62" s="149">
        <v>9.2366380735414855E-3</v>
      </c>
      <c r="AB62" t="str">
        <v>BIOSYN-METAL-zn2_c</v>
      </c>
      <c r="AC62" t="str">
        <v>MET-zn2_c --&gt; 0.06538 BIO-zn2_c</v>
      </c>
      <c r="AD62" t="s">
        <v>1646</v>
      </c>
      <c r="AE62" t="b">
        <v>1</v>
      </c>
    </row>
    <row r="63" spans="1:31" ht="16" x14ac:dyDescent="0.2">
      <c r="A63" s="144" t="s">
        <v>1352</v>
      </c>
      <c r="B63" t="str">
        <f>SUBSTITUTE(_xlfn.TEXTBEFORE(mets2721[[#This Row],[pasted JSON metabolite keys and values from GSM biomass rxn]],":"),CHAR(34),"")</f>
        <v>so4_c</v>
      </c>
      <c r="C63" t="str">
        <f>_xlfn.TEXTBEFORE(mets2721[[#This Row],[name]],"_",-1)</f>
        <v>so4</v>
      </c>
      <c r="D63" t="str">
        <f>_xlfn.XLOOKUP(mets2721[[#This Row],[name w/o location]],metaboliteInfo[name w/o location],metaboliteInfo[suggested category],"")</f>
        <v>SO4</v>
      </c>
      <c r="E63" s="21">
        <f>_xlfn.XLOOKUP(mets2721[[#This Row],[name w/o location]],metaboliteInfo[name w/o location],metaboliteInfo[MW for biomass normalization (g/mol)],0)</f>
        <v>96.062600000000003</v>
      </c>
      <c r="F63" s="21">
        <f>_xlfn.NUMBERVALUE(SUBSTITUTE(_xlfn.TEXTAFTER(mets2721[[#This Row],[pasted JSON metabolite keys and values from GSM biomass rxn]],":"),",",""))</f>
        <v>-3.1223000000000001E-2</v>
      </c>
      <c r="G63" s="21" cm="1">
        <f t="array" ref="G63">_xlfn.LET(_xlpm.id,mets2721[[#This Row],[name w/o location]],IF(IsElementOfSet_DIY(_xlpm.id,{"atp","adp","h","pi","h2o"}),SIGN(mets2721[[#This Row],[raw (GSM) coefficient]])*(ABS(mets2721[[#This Row],[raw (GSM) coefficient]])-$J$2),mets2721[[#This Row],[raw (GSM) coefficient]]))</f>
        <v>-3.1223000000000001E-2</v>
      </c>
      <c r="H63" s="21">
        <f>mets2721[[#This Row],[coeff. w/o GAM]]</f>
        <v>-3.1223000000000001E-2</v>
      </c>
      <c r="I63" s="161">
        <f t="shared" si="0"/>
        <v>-3.0981011020547539E-2</v>
      </c>
      <c r="J63" s="21" cm="1">
        <f t="array" ref="J63">_xlfn.LET(_xlpm.id,mets2721[[#This Row],[name w/o location]],_xlpm.oldcoeff,mets2721[[#This Row],[normalized coeffs]],_xlpm.gam,$J$2-$G$2,_xlfn.IFS(IFERROR(MATCH(_xlpm.id,{"atp","h2o"},0),0)&gt;0,_xlpm.oldcoeff-_xlpm.gam,IFERROR(MATCH(_xlpm.id,{"adp","h","pi"},0),0)&gt;0,_xlpm.oldcoeff+_xlpm.gam,TRUE,_xlpm.oldcoeff))</f>
        <v>-3.0981011020547539E-2</v>
      </c>
      <c r="K63" t="str" cm="1">
        <f t="array" ref="K63">"BIOSYN-"&amp;_xlfn.IFS(IFERROR(MATCH(mets2721[[#This Row],[category]],{0,"0",""},0),0)&gt;0,mets2721[[#This Row],[name]],TRUE,mets2721[[#This Row],[category]]&amp;"-"&amp;mets2721[[#This Row],[name]])</f>
        <v>BIOSYN-SO4-so4_c</v>
      </c>
      <c r="L63" s="149" t="str" cm="1">
        <f t="array" ref="L63">IF(IsElementOfSet_DIY(mets2721[[#This Row],[category]],{"ignore","PROT"}),"",_xlfn.LET(_xlpm.mw,mets2721[[#This Row],[MW for biomass normalization (g/mol)]],"MET-"&amp;mets2721[[#This Row],[name]]&amp;" --&gt; "&amp;IF((mets2721[[#This Row],[category]]="DNA")+(mets2721[[#This Row],[category]]="RNA"),"MET-ppi_c + ","")&amp;ROUND(ABS(_xlpm.mw/1000),6)&amp;" BIO-"&amp;mets2721[[#This Row],[name]]))</f>
        <v>MET-so4_c --&gt; 0.096063 BIO-so4_c</v>
      </c>
      <c r="M63" s="149" cm="1">
        <f t="array" ref="M6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-3.0425343507590866E-2</v>
      </c>
      <c r="N63" s="149"/>
      <c r="O63" s="149"/>
      <c r="P63" s="149" t="str">
        <v>"leu__L_c":0.332774</v>
      </c>
      <c r="R63" s="149" t="str">
        <v>"leutrna_c":-0.332774</v>
      </c>
      <c r="S63" s="174">
        <v>7.9077198839356502E-2</v>
      </c>
      <c r="T63" s="149">
        <f t="shared" si="2"/>
        <v>7.7658890367063499E-2</v>
      </c>
      <c r="U63">
        <v>7.7658890367063499E-2</v>
      </c>
      <c r="V63" s="149">
        <v>7.7658890367063513E-2</v>
      </c>
      <c r="AB63" t="str">
        <v>BIOSYN-other-co2_c</v>
      </c>
      <c r="AC63" t="str">
        <v>MET-co2_c --&gt; 0.04401 BIO-co2_c</v>
      </c>
      <c r="AD63" t="s">
        <v>1647</v>
      </c>
      <c r="AE63" t="b">
        <v>1</v>
      </c>
    </row>
    <row r="64" spans="1:31" ht="16" x14ac:dyDescent="0.2">
      <c r="A64" s="144" t="s">
        <v>1383</v>
      </c>
      <c r="B64" t="str">
        <f>SUBSTITUTE(_xlfn.TEXTBEFORE(mets2721[[#This Row],[pasted JSON metabolite keys and values from GSM biomass rxn]],":"),CHAR(34),"")</f>
        <v>stcoa_c</v>
      </c>
      <c r="C64" t="str">
        <f>_xlfn.TEXTBEFORE(mets2721[[#This Row],[name]],"_",-1)</f>
        <v>stcoa</v>
      </c>
      <c r="D64" t="str">
        <f>_xlfn.XLOOKUP(mets2721[[#This Row],[name w/o location]],metaboliteInfo[name w/o location],metaboliteInfo[suggested category],"")</f>
        <v>LIPID</v>
      </c>
      <c r="E64" s="21">
        <f>_xlfn.XLOOKUP(mets2721[[#This Row],[name w/o location]],metaboliteInfo[name w/o location],metaboliteInfo[MW for biomass normalization (g/mol)],0)</f>
        <v>1029.9643229999999</v>
      </c>
      <c r="F64" s="21">
        <f>_xlfn.NUMBERVALUE(SUBSTITUTE(_xlfn.TEXTAFTER(mets2721[[#This Row],[pasted JSON metabolite keys and values from GSM biomass rxn]],":"),",",""))</f>
        <v>-8.3814857999999994E-5</v>
      </c>
      <c r="G64" s="21" cm="1">
        <f t="array" ref="G64">_xlfn.LET(_xlpm.id,mets2721[[#This Row],[name w/o location]],IF(IsElementOfSet_DIY(_xlpm.id,{"atp","adp","h","pi","h2o"}),SIGN(mets2721[[#This Row],[raw (GSM) coefficient]])*(ABS(mets2721[[#This Row],[raw (GSM) coefficient]])-$J$2),mets2721[[#This Row],[raw (GSM) coefficient]]))</f>
        <v>-8.3814857999999994E-5</v>
      </c>
      <c r="H64" s="21">
        <f>mets2721[[#This Row],[coeff. w/o GAM]]</f>
        <v>-8.3814857999999994E-5</v>
      </c>
      <c r="I64" s="161">
        <f t="shared" si="0"/>
        <v>-8.3165264048413892E-5</v>
      </c>
      <c r="J64" s="21" cm="1">
        <f t="array" ref="J64">_xlfn.LET(_xlpm.id,mets2721[[#This Row],[name w/o location]],_xlpm.oldcoeff,mets2721[[#This Row],[normalized coeffs]],_xlpm.gam,$J$2-$G$2,_xlfn.IFS(IFERROR(MATCH(_xlpm.id,{"atp","h2o"},0),0)&gt;0,_xlpm.oldcoeff-_xlpm.gam,IFERROR(MATCH(_xlpm.id,{"adp","h","pi"},0),0)&gt;0,_xlpm.oldcoeff+_xlpm.gam,TRUE,_xlpm.oldcoeff))</f>
        <v>-8.3165264048413892E-5</v>
      </c>
      <c r="K64" t="str" cm="1">
        <f t="array" ref="K64">"BIOSYN-"&amp;_xlfn.IFS(IFERROR(MATCH(mets2721[[#This Row],[category]],{0,"0",""},0),0)&gt;0,mets2721[[#This Row],[name]],TRUE,mets2721[[#This Row],[category]]&amp;"-"&amp;mets2721[[#This Row],[name]])</f>
        <v>BIOSYN-LIPID-stcoa_c</v>
      </c>
      <c r="L64" s="149" t="str" cm="1">
        <f t="array" ref="L64">IF(IsElementOfSet_DIY(mets2721[[#This Row],[category]],{"ignore","PROT"}),"",_xlfn.LET(_xlpm.mw,mets2721[[#This Row],[MW for biomass normalization (g/mol)]],"MET-"&amp;mets2721[[#This Row],[name]]&amp;" --&gt; "&amp;IF((mets2721[[#This Row],[category]]="DNA")+(mets2721[[#This Row],[category]]="RNA"),"MET-ppi_c + ","")&amp;ROUND(ABS(_xlpm.mw/1000),6)&amp;" BIO-"&amp;mets2721[[#This Row],[name]]))</f>
        <v>MET-stcoa_c --&gt; 1.029964 BIO-stcoa_c</v>
      </c>
      <c r="M64" s="149" cm="1">
        <f t="array" ref="M6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-8.167363308106045E-5</v>
      </c>
      <c r="N64" s="149"/>
      <c r="O64" s="149"/>
      <c r="P64" s="149" t="str">
        <v>"lys__L_c":0.27295</v>
      </c>
      <c r="R64" s="149" t="str">
        <v>"lystrna_c":-0.27295</v>
      </c>
      <c r="S64" s="173">
        <v>2.5155241032744094E-2</v>
      </c>
      <c r="T64" s="149">
        <f t="shared" si="2"/>
        <v>2.470406304461388E-2</v>
      </c>
      <c r="U64">
        <v>2.470406304461388E-2</v>
      </c>
      <c r="V64" s="149">
        <v>2.4704063044613884E-2</v>
      </c>
      <c r="AB64" t="str">
        <v>BIOSYN-other-o2_c</v>
      </c>
      <c r="AC64" t="str">
        <v>MET-o2_c --&gt; 0.031999 BIO-o2_c</v>
      </c>
      <c r="AD64" t="s">
        <v>1648</v>
      </c>
      <c r="AE64" t="b">
        <v>1</v>
      </c>
    </row>
    <row r="65" spans="1:31" ht="16" x14ac:dyDescent="0.2">
      <c r="A65" s="144" t="s">
        <v>1353</v>
      </c>
      <c r="B65" t="str">
        <f>SUBSTITUTE(_xlfn.TEXTBEFORE(mets2721[[#This Row],[pasted JSON metabolite keys and values from GSM biomass rxn]],":"),CHAR(34),"")</f>
        <v>tag_c</v>
      </c>
      <c r="C65" t="str">
        <f>_xlfn.TEXTBEFORE(mets2721[[#This Row],[name]],"_",-1)</f>
        <v>tag</v>
      </c>
      <c r="D65" t="str">
        <f>_xlfn.XLOOKUP(mets2721[[#This Row],[name w/o location]],metaboliteInfo[name w/o location],metaboliteInfo[suggested category],"")</f>
        <v>LIPID</v>
      </c>
      <c r="E65" s="21">
        <f>_xlfn.XLOOKUP(mets2721[[#This Row],[name w/o location]],metaboliteInfo[name w/o location],metaboliteInfo[MW for biomass normalization (g/mol)],0)</f>
        <v>885.51292863263996</v>
      </c>
      <c r="F65" s="21">
        <f>_xlfn.NUMBERVALUE(SUBSTITUTE(_xlfn.TEXTAFTER(mets2721[[#This Row],[pasted JSON metabolite keys and values from GSM biomass rxn]],":"),",",""))</f>
        <v>-1.0494E-2</v>
      </c>
      <c r="G65" s="21" cm="1">
        <f t="array" ref="G65">_xlfn.LET(_xlpm.id,mets2721[[#This Row],[name w/o location]],IF(IsElementOfSet_DIY(_xlpm.id,{"atp","adp","h","pi","h2o"}),SIGN(mets2721[[#This Row],[raw (GSM) coefficient]])*(ABS(mets2721[[#This Row],[raw (GSM) coefficient]])-$J$2),mets2721[[#This Row],[raw (GSM) coefficient]]))</f>
        <v>-1.0494E-2</v>
      </c>
      <c r="H65" s="21">
        <f>mets2721[[#This Row],[coeff. w/o GAM]]</f>
        <v>-1.0494E-2</v>
      </c>
      <c r="I65" s="161">
        <f t="shared" si="0"/>
        <v>-1.0412667893848314E-2</v>
      </c>
      <c r="J65" s="21" cm="1">
        <f t="array" ref="J65">_xlfn.LET(_xlpm.id,mets2721[[#This Row],[name w/o location]],_xlpm.oldcoeff,mets2721[[#This Row],[normalized coeffs]],_xlpm.gam,$J$2-$G$2,_xlfn.IFS(IFERROR(MATCH(_xlpm.id,{"atp","h2o"},0),0)&gt;0,_xlpm.oldcoeff-_xlpm.gam,IFERROR(MATCH(_xlpm.id,{"adp","h","pi"},0),0)&gt;0,_xlpm.oldcoeff+_xlpm.gam,TRUE,_xlpm.oldcoeff))</f>
        <v>-1.0412667893848314E-2</v>
      </c>
      <c r="K65" t="str" cm="1">
        <f t="array" ref="K65">"BIOSYN-"&amp;_xlfn.IFS(IFERROR(MATCH(mets2721[[#This Row],[category]],{0,"0",""},0),0)&gt;0,mets2721[[#This Row],[name]],TRUE,mets2721[[#This Row],[category]]&amp;"-"&amp;mets2721[[#This Row],[name]])</f>
        <v>BIOSYN-LIPID-tag_c</v>
      </c>
      <c r="L65" s="149" t="str" cm="1">
        <f t="array" ref="L65">IF(IsElementOfSet_DIY(mets2721[[#This Row],[category]],{"ignore","PROT"}),"",_xlfn.LET(_xlpm.mw,mets2721[[#This Row],[MW for biomass normalization (g/mol)]],"MET-"&amp;mets2721[[#This Row],[name]]&amp;" --&gt; "&amp;IF((mets2721[[#This Row],[category]]="DNA")+(mets2721[[#This Row],[category]]="RNA"),"MET-ppi_c + ","")&amp;ROUND(ABS(_xlpm.mw/1000),6)&amp;" BIO-"&amp;mets2721[[#This Row],[name]]))</f>
        <v>MET-tag_c --&gt; 0.885513 BIO-tag_c</v>
      </c>
      <c r="M65" s="149" cm="1">
        <f t="array" ref="M6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-1.0225908937919437E-2</v>
      </c>
      <c r="N65" s="149"/>
      <c r="O65" s="149"/>
      <c r="P65" s="149" t="str">
        <v>"mannan_c":0.49015</v>
      </c>
      <c r="R65" s="149" t="str">
        <v>"mannan_c":-0.49015</v>
      </c>
      <c r="S65" s="174">
        <v>-5.5586024199253041E-5</v>
      </c>
      <c r="T65" s="149">
        <f t="shared" si="2"/>
        <v>-5.4589047444638315E-5</v>
      </c>
      <c r="U65">
        <v>-5.4589047444638315E-5</v>
      </c>
      <c r="V65" s="149">
        <v>-5.4589047444638322E-5</v>
      </c>
      <c r="AB65" t="str">
        <v>BIOSYN-PI-pi_c</v>
      </c>
      <c r="AC65" t="str">
        <v>MET-pi_c --&gt; 0.095979 BIO-pi_c</v>
      </c>
      <c r="AD65" t="s">
        <v>1649</v>
      </c>
      <c r="AE65" t="b">
        <v>1</v>
      </c>
    </row>
    <row r="66" spans="1:31" ht="16" x14ac:dyDescent="0.2">
      <c r="A66" s="144" t="s">
        <v>1354</v>
      </c>
      <c r="B66" t="str">
        <f>SUBSTITUTE(_xlfn.TEXTBEFORE(mets2721[[#This Row],[pasted JSON metabolite keys and values from GSM biomass rxn]],":"),CHAR(34),"")</f>
        <v>thrtrna_c</v>
      </c>
      <c r="C66" t="str">
        <f>_xlfn.TEXTBEFORE(mets2721[[#This Row],[name]],"_",-1)</f>
        <v>thrtrna</v>
      </c>
      <c r="D66" t="str">
        <f>_xlfn.XLOOKUP(mets2721[[#This Row],[name w/o location]],metaboliteInfo[name w/o location],metaboliteInfo[suggested category],"")</f>
        <v>PROT</v>
      </c>
      <c r="E66" s="21">
        <f>_xlfn.XLOOKUP(mets2721[[#This Row],[name w/o location]],metaboliteInfo[name w/o location],metaboliteInfo[MW for biomass normalization (g/mol)],0)</f>
        <v>102.11181999999999</v>
      </c>
      <c r="F66" s="21">
        <f>_xlfn.NUMBERVALUE(SUBSTITUTE(_xlfn.TEXTAFTER(mets2721[[#This Row],[pasted JSON metabolite keys and values from GSM biomass rxn]],":"),",",""))</f>
        <v>-0.231405</v>
      </c>
      <c r="G66" s="21" cm="1">
        <f t="array" ref="G66">_xlfn.LET(_xlpm.id,mets2721[[#This Row],[name w/o location]],IF(IsElementOfSet_DIY(_xlpm.id,{"atp","adp","h","pi","h2o"}),SIGN(mets2721[[#This Row],[raw (GSM) coefficient]])*(ABS(mets2721[[#This Row],[raw (GSM) coefficient]])-$J$2),mets2721[[#This Row],[raw (GSM) coefficient]]))</f>
        <v>-0.231405</v>
      </c>
      <c r="H66" s="21">
        <f>mets2721[[#This Row],[coeff. w/o GAM]]</f>
        <v>-0.231405</v>
      </c>
      <c r="I66" s="161">
        <f t="shared" si="0"/>
        <v>-0.22961153173012855</v>
      </c>
      <c r="J66" s="21" cm="1">
        <f t="array" ref="J66">_xlfn.LET(_xlpm.id,mets2721[[#This Row],[name w/o location]],_xlpm.oldcoeff,mets2721[[#This Row],[normalized coeffs]],_xlpm.gam,$J$2-$G$2,_xlfn.IFS(IFERROR(MATCH(_xlpm.id,{"atp","h2o"},0),0)&gt;0,_xlpm.oldcoeff-_xlpm.gam,IFERROR(MATCH(_xlpm.id,{"adp","h","pi"},0),0)&gt;0,_xlpm.oldcoeff+_xlpm.gam,TRUE,_xlpm.oldcoeff))</f>
        <v>-0.22961153173012855</v>
      </c>
      <c r="K66" t="str" cm="1">
        <f t="array" ref="K66">"BIOSYN-"&amp;_xlfn.IFS(IFERROR(MATCH(mets2721[[#This Row],[category]],{0,"0",""},0),0)&gt;0,mets2721[[#This Row],[name]],TRUE,mets2721[[#This Row],[category]]&amp;"-"&amp;mets2721[[#This Row],[name]])</f>
        <v>BIOSYN-PROT-thrtrna_c</v>
      </c>
      <c r="L66" s="149" t="str" cm="1">
        <f t="array" ref="L66">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66" s="149" cm="1">
        <f t="array" ref="M6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-0.23786031060648338</v>
      </c>
      <c r="N66" s="149"/>
      <c r="O66" s="149"/>
      <c r="P66" s="149" t="str">
        <v>"met__L_c":0.047361</v>
      </c>
      <c r="R66" s="149" t="str">
        <v>"mettrna_c":-0.047361</v>
      </c>
      <c r="S66" s="173">
        <v>1.0062099191299278E-2</v>
      </c>
      <c r="T66" s="149">
        <f t="shared" si="2"/>
        <v>9.8816279462180766E-3</v>
      </c>
      <c r="U66">
        <v>9.8816279462180766E-3</v>
      </c>
      <c r="V66" s="149">
        <v>9.8816279462180783E-3</v>
      </c>
      <c r="AB66" t="str">
        <v>BIOSYN-RNA-atp_c</v>
      </c>
      <c r="AC66" t="str">
        <v>MET-atp_c --&gt; MET-ppi_c + 0.328198 BIO-atp_c</v>
      </c>
      <c r="AD66" t="s">
        <v>1650</v>
      </c>
      <c r="AE66" t="b">
        <v>1</v>
      </c>
    </row>
    <row r="67" spans="1:31" ht="16" x14ac:dyDescent="0.2">
      <c r="A67" s="144" t="s">
        <v>1355</v>
      </c>
      <c r="B67" t="str">
        <f>SUBSTITUTE(_xlfn.TEXTBEFORE(mets2721[[#This Row],[pasted JSON metabolite keys and values from GSM biomass rxn]],":"),CHAR(34),"")</f>
        <v>tre_c</v>
      </c>
      <c r="C67" t="str">
        <f>_xlfn.TEXTBEFORE(mets2721[[#This Row],[name]],"_",-1)</f>
        <v>tre</v>
      </c>
      <c r="D67" t="str">
        <f>_xlfn.XLOOKUP(mets2721[[#This Row],[name w/o location]],metaboliteInfo[name w/o location],metaboliteInfo[suggested category],"")</f>
        <v>CARB</v>
      </c>
      <c r="E67" s="21">
        <f>_xlfn.XLOOKUP(mets2721[[#This Row],[name w/o location]],metaboliteInfo[name w/o location],metaboliteInfo[MW for biomass normalization (g/mol)],0)</f>
        <v>342.29647999999997</v>
      </c>
      <c r="F67" s="21">
        <f>_xlfn.NUMBERVALUE(SUBSTITUTE(_xlfn.TEXTAFTER(mets2721[[#This Row],[pasted JSON metabolite keys and values from GSM biomass rxn]],":"),",",""))</f>
        <v>-0.137707</v>
      </c>
      <c r="G67" s="21" cm="1">
        <f t="array" ref="G67">_xlfn.LET(_xlpm.id,mets2721[[#This Row],[name w/o location]],IF(IsElementOfSet_DIY(_xlpm.id,{"atp","adp","h","pi","h2o"}),SIGN(mets2721[[#This Row],[raw (GSM) coefficient]])*(ABS(mets2721[[#This Row],[raw (GSM) coefficient]])-$J$2),mets2721[[#This Row],[raw (GSM) coefficient]]))</f>
        <v>-0.137707</v>
      </c>
      <c r="H67" s="21">
        <f>mets2721[[#This Row],[coeff. w/o GAM]]</f>
        <v>-0.137707</v>
      </c>
      <c r="I67" s="161">
        <f t="shared" si="0"/>
        <v>-0.13663972342845146</v>
      </c>
      <c r="J67" s="21" cm="1">
        <f t="array" ref="J67">_xlfn.LET(_xlpm.id,mets2721[[#This Row],[name w/o location]],_xlpm.oldcoeff,mets2721[[#This Row],[normalized coeffs]],_xlpm.gam,$J$2-$G$2,_xlfn.IFS(IFERROR(MATCH(_xlpm.id,{"atp","h2o"},0),0)&gt;0,_xlpm.oldcoeff-_xlpm.gam,IFERROR(MATCH(_xlpm.id,{"adp","h","pi"},0),0)&gt;0,_xlpm.oldcoeff+_xlpm.gam,TRUE,_xlpm.oldcoeff))</f>
        <v>-0.13663972342845146</v>
      </c>
      <c r="K67" t="str" cm="1">
        <f t="array" ref="K67">"BIOSYN-"&amp;_xlfn.IFS(IFERROR(MATCH(mets2721[[#This Row],[category]],{0,"0",""},0),0)&gt;0,mets2721[[#This Row],[name]],TRUE,mets2721[[#This Row],[category]]&amp;"-"&amp;mets2721[[#This Row],[name]])</f>
        <v>BIOSYN-CARB-tre_c</v>
      </c>
      <c r="L67" s="149" t="str" cm="1">
        <f t="array" ref="L67">IF(IsElementOfSet_DIY(mets2721[[#This Row],[category]],{"ignore","PROT"}),"",_xlfn.LET(_xlpm.mw,mets2721[[#This Row],[MW for biomass normalization (g/mol)]],"MET-"&amp;mets2721[[#This Row],[name]]&amp;" --&gt; "&amp;IF((mets2721[[#This Row],[category]]="DNA")+(mets2721[[#This Row],[category]]="RNA"),"MET-ppi_c + ","")&amp;ROUND(ABS(_xlpm.mw/1000),6)&amp;" BIO-"&amp;mets2721[[#This Row],[name]]))</f>
        <v>MET-tre_c --&gt; 0.342296 BIO-tre_c</v>
      </c>
      <c r="M67" s="149" cm="1">
        <f t="array" ref="M6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-0.13418898819459421</v>
      </c>
      <c r="N67" s="149"/>
      <c r="O67" s="149"/>
      <c r="P67" s="149" t="str">
        <v>"mg2_c":0.063607</v>
      </c>
      <c r="R67" s="149" t="str">
        <v>"mg2_c":-0.063607</v>
      </c>
      <c r="S67" s="174">
        <v>0.45828391850960704</v>
      </c>
      <c r="T67" s="149">
        <v>0.46800000000000003</v>
      </c>
      <c r="U67">
        <v>0.46800000000000003</v>
      </c>
      <c r="V67" s="149">
        <v>0.46800000000000008</v>
      </c>
      <c r="AB67" t="str">
        <v>BIOSYN-RNA-ctp_c</v>
      </c>
      <c r="AC67" t="str">
        <v>MET-ctp_c --&gt; MET-ppi_c + 0.304173 BIO-ctp_c</v>
      </c>
      <c r="AD67" t="s">
        <v>1651</v>
      </c>
      <c r="AE67" t="b">
        <v>1</v>
      </c>
    </row>
    <row r="68" spans="1:31" ht="16" x14ac:dyDescent="0.2">
      <c r="A68" s="144" t="s">
        <v>1356</v>
      </c>
      <c r="B68" t="str">
        <f>SUBSTITUTE(_xlfn.TEXTBEFORE(mets2721[[#This Row],[pasted JSON metabolite keys and values from GSM biomass rxn]],":"),CHAR(34),"")</f>
        <v>trptrna_c</v>
      </c>
      <c r="C68" t="str">
        <f>_xlfn.TEXTBEFORE(mets2721[[#This Row],[name]],"_",-1)</f>
        <v>trptrna</v>
      </c>
      <c r="D68" t="str">
        <f>_xlfn.XLOOKUP(mets2721[[#This Row],[name w/o location]],metaboliteInfo[name w/o location],metaboliteInfo[suggested category],"")</f>
        <v>PROT</v>
      </c>
      <c r="E68" s="21">
        <f>_xlfn.XLOOKUP(mets2721[[#This Row],[name w/o location]],metaboliteInfo[name w/o location],metaboliteInfo[MW for biomass normalization (g/mol)],0)</f>
        <v>187.21784</v>
      </c>
      <c r="F68" s="21">
        <f>_xlfn.NUMBERVALUE(SUBSTITUTE(_xlfn.TEXTAFTER(mets2721[[#This Row],[pasted JSON metabolite keys and values from GSM biomass rxn]],":"),",",""))</f>
        <v>-2.7004E-2</v>
      </c>
      <c r="G68" s="21" cm="1">
        <f t="array" ref="G68">_xlfn.LET(_xlpm.id,mets2721[[#This Row],[name w/o location]],IF(IsElementOfSet_DIY(_xlpm.id,{"atp","adp","h","pi","h2o"}),SIGN(mets2721[[#This Row],[raw (GSM) coefficient]])*(ABS(mets2721[[#This Row],[raw (GSM) coefficient]])-$J$2),mets2721[[#This Row],[raw (GSM) coefficient]]))</f>
        <v>-2.7004E-2</v>
      </c>
      <c r="H68" s="21">
        <f>mets2721[[#This Row],[coeff. w/o GAM]]</f>
        <v>-2.7004E-2</v>
      </c>
      <c r="I68" s="161">
        <f t="shared" si="0"/>
        <v>-2.6794709720362096E-2</v>
      </c>
      <c r="J68" s="21" cm="1">
        <f t="array" ref="J68">_xlfn.LET(_xlpm.id,mets2721[[#This Row],[name w/o location]],_xlpm.oldcoeff,mets2721[[#This Row],[normalized coeffs]],_xlpm.gam,$J$2-$G$2,_xlfn.IFS(IFERROR(MATCH(_xlpm.id,{"atp","h2o"},0),0)&gt;0,_xlpm.oldcoeff-_xlpm.gam,IFERROR(MATCH(_xlpm.id,{"adp","h","pi"},0),0)&gt;0,_xlpm.oldcoeff+_xlpm.gam,TRUE,_xlpm.oldcoeff))</f>
        <v>-2.6794709720362096E-2</v>
      </c>
      <c r="K68" t="str" cm="1">
        <f t="array" ref="K68">"BIOSYN-"&amp;_xlfn.IFS(IFERROR(MATCH(mets2721[[#This Row],[category]],{0,"0",""},0),0)&gt;0,mets2721[[#This Row],[name]],TRUE,mets2721[[#This Row],[category]]&amp;"-"&amp;mets2721[[#This Row],[name]])</f>
        <v>BIOSYN-PROT-trptrna_c</v>
      </c>
      <c r="L68" s="149" t="str" cm="1">
        <f t="array" ref="L68">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68" s="149" cm="1">
        <f t="array" ref="M6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-2.7757307869827691E-2</v>
      </c>
      <c r="N68" s="149"/>
      <c r="O68" s="149"/>
      <c r="P68" s="149" t="str">
        <v>"mn2_c":9.4e-05</v>
      </c>
      <c r="R68" s="149" t="str">
        <v>"mn2_c":-9.4e-05</v>
      </c>
      <c r="S68" s="173">
        <v>0.11290196890304988</v>
      </c>
      <c r="T68" s="149">
        <f t="shared" ref="T68:T69" si="3">S68*$T$59</f>
        <v>0.11087698798081137</v>
      </c>
      <c r="U68">
        <v>0.11087698798081137</v>
      </c>
      <c r="V68" s="149">
        <v>0.11087698798081139</v>
      </c>
      <c r="AB68" t="str">
        <v>BIOSYN-RNA-gtp_c</v>
      </c>
      <c r="AC68" t="str">
        <v>MET-gtp_c --&gt; MET-ppi_c + 0.344197 BIO-gtp_c</v>
      </c>
      <c r="AD68" t="s">
        <v>1652</v>
      </c>
      <c r="AE68" t="b">
        <v>1</v>
      </c>
    </row>
    <row r="69" spans="1:31" ht="16" x14ac:dyDescent="0.2">
      <c r="A69" s="144" t="s">
        <v>1384</v>
      </c>
      <c r="B69" t="str">
        <f>SUBSTITUTE(_xlfn.TEXTBEFORE(mets2721[[#This Row],[pasted JSON metabolite keys and values from GSM biomass rxn]],":"),CHAR(34),"")</f>
        <v>ttccoa_c</v>
      </c>
      <c r="C69" t="str">
        <f>_xlfn.TEXTBEFORE(mets2721[[#This Row],[name]],"_",-1)</f>
        <v>ttccoa</v>
      </c>
      <c r="D69" t="str">
        <f>_xlfn.XLOOKUP(mets2721[[#This Row],[name w/o location]],metaboliteInfo[name w/o location],metaboliteInfo[suggested category],"")</f>
        <v>LIPID</v>
      </c>
      <c r="E69" s="21">
        <f>_xlfn.XLOOKUP(mets2721[[#This Row],[name w/o location]],metaboliteInfo[name w/o location],metaboliteInfo[MW for biomass normalization (g/mol)],0)</f>
        <v>1114.123803</v>
      </c>
      <c r="F69" s="21">
        <f>_xlfn.NUMBERVALUE(SUBSTITUTE(_xlfn.TEXTAFTER(mets2721[[#This Row],[pasted JSON metabolite keys and values from GSM biomass rxn]],":"),",",""))</f>
        <v>-1.036138777E-3</v>
      </c>
      <c r="G69" s="21" cm="1">
        <f t="array" ref="G69">_xlfn.LET(_xlpm.id,mets2721[[#This Row],[name w/o location]],IF(IsElementOfSet_DIY(_xlpm.id,{"atp","adp","h","pi","h2o"}),SIGN(mets2721[[#This Row],[raw (GSM) coefficient]])*(ABS(mets2721[[#This Row],[raw (GSM) coefficient]])-$J$2),mets2721[[#This Row],[raw (GSM) coefficient]]))</f>
        <v>-1.036138777E-3</v>
      </c>
      <c r="H69" s="21">
        <f>mets2721[[#This Row],[coeff. w/o GAM]]</f>
        <v>-1.036138777E-3</v>
      </c>
      <c r="I69" s="161">
        <f t="shared" si="0"/>
        <v>-1.0281083454201597E-3</v>
      </c>
      <c r="J69" s="21" cm="1">
        <f t="array" ref="J69">_xlfn.LET(_xlpm.id,mets2721[[#This Row],[name w/o location]],_xlpm.oldcoeff,mets2721[[#This Row],[normalized coeffs]],_xlpm.gam,$J$2-$G$2,_xlfn.IFS(IFERROR(MATCH(_xlpm.id,{"atp","h2o"},0),0)&gt;0,_xlpm.oldcoeff-_xlpm.gam,IFERROR(MATCH(_xlpm.id,{"adp","h","pi"},0),0)&gt;0,_xlpm.oldcoeff+_xlpm.gam,TRUE,_xlpm.oldcoeff))</f>
        <v>-1.0281083454201597E-3</v>
      </c>
      <c r="K69" t="str" cm="1">
        <f t="array" ref="K69">"BIOSYN-"&amp;_xlfn.IFS(IFERROR(MATCH(mets2721[[#This Row],[category]],{0,"0",""},0),0)&gt;0,mets2721[[#This Row],[name]],TRUE,mets2721[[#This Row],[category]]&amp;"-"&amp;mets2721[[#This Row],[name]])</f>
        <v>BIOSYN-LIPID-ttccoa_c</v>
      </c>
      <c r="L69" s="149" t="str" cm="1">
        <f t="array" ref="L69">IF(IsElementOfSet_DIY(mets2721[[#This Row],[category]],{"ignore","PROT"}),"",_xlfn.LET(_xlpm.mw,mets2721[[#This Row],[MW for biomass normalization (g/mol)]],"MET-"&amp;mets2721[[#This Row],[name]]&amp;" --&gt; "&amp;IF((mets2721[[#This Row],[category]]="DNA")+(mets2721[[#This Row],[category]]="RNA"),"MET-ppi_c + ","")&amp;ROUND(ABS(_xlpm.mw/1000),6)&amp;" BIO-"&amp;mets2721[[#This Row],[name]]))</f>
        <v>MET-ttccoa_c --&gt; 1.114124 BIO-ttccoa_c</v>
      </c>
      <c r="M69" s="149" cm="1">
        <f t="array" ref="M6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-1.0096684563225856E-3</v>
      </c>
      <c r="N69" s="149"/>
      <c r="O69" s="149"/>
      <c r="P69" s="149" t="str">
        <v>"pail_c":0.007738</v>
      </c>
      <c r="R69" s="149" t="str">
        <v>"pail_c":-0.007738</v>
      </c>
      <c r="S69" s="174">
        <v>2.9761164692624501E-3</v>
      </c>
      <c r="T69" s="149">
        <f t="shared" si="3"/>
        <v>2.9227376032322982E-3</v>
      </c>
      <c r="U69">
        <v>2.9227376032322982E-3</v>
      </c>
      <c r="V69" s="149">
        <v>2.9227376032322987E-3</v>
      </c>
      <c r="AB69" t="str">
        <v>BIOSYN-RNA-utp_c</v>
      </c>
      <c r="AC69" t="str">
        <v>MET-utp_c --&gt; MET-ppi_c + 0.305158 BIO-utp_c</v>
      </c>
      <c r="AD69" t="s">
        <v>1653</v>
      </c>
      <c r="AE69" t="b">
        <v>1</v>
      </c>
    </row>
    <row r="70" spans="1:31" ht="16" x14ac:dyDescent="0.2">
      <c r="A70" s="144" t="s">
        <v>1357</v>
      </c>
      <c r="B70" t="str">
        <f>SUBSTITUTE(_xlfn.TEXTBEFORE(mets2721[[#This Row],[pasted JSON metabolite keys and values from GSM biomass rxn]],":"),CHAR(34),"")</f>
        <v>tyrtrna_c</v>
      </c>
      <c r="C70" t="str">
        <f>_xlfn.TEXTBEFORE(mets2721[[#This Row],[name]],"_",-1)</f>
        <v>tyrtrna</v>
      </c>
      <c r="D70" t="str">
        <f>_xlfn.XLOOKUP(mets2721[[#This Row],[name w/o location]],metaboliteInfo[name w/o location],metaboliteInfo[suggested category],"")</f>
        <v>PROT</v>
      </c>
      <c r="E70" s="21">
        <f>_xlfn.XLOOKUP(mets2721[[#This Row],[name w/o location]],metaboliteInfo[name w/o location],metaboliteInfo[MW for biomass normalization (g/mol)],0)</f>
        <v>164.18119999999999</v>
      </c>
      <c r="F70" s="21">
        <f>_xlfn.NUMBERVALUE(SUBSTITUTE(_xlfn.TEXTAFTER(mets2721[[#This Row],[pasted JSON metabolite keys and values from GSM biomass rxn]],":"),",",""))</f>
        <v>-8.1428E-2</v>
      </c>
      <c r="G70" s="21" cm="1">
        <f t="array" ref="G70">_xlfn.LET(_xlpm.id,mets2721[[#This Row],[name w/o location]],IF(IsElementOfSet_DIY(_xlpm.id,{"atp","adp","h","pi","h2o"}),SIGN(mets2721[[#This Row],[raw (GSM) coefficient]])*(ABS(mets2721[[#This Row],[raw (GSM) coefficient]])-$J$2),mets2721[[#This Row],[raw (GSM) coefficient]]))</f>
        <v>-8.1428E-2</v>
      </c>
      <c r="H70" s="21">
        <f>mets2721[[#This Row],[coeff. w/o GAM]]</f>
        <v>-8.1428E-2</v>
      </c>
      <c r="I70" s="161">
        <f t="shared" ref="I70:I92" si="4">H70/($H$3)</f>
        <v>-8.0796905018132303E-2</v>
      </c>
      <c r="J70" s="21" cm="1">
        <f t="array" ref="J70">_xlfn.LET(_xlpm.id,mets2721[[#This Row],[name w/o location]],_xlpm.oldcoeff,mets2721[[#This Row],[normalized coeffs]],_xlpm.gam,$J$2-$G$2,_xlfn.IFS(IFERROR(MATCH(_xlpm.id,{"atp","h2o"},0),0)&gt;0,_xlpm.oldcoeff-_xlpm.gam,IFERROR(MATCH(_xlpm.id,{"adp","h","pi"},0),0)&gt;0,_xlpm.oldcoeff+_xlpm.gam,TRUE,_xlpm.oldcoeff))</f>
        <v>-8.0796905018132303E-2</v>
      </c>
      <c r="K70" t="str" cm="1">
        <f t="array" ref="K70">"BIOSYN-"&amp;_xlfn.IFS(IFERROR(MATCH(mets2721[[#This Row],[category]],{0,"0",""},0),0)&gt;0,mets2721[[#This Row],[name]],TRUE,mets2721[[#This Row],[category]]&amp;"-"&amp;mets2721[[#This Row],[name]])</f>
        <v>BIOSYN-PROT-tyrtrna_c</v>
      </c>
      <c r="L70" s="149" t="str" cm="1">
        <f t="array" ref="L70">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0" s="149" cm="1">
        <f t="array" ref="M7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-8.3699528411506782E-2</v>
      </c>
      <c r="N70" s="149"/>
      <c r="O70" s="149"/>
      <c r="P70" s="149" t="str">
        <v>"pc_c":0.028783</v>
      </c>
      <c r="R70" s="149" t="str">
        <v>"pc_c":-0.028783</v>
      </c>
      <c r="S70" s="149"/>
      <c r="T70" s="149"/>
      <c r="V70" s="149"/>
      <c r="AB70" t="str">
        <v>BIOSYN-SO4-so4_c</v>
      </c>
      <c r="AC70" t="str">
        <v>MET-so4_c --&gt; 0.096063 BIO-so4_c</v>
      </c>
      <c r="AD70" t="s">
        <v>1654</v>
      </c>
      <c r="AE70" t="b">
        <v>1</v>
      </c>
    </row>
    <row r="71" spans="1:31" ht="16" x14ac:dyDescent="0.2">
      <c r="A71" s="144" t="s">
        <v>1358</v>
      </c>
      <c r="B71" t="str">
        <f>SUBSTITUTE(_xlfn.TEXTBEFORE(mets2721[[#This Row],[pasted JSON metabolite keys and values from GSM biomass rxn]],":"),CHAR(34),"")</f>
        <v>utp_c</v>
      </c>
      <c r="C71" t="str">
        <f>_xlfn.TEXTBEFORE(mets2721[[#This Row],[name]],"_",-1)</f>
        <v>utp</v>
      </c>
      <c r="D71" t="str">
        <f>_xlfn.XLOOKUP(mets2721[[#This Row],[name w/o location]],metaboliteInfo[name w/o location],metaboliteInfo[suggested category],"")</f>
        <v>RNA</v>
      </c>
      <c r="E71" s="21">
        <f>_xlfn.XLOOKUP(mets2721[[#This Row],[name w/o location]],metaboliteInfo[name w/o location],metaboliteInfo[MW for biomass normalization (g/mol)],0)</f>
        <v>305.15806099999998</v>
      </c>
      <c r="F71" s="21">
        <f>_xlfn.NUMBERVALUE(SUBSTITUTE(_xlfn.TEXTAFTER(mets2721[[#This Row],[pasted JSON metabolite keys and values from GSM biomass rxn]],":"),",",""))</f>
        <v>-6.2536999999999995E-2</v>
      </c>
      <c r="G71" s="21" cm="1">
        <f t="array" ref="G71">_xlfn.LET(_xlpm.id,mets2721[[#This Row],[name w/o location]],IF(IsElementOfSet_DIY(_xlpm.id,{"atp","adp","h","pi","h2o"}),SIGN(mets2721[[#This Row],[raw (GSM) coefficient]])*(ABS(mets2721[[#This Row],[raw (GSM) coefficient]])-$J$2),mets2721[[#This Row],[raw (GSM) coefficient]]))</f>
        <v>-6.2536999999999995E-2</v>
      </c>
      <c r="H71" s="21">
        <f>mets2721[[#This Row],[coeff. w/o GAM]]</f>
        <v>-6.2536999999999995E-2</v>
      </c>
      <c r="I71" s="161">
        <f t="shared" si="4"/>
        <v>-6.2052316759823888E-2</v>
      </c>
      <c r="J71" s="21" cm="1">
        <f t="array" ref="J71">_xlfn.LET(_xlpm.id,mets2721[[#This Row],[name w/o location]],_xlpm.oldcoeff,mets2721[[#This Row],[normalized coeffs]],_xlpm.gam,$J$2-$G$2,_xlfn.IFS(IFERROR(MATCH(_xlpm.id,{"atp","h2o"},0),0)&gt;0,_xlpm.oldcoeff-_xlpm.gam,IFERROR(MATCH(_xlpm.id,{"adp","h","pi"},0),0)&gt;0,_xlpm.oldcoeff+_xlpm.gam,TRUE,_xlpm.oldcoeff))</f>
        <v>-6.2052316759823888E-2</v>
      </c>
      <c r="K71" t="str" cm="1">
        <f t="array" ref="K71">"BIOSYN-"&amp;_xlfn.IFS(IFERROR(MATCH(mets2721[[#This Row],[category]],{0,"0",""},0),0)&gt;0,mets2721[[#This Row],[name]],TRUE,mets2721[[#This Row],[category]]&amp;"-"&amp;mets2721[[#This Row],[name]])</f>
        <v>BIOSYN-RNA-utp_c</v>
      </c>
      <c r="L71" s="149" t="str" cm="1">
        <f t="array" ref="L71">IF(IsElementOfSet_DIY(mets2721[[#This Row],[category]],{"ignore","PROT"}),"",_xlfn.LET(_xlpm.mw,mets2721[[#This Row],[MW for biomass normalization (g/mol)]],"MET-"&amp;mets2721[[#This Row],[name]]&amp;" --&gt; "&amp;IF((mets2721[[#This Row],[category]]="DNA")+(mets2721[[#This Row],[category]]="RNA"),"MET-ppi_c + ","")&amp;ROUND(ABS(_xlpm.mw/1000),6)&amp;" BIO-"&amp;mets2721[[#This Row],[name]]))</f>
        <v>MET-utp_c --&gt; MET-ppi_c + 0.305158 BIO-utp_c</v>
      </c>
      <c r="M71" s="149" cm="1">
        <f t="array" ref="M7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-6.0939362230862174E-2</v>
      </c>
      <c r="N71" s="149"/>
      <c r="O71" s="149"/>
      <c r="P71" s="149" t="str">
        <v>"pe_c":0.00772</v>
      </c>
      <c r="R71" s="149" t="str">
        <v>"pe_c":-0.00772</v>
      </c>
      <c r="S71" s="149" cm="1">
        <f t="array" ref="S71:S80">S60:S69*S67/T67</f>
        <v>0.29943560158872012</v>
      </c>
      <c r="T71" s="149"/>
      <c r="V71" s="149"/>
    </row>
    <row r="72" spans="1:31" ht="16" x14ac:dyDescent="0.2">
      <c r="A72" s="144" t="s">
        <v>1359</v>
      </c>
      <c r="B72" t="str">
        <f>SUBSTITUTE(_xlfn.TEXTBEFORE(mets2721[[#This Row],[pasted JSON metabolite keys and values from GSM biomass rxn]],":"),CHAR(34),"")</f>
        <v>valtrna_c</v>
      </c>
      <c r="C72" t="str">
        <f>_xlfn.TEXTBEFORE(mets2721[[#This Row],[name]],"_",-1)</f>
        <v>valtrna</v>
      </c>
      <c r="D72" t="str">
        <f>_xlfn.XLOOKUP(mets2721[[#This Row],[name w/o location]],metaboliteInfo[name w/o location],metaboliteInfo[suggested category],"")</f>
        <v>PROT</v>
      </c>
      <c r="E72" s="21">
        <f>_xlfn.XLOOKUP(mets2721[[#This Row],[name w/o location]],metaboliteInfo[name w/o location],metaboliteInfo[MW for biomass normalization (g/mol)],0)</f>
        <v>100.139</v>
      </c>
      <c r="F72" s="21">
        <f>_xlfn.NUMBERVALUE(SUBSTITUTE(_xlfn.TEXTAFTER(mets2721[[#This Row],[pasted JSON metabolite keys and values from GSM biomass rxn]],":"),",",""))</f>
        <v>-0.30452400000000002</v>
      </c>
      <c r="G72" s="21" cm="1">
        <f t="array" ref="G72">_xlfn.LET(_xlpm.id,mets2721[[#This Row],[name w/o location]],IF(IsElementOfSet_DIY(_xlpm.id,{"atp","adp","h","pi","h2o"}),SIGN(mets2721[[#This Row],[raw (GSM) coefficient]])*(ABS(mets2721[[#This Row],[raw (GSM) coefficient]])-$J$2),mets2721[[#This Row],[raw (GSM) coefficient]]))</f>
        <v>-0.30452400000000002</v>
      </c>
      <c r="H72" s="21">
        <f>mets2721[[#This Row],[coeff. w/o GAM]]</f>
        <v>-0.30452400000000002</v>
      </c>
      <c r="I72" s="161">
        <f t="shared" si="4"/>
        <v>-0.30216383435356048</v>
      </c>
      <c r="J72" s="21" cm="1">
        <f t="array" ref="J72">_xlfn.LET(_xlpm.id,mets2721[[#This Row],[name w/o location]],_xlpm.oldcoeff,mets2721[[#This Row],[normalized coeffs]],_xlpm.gam,$J$2-$G$2,_xlfn.IFS(IFERROR(MATCH(_xlpm.id,{"atp","h2o"},0),0)&gt;0,_xlpm.oldcoeff-_xlpm.gam,IFERROR(MATCH(_xlpm.id,{"adp","h","pi"},0),0)&gt;0,_xlpm.oldcoeff+_xlpm.gam,TRUE,_xlpm.oldcoeff))</f>
        <v>-0.30216383435356048</v>
      </c>
      <c r="K72" t="str" cm="1">
        <f t="array" ref="K72">"BIOSYN-"&amp;_xlfn.IFS(IFERROR(MATCH(mets2721[[#This Row],[category]],{0,"0",""},0),0)&gt;0,mets2721[[#This Row],[name]],TRUE,mets2721[[#This Row],[category]]&amp;"-"&amp;mets2721[[#This Row],[name]])</f>
        <v>BIOSYN-PROT-valtrna_c</v>
      </c>
      <c r="L72" s="149" t="str" cm="1">
        <f t="array" ref="L72">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2" s="149" cm="1">
        <f t="array" ref="M7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-0.31301904983526174</v>
      </c>
      <c r="N72" s="149"/>
      <c r="O72" s="149"/>
      <c r="P72" s="149" t="str">
        <v>"phe__L_c":0.156209</v>
      </c>
      <c r="R72" s="149" t="str">
        <v>"phetrna_c":-0.156209</v>
      </c>
      <c r="S72" s="149">
        <v>-3.515688915782213E-3</v>
      </c>
      <c r="T72" s="149"/>
      <c r="V72" s="149"/>
    </row>
    <row r="73" spans="1:31" ht="16" x14ac:dyDescent="0.2">
      <c r="A73" s="144" t="s">
        <v>1360</v>
      </c>
      <c r="B73" t="str">
        <f>SUBSTITUTE(_xlfn.TEXTBEFORE(mets2721[[#This Row],[pasted JSON metabolite keys and values from GSM biomass rxn]],":"),CHAR(34),"")</f>
        <v>zn2_c</v>
      </c>
      <c r="C73" t="str">
        <f>_xlfn.TEXTBEFORE(mets2721[[#This Row],[name]],"_",-1)</f>
        <v>zn2</v>
      </c>
      <c r="D73" t="str">
        <f>_xlfn.XLOOKUP(mets2721[[#This Row],[name w/o location]],metaboliteInfo[name w/o location],metaboliteInfo[suggested category],"")</f>
        <v>METAL</v>
      </c>
      <c r="E73" s="21">
        <f>_xlfn.XLOOKUP(mets2721[[#This Row],[name w/o location]],metaboliteInfo[name w/o location],metaboliteInfo[MW for biomass normalization (g/mol)],0)</f>
        <v>65.38</v>
      </c>
      <c r="F73" s="21">
        <f>_xlfn.NUMBERVALUE(SUBSTITUTE(_xlfn.TEXTAFTER(mets2721[[#This Row],[pasted JSON metabolite keys and values from GSM biomass rxn]],":"),",",""))</f>
        <v>-1.5759999999999999E-3</v>
      </c>
      <c r="G73" s="21" cm="1">
        <f t="array" ref="G73">_xlfn.LET(_xlpm.id,mets2721[[#This Row],[name w/o location]],IF(IsElementOfSet_DIY(_xlpm.id,{"atp","adp","h","pi","h2o"}),SIGN(mets2721[[#This Row],[raw (GSM) coefficient]])*(ABS(mets2721[[#This Row],[raw (GSM) coefficient]])-$J$2),mets2721[[#This Row],[raw (GSM) coefficient]]))</f>
        <v>-1.5759999999999999E-3</v>
      </c>
      <c r="H73" s="21">
        <f>mets2721[[#This Row],[coeff. w/o GAM]]</f>
        <v>-1.5759999999999999E-3</v>
      </c>
      <c r="I73" s="161">
        <f t="shared" si="4"/>
        <v>-1.563785458424332E-3</v>
      </c>
      <c r="J73" s="21" cm="1">
        <f t="array" ref="J73">_xlfn.LET(_xlpm.id,mets2721[[#This Row],[name w/o location]],_xlpm.oldcoeff,mets2721[[#This Row],[normalized coeffs]],_xlpm.gam,$J$2-$G$2,_xlfn.IFS(IFERROR(MATCH(_xlpm.id,{"atp","h2o"},0),0)&gt;0,_xlpm.oldcoeff-_xlpm.gam,IFERROR(MATCH(_xlpm.id,{"adp","h","pi"},0),0)&gt;0,_xlpm.oldcoeff+_xlpm.gam,TRUE,_xlpm.oldcoeff))</f>
        <v>-1.563785458424332E-3</v>
      </c>
      <c r="K73" t="str" cm="1">
        <f t="array" ref="K73">"BIOSYN-"&amp;_xlfn.IFS(IFERROR(MATCH(mets2721[[#This Row],[category]],{0,"0",""},0),0)&gt;0,mets2721[[#This Row],[name]],TRUE,mets2721[[#This Row],[category]]&amp;"-"&amp;mets2721[[#This Row],[name]])</f>
        <v>BIOSYN-METAL-zn2_c</v>
      </c>
      <c r="L73" s="149" t="str" cm="1">
        <f t="array" ref="L73">IF(IsElementOfSet_DIY(mets2721[[#This Row],[category]],{"ignore","PROT"}),"",_xlfn.LET(_xlpm.mw,mets2721[[#This Row],[MW for biomass normalization (g/mol)]],"MET-"&amp;mets2721[[#This Row],[name]]&amp;" --&gt; "&amp;IF((mets2721[[#This Row],[category]]="DNA")+(mets2721[[#This Row],[category]]="RNA"),"MET-ppi_c + ","")&amp;ROUND(ABS(_xlpm.mw/1000),6)&amp;" BIO-"&amp;mets2721[[#This Row],[name]]))</f>
        <v>MET-zn2_c --&gt; 0.06538 BIO-zn2_c</v>
      </c>
      <c r="M73" s="149" cm="1">
        <f t="array" ref="M7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-1.5357378012350895E-3</v>
      </c>
      <c r="N73" s="149"/>
      <c r="O73" s="149"/>
      <c r="P73" s="149" t="str">
        <v>"pro__L_c":0.175319</v>
      </c>
      <c r="R73" s="149" t="str">
        <v>"protrna_c":-0.175319</v>
      </c>
      <c r="S73" s="149">
        <v>9.2100669553376469E-3</v>
      </c>
      <c r="T73" s="149"/>
      <c r="V73" s="149"/>
    </row>
    <row r="74" spans="1:31" ht="16" x14ac:dyDescent="0.2">
      <c r="A74" s="144" t="s">
        <v>1385</v>
      </c>
      <c r="B74" t="str">
        <f>SUBSTITUTE(_xlfn.TEXTBEFORE(mets2721[[#This Row],[pasted JSON metabolite keys and values from GSM biomass rxn]],":"),CHAR(34),"")</f>
        <v>trnaala_c</v>
      </c>
      <c r="C74" t="str">
        <f>_xlfn.TEXTBEFORE(mets2721[[#This Row],[name]],"_",-1)</f>
        <v>trnaala</v>
      </c>
      <c r="D74" t="str">
        <f>_xlfn.XLOOKUP(mets2721[[#This Row],[name w/o location]],metaboliteInfo[name w/o location],metaboliteInfo[suggested category],"")</f>
        <v>ignore</v>
      </c>
      <c r="E74" s="21">
        <f>_xlfn.XLOOKUP(mets2721[[#This Row],[name w/o location]],metaboliteInfo[name w/o location],metaboliteInfo[MW for biomass normalization (g/mol)],0)</f>
        <v>0</v>
      </c>
      <c r="F74" s="21">
        <f>_xlfn.NUMBERVALUE(SUBSTITUTE(_xlfn.TEXTAFTER(mets2721[[#This Row],[pasted JSON metabolite keys and values from GSM biomass rxn]],":"),",",""))</f>
        <v>-0.405893</v>
      </c>
      <c r="G74" s="21" cm="1">
        <f t="array" ref="G74">_xlfn.LET(_xlpm.id,mets2721[[#This Row],[name w/o location]],IF(IsElementOfSet_DIY(_xlpm.id,{"atp","adp","h","pi","h2o"}),SIGN(mets2721[[#This Row],[raw (GSM) coefficient]])*(ABS(mets2721[[#This Row],[raw (GSM) coefficient]])-$J$2),mets2721[[#This Row],[raw (GSM) coefficient]]))</f>
        <v>-0.405893</v>
      </c>
      <c r="H74" s="21">
        <f>mets2721[[#This Row],[coeff. w/o GAM]]</f>
        <v>-0.405893</v>
      </c>
      <c r="I74" s="161">
        <f t="shared" si="4"/>
        <v>-0.40274718976917984</v>
      </c>
      <c r="J74" s="21" cm="1">
        <f t="array" ref="J74">_xlfn.LET(_xlpm.id,mets2721[[#This Row],[name w/o location]],_xlpm.oldcoeff,mets2721[[#This Row],[normalized coeffs]],_xlpm.gam,$J$2-$G$2,_xlfn.IFS(IFERROR(MATCH(_xlpm.id,{"atp","h2o"},0),0)&gt;0,_xlpm.oldcoeff-_xlpm.gam,IFERROR(MATCH(_xlpm.id,{"adp","h","pi"},0),0)&gt;0,_xlpm.oldcoeff+_xlpm.gam,TRUE,_xlpm.oldcoeff))</f>
        <v>-0.40274718976917984</v>
      </c>
      <c r="K74" t="str" cm="1">
        <f t="array" ref="K74">"BIOSYN-"&amp;_xlfn.IFS(IFERROR(MATCH(mets2721[[#This Row],[category]],{0,"0",""},0),0)&gt;0,mets2721[[#This Row],[name]],TRUE,mets2721[[#This Row],[category]]&amp;"-"&amp;mets2721[[#This Row],[name]])</f>
        <v>BIOSYN-ignore-trnaala_c</v>
      </c>
      <c r="L74" s="149" t="str" cm="1">
        <f t="array" ref="L74">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4" s="149" cm="1">
        <f t="array" ref="M7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-0.41721585554762153</v>
      </c>
      <c r="N74" s="149"/>
      <c r="O74" s="149"/>
      <c r="P74" s="149" t="str">
        <v>"ps_c":0.006643</v>
      </c>
      <c r="R74" s="149" t="str">
        <v>"ps_c":-0.006643</v>
      </c>
      <c r="S74" s="149">
        <v>7.7435488352272749E-2</v>
      </c>
      <c r="T74" s="149"/>
      <c r="V74" s="149"/>
    </row>
    <row r="75" spans="1:31" ht="16" x14ac:dyDescent="0.2">
      <c r="A75" s="144" t="s">
        <v>1386</v>
      </c>
      <c r="B75" t="str">
        <f>SUBSTITUTE(_xlfn.TEXTBEFORE(mets2721[[#This Row],[pasted JSON metabolite keys and values from GSM biomass rxn]],":"),CHAR(34),"")</f>
        <v>trnaarg_c</v>
      </c>
      <c r="C75" t="str">
        <f>_xlfn.TEXTBEFORE(mets2721[[#This Row],[name]],"_",-1)</f>
        <v>trnaarg</v>
      </c>
      <c r="D75" t="str">
        <f>_xlfn.XLOOKUP(mets2721[[#This Row],[name w/o location]],metaboliteInfo[name w/o location],metaboliteInfo[suggested category],"")</f>
        <v>ignore</v>
      </c>
      <c r="E75" s="21">
        <f>_xlfn.XLOOKUP(mets2721[[#This Row],[name w/o location]],metaboliteInfo[name w/o location],metaboliteInfo[MW for biomass normalization (g/mol)],0)</f>
        <v>0</v>
      </c>
      <c r="F75" s="21">
        <f>_xlfn.NUMBERVALUE(SUBSTITUTE(_xlfn.TEXTAFTER(mets2721[[#This Row],[pasted JSON metabolite keys and values from GSM biomass rxn]],":"),",",""))</f>
        <v>-0.16036300000000001</v>
      </c>
      <c r="G75" s="21" cm="1">
        <f t="array" ref="G75">_xlfn.LET(_xlpm.id,mets2721[[#This Row],[name w/o location]],IF(IsElementOfSet_DIY(_xlpm.id,{"atp","adp","h","pi","h2o"}),SIGN(mets2721[[#This Row],[raw (GSM) coefficient]])*(ABS(mets2721[[#This Row],[raw (GSM) coefficient]])-$J$2),mets2721[[#This Row],[raw (GSM) coefficient]]))</f>
        <v>-0.16036300000000001</v>
      </c>
      <c r="H75" s="21">
        <f>mets2721[[#This Row],[coeff. w/o GAM]]</f>
        <v>-0.16036300000000001</v>
      </c>
      <c r="I75" s="161">
        <f t="shared" si="4"/>
        <v>-0.1591201316429576</v>
      </c>
      <c r="J75" s="21" cm="1">
        <f t="array" ref="J75">_xlfn.LET(_xlpm.id,mets2721[[#This Row],[name w/o location]],_xlpm.oldcoeff,mets2721[[#This Row],[normalized coeffs]],_xlpm.gam,$J$2-$G$2,_xlfn.IFS(IFERROR(MATCH(_xlpm.id,{"atp","h2o"},0),0)&gt;0,_xlpm.oldcoeff-_xlpm.gam,IFERROR(MATCH(_xlpm.id,{"adp","h","pi"},0),0)&gt;0,_xlpm.oldcoeff+_xlpm.gam,TRUE,_xlpm.oldcoeff))</f>
        <v>-0.1591201316429576</v>
      </c>
      <c r="K75" t="str" cm="1">
        <f t="array" ref="K75">"BIOSYN-"&amp;_xlfn.IFS(IFERROR(MATCH(mets2721[[#This Row],[category]],{0,"0",""},0),0)&gt;0,mets2721[[#This Row],[name]],TRUE,mets2721[[#This Row],[category]]&amp;"-"&amp;mets2721[[#This Row],[name]])</f>
        <v>BIOSYN-ignore-trnaarg_c</v>
      </c>
      <c r="L75" s="149" t="str" cm="1">
        <f t="array" ref="L75">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5" s="149" cm="1">
        <f t="array" ref="M7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-0.16483651169934743</v>
      </c>
      <c r="N75" s="149"/>
      <c r="O75" s="149"/>
      <c r="P75" s="149" t="str">
        <v>"ser__L_c":0.221434</v>
      </c>
      <c r="R75" s="149" t="str">
        <v>"sertrna_c":-0.221434</v>
      </c>
      <c r="S75" s="149">
        <v>2.4632996648588926E-2</v>
      </c>
      <c r="T75" s="149"/>
      <c r="V75" s="149"/>
    </row>
    <row r="76" spans="1:31" ht="16" x14ac:dyDescent="0.2">
      <c r="A76" s="144" t="s">
        <v>1387</v>
      </c>
      <c r="B76" t="str">
        <f>SUBSTITUTE(_xlfn.TEXTBEFORE(mets2721[[#This Row],[pasted JSON metabolite keys and values from GSM biomass rxn]],":"),CHAR(34),"")</f>
        <v>trnaasn_c</v>
      </c>
      <c r="C76" t="str">
        <f>_xlfn.TEXTBEFORE(mets2721[[#This Row],[name]],"_",-1)</f>
        <v>trnaasn</v>
      </c>
      <c r="D76" t="str">
        <f>_xlfn.XLOOKUP(mets2721[[#This Row],[name w/o location]],metaboliteInfo[name w/o location],metaboliteInfo[suggested category],"")</f>
        <v>ignore</v>
      </c>
      <c r="E76" s="21">
        <f>_xlfn.XLOOKUP(mets2721[[#This Row],[name w/o location]],metaboliteInfo[name w/o location],metaboliteInfo[MW for biomass normalization (g/mol)],0)</f>
        <v>0</v>
      </c>
      <c r="F76" s="21">
        <f>_xlfn.NUMBERVALUE(SUBSTITUTE(_xlfn.TEXTAFTER(mets2721[[#This Row],[pasted JSON metabolite keys and values from GSM biomass rxn]],":"),",",""))</f>
        <v>-0.19276799999999999</v>
      </c>
      <c r="G76" s="21" cm="1">
        <f t="array" ref="G76">_xlfn.LET(_xlpm.id,mets2721[[#This Row],[name w/o location]],IF(IsElementOfSet_DIY(_xlpm.id,{"atp","adp","h","pi","h2o"}),SIGN(mets2721[[#This Row],[raw (GSM) coefficient]])*(ABS(mets2721[[#This Row],[raw (GSM) coefficient]])-$J$2),mets2721[[#This Row],[raw (GSM) coefficient]]))</f>
        <v>-0.19276799999999999</v>
      </c>
      <c r="H76" s="21">
        <f>mets2721[[#This Row],[coeff. w/o GAM]]</f>
        <v>-0.19276799999999999</v>
      </c>
      <c r="I76" s="161">
        <f t="shared" si="4"/>
        <v>-0.19127398175732338</v>
      </c>
      <c r="J76" s="21" cm="1">
        <f t="array" ref="J76">_xlfn.LET(_xlpm.id,mets2721[[#This Row],[name w/o location]],_xlpm.oldcoeff,mets2721[[#This Row],[normalized coeffs]],_xlpm.gam,$J$2-$G$2,_xlfn.IFS(IFERROR(MATCH(_xlpm.id,{"atp","h2o"},0),0)&gt;0,_xlpm.oldcoeff-_xlpm.gam,IFERROR(MATCH(_xlpm.id,{"adp","h","pi"},0),0)&gt;0,_xlpm.oldcoeff+_xlpm.gam,TRUE,_xlpm.oldcoeff))</f>
        <v>-0.19127398175732338</v>
      </c>
      <c r="K76" t="str" cm="1">
        <f t="array" ref="K76">"BIOSYN-"&amp;_xlfn.IFS(IFERROR(MATCH(mets2721[[#This Row],[category]],{0,"0",""},0),0)&gt;0,mets2721[[#This Row],[name]],TRUE,mets2721[[#This Row],[category]]&amp;"-"&amp;mets2721[[#This Row],[name]])</f>
        <v>BIOSYN-ignore-trnaasn_c</v>
      </c>
      <c r="L76" s="149" t="str" cm="1">
        <f t="array" ref="L76">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6" s="149" cm="1">
        <f t="array" ref="M7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-0.19814548672237242</v>
      </c>
      <c r="N76" s="149"/>
      <c r="O76" s="149"/>
      <c r="P76" s="149" t="str">
        <v>"so4_c":0.031223</v>
      </c>
      <c r="R76" s="149" t="str">
        <v>"so4_c":-0.031223</v>
      </c>
      <c r="S76" s="149">
        <v>-5.4432010650434876E-5</v>
      </c>
      <c r="T76" s="149"/>
      <c r="V76" s="149"/>
    </row>
    <row r="77" spans="1:31" ht="16" x14ac:dyDescent="0.2">
      <c r="A77" s="144" t="s">
        <v>1388</v>
      </c>
      <c r="B77" t="str">
        <f>SUBSTITUTE(_xlfn.TEXTBEFORE(mets2721[[#This Row],[pasted JSON metabolite keys and values from GSM biomass rxn]],":"),CHAR(34),"")</f>
        <v>trnaasp_c</v>
      </c>
      <c r="C77" t="str">
        <f>_xlfn.TEXTBEFORE(mets2721[[#This Row],[name]],"_",-1)</f>
        <v>trnaasp</v>
      </c>
      <c r="D77" t="str">
        <f>_xlfn.XLOOKUP(mets2721[[#This Row],[name w/o location]],metaboliteInfo[name w/o location],metaboliteInfo[suggested category],"")</f>
        <v>ignore</v>
      </c>
      <c r="E77" s="21">
        <f>_xlfn.XLOOKUP(mets2721[[#This Row],[name w/o location]],metaboliteInfo[name w/o location],metaboliteInfo[MW for biomass normalization (g/mol)],0)</f>
        <v>0</v>
      </c>
      <c r="F77" s="21">
        <f>_xlfn.NUMBERVALUE(SUBSTITUTE(_xlfn.TEXTAFTER(mets2721[[#This Row],[pasted JSON metabolite keys and values from GSM biomass rxn]],":"),",",""))</f>
        <v>-0.19276799999999999</v>
      </c>
      <c r="G77" s="21" cm="1">
        <f t="array" ref="G77">_xlfn.LET(_xlpm.id,mets2721[[#This Row],[name w/o location]],IF(IsElementOfSet_DIY(_xlpm.id,{"atp","adp","h","pi","h2o"}),SIGN(mets2721[[#This Row],[raw (GSM) coefficient]])*(ABS(mets2721[[#This Row],[raw (GSM) coefficient]])-$J$2),mets2721[[#This Row],[raw (GSM) coefficient]]))</f>
        <v>-0.19276799999999999</v>
      </c>
      <c r="H77" s="21">
        <f>mets2721[[#This Row],[coeff. w/o GAM]]</f>
        <v>-0.19276799999999999</v>
      </c>
      <c r="I77" s="161">
        <f t="shared" si="4"/>
        <v>-0.19127398175732338</v>
      </c>
      <c r="J77" s="21" cm="1">
        <f t="array" ref="J77">_xlfn.LET(_xlpm.id,mets2721[[#This Row],[name w/o location]],_xlpm.oldcoeff,mets2721[[#This Row],[normalized coeffs]],_xlpm.gam,$J$2-$G$2,_xlfn.IFS(IFERROR(MATCH(_xlpm.id,{"atp","h2o"},0),0)&gt;0,_xlpm.oldcoeff-_xlpm.gam,IFERROR(MATCH(_xlpm.id,{"adp","h","pi"},0),0)&gt;0,_xlpm.oldcoeff+_xlpm.gam,TRUE,_xlpm.oldcoeff))</f>
        <v>-0.19127398175732338</v>
      </c>
      <c r="K77" t="str" cm="1">
        <f t="array" ref="K77">"BIOSYN-"&amp;_xlfn.IFS(IFERROR(MATCH(mets2721[[#This Row],[category]],{0,"0",""},0),0)&gt;0,mets2721[[#This Row],[name]],TRUE,mets2721[[#This Row],[category]]&amp;"-"&amp;mets2721[[#This Row],[name]])</f>
        <v>BIOSYN-ignore-trnaasp_c</v>
      </c>
      <c r="L77" s="149" t="str" cm="1">
        <f t="array" ref="L77">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7" s="149" cm="1">
        <f t="array" ref="M7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-0.19814548672237242</v>
      </c>
      <c r="N77" s="149"/>
      <c r="O77" s="149"/>
      <c r="P77" s="149" t="str">
        <v>"tag_c":0.010494</v>
      </c>
      <c r="R77" s="149" t="str">
        <v>"tag_c":-0.010494</v>
      </c>
      <c r="S77" s="149">
        <v>9.8532013799593615E-3</v>
      </c>
      <c r="T77" s="149"/>
      <c r="V77" s="149"/>
    </row>
    <row r="78" spans="1:31" ht="16" x14ac:dyDescent="0.2">
      <c r="A78" s="144" t="s">
        <v>1389</v>
      </c>
      <c r="B78" t="str">
        <f>SUBSTITUTE(_xlfn.TEXTBEFORE(mets2721[[#This Row],[pasted JSON metabolite keys and values from GSM biomass rxn]],":"),CHAR(34),"")</f>
        <v>trnacys_c</v>
      </c>
      <c r="C78" t="str">
        <f>_xlfn.TEXTBEFORE(mets2721[[#This Row],[name]],"_",-1)</f>
        <v>trnacys</v>
      </c>
      <c r="D78" t="str">
        <f>_xlfn.XLOOKUP(mets2721[[#This Row],[name w/o location]],metaboliteInfo[name w/o location],metaboliteInfo[suggested category],"")</f>
        <v>ignore</v>
      </c>
      <c r="E78" s="21">
        <f>_xlfn.XLOOKUP(mets2721[[#This Row],[name w/o location]],metaboliteInfo[name w/o location],metaboliteInfo[MW for biomass normalization (g/mol)],0)</f>
        <v>0</v>
      </c>
      <c r="F78" s="21">
        <f>_xlfn.NUMBERVALUE(SUBSTITUTE(_xlfn.TEXTAFTER(mets2721[[#This Row],[pasted JSON metabolite keys and values from GSM biomass rxn]],":"),",",""))</f>
        <v>-5.816E-3</v>
      </c>
      <c r="G78" s="21" cm="1">
        <f t="array" ref="G78">_xlfn.LET(_xlpm.id,mets2721[[#This Row],[name w/o location]],IF(IsElementOfSet_DIY(_xlpm.id,{"atp","adp","h","pi","h2o"}),SIGN(mets2721[[#This Row],[raw (GSM) coefficient]])*(ABS(mets2721[[#This Row],[raw (GSM) coefficient]])-$J$2),mets2721[[#This Row],[raw (GSM) coefficient]]))</f>
        <v>-5.816E-3</v>
      </c>
      <c r="H78" s="21">
        <f>mets2721[[#This Row],[coeff. w/o GAM]]</f>
        <v>-5.816E-3</v>
      </c>
      <c r="I78" s="161">
        <f t="shared" si="4"/>
        <v>-5.7709240013933474E-3</v>
      </c>
      <c r="J78" s="21" cm="1">
        <f t="array" ref="J78">_xlfn.LET(_xlpm.id,mets2721[[#This Row],[name w/o location]],_xlpm.oldcoeff,mets2721[[#This Row],[normalized coeffs]],_xlpm.gam,$J$2-$G$2,_xlfn.IFS(IFERROR(MATCH(_xlpm.id,{"atp","h2o"},0),0)&gt;0,_xlpm.oldcoeff-_xlpm.gam,IFERROR(MATCH(_xlpm.id,{"adp","h","pi"},0),0)&gt;0,_xlpm.oldcoeff+_xlpm.gam,TRUE,_xlpm.oldcoeff))</f>
        <v>-5.7709240013933474E-3</v>
      </c>
      <c r="K78" t="str" cm="1">
        <f t="array" ref="K78">"BIOSYN-"&amp;_xlfn.IFS(IFERROR(MATCH(mets2721[[#This Row],[category]],{0,"0",""},0),0)&gt;0,mets2721[[#This Row],[name]],TRUE,mets2721[[#This Row],[category]]&amp;"-"&amp;mets2721[[#This Row],[name]])</f>
        <v>BIOSYN-ignore-trnacys_c</v>
      </c>
      <c r="L78" s="149" t="str" cm="1">
        <f t="array" ref="L78">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8" s="149" cm="1">
        <f t="array" ref="M7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-5.9782440590622817E-3</v>
      </c>
      <c r="N78" s="149"/>
      <c r="O78" s="149"/>
      <c r="P78" s="149" t="str">
        <v>"thr__L_c":0.231405</v>
      </c>
      <c r="R78" s="149" t="str">
        <v>"thrtrna_c":-0.231405</v>
      </c>
      <c r="S78" s="149">
        <v>0.44876955120623963</v>
      </c>
      <c r="T78" s="149"/>
      <c r="V78" s="149"/>
    </row>
    <row r="79" spans="1:31" ht="16" x14ac:dyDescent="0.2">
      <c r="A79" s="144" t="s">
        <v>1390</v>
      </c>
      <c r="B79" t="str">
        <f>SUBSTITUTE(_xlfn.TEXTBEFORE(mets2721[[#This Row],[pasted JSON metabolite keys and values from GSM biomass rxn]],":"),CHAR(34),"")</f>
        <v>trnagln_c</v>
      </c>
      <c r="C79" t="str">
        <f>_xlfn.TEXTBEFORE(mets2721[[#This Row],[name]],"_",-1)</f>
        <v>trnagln</v>
      </c>
      <c r="D79" t="str">
        <f>_xlfn.XLOOKUP(mets2721[[#This Row],[name w/o location]],metaboliteInfo[name w/o location],metaboliteInfo[suggested category],"")</f>
        <v>ignore</v>
      </c>
      <c r="E79" s="21">
        <f>_xlfn.XLOOKUP(mets2721[[#This Row],[name w/o location]],metaboliteInfo[name w/o location],metaboliteInfo[MW for biomass normalization (g/mol)],0)</f>
        <v>0</v>
      </c>
      <c r="F79" s="21">
        <f>_xlfn.NUMBERVALUE(SUBSTITUTE(_xlfn.TEXTAFTER(mets2721[[#This Row],[pasted JSON metabolite keys and values from GSM biomass rxn]],":"),",",""))</f>
        <v>-0.32155699999999998</v>
      </c>
      <c r="G79" s="21" cm="1">
        <f t="array" ref="G79">_xlfn.LET(_xlpm.id,mets2721[[#This Row],[name w/o location]],IF(IsElementOfSet_DIY(_xlpm.id,{"atp","adp","h","pi","h2o"}),SIGN(mets2721[[#This Row],[raw (GSM) coefficient]])*(ABS(mets2721[[#This Row],[raw (GSM) coefficient]])-$J$2),mets2721[[#This Row],[raw (GSM) coefficient]]))</f>
        <v>-0.32155699999999998</v>
      </c>
      <c r="H79" s="21">
        <f>mets2721[[#This Row],[coeff. w/o GAM]]</f>
        <v>-0.32155699999999998</v>
      </c>
      <c r="I79" s="161">
        <f t="shared" si="4"/>
        <v>-0.31906482275035086</v>
      </c>
      <c r="J79" s="21" cm="1">
        <f t="array" ref="J79">_xlfn.LET(_xlpm.id,mets2721[[#This Row],[name w/o location]],_xlpm.oldcoeff,mets2721[[#This Row],[normalized coeffs]],_xlpm.gam,$J$2-$G$2,_xlfn.IFS(IFERROR(MATCH(_xlpm.id,{"atp","h2o"},0),0)&gt;0,_xlpm.oldcoeff-_xlpm.gam,IFERROR(MATCH(_xlpm.id,{"adp","h","pi"},0),0)&gt;0,_xlpm.oldcoeff+_xlpm.gam,TRUE,_xlpm.oldcoeff))</f>
        <v>-0.31906482275035086</v>
      </c>
      <c r="K79" t="str" cm="1">
        <f t="array" ref="K79">"BIOSYN-"&amp;_xlfn.IFS(IFERROR(MATCH(mets2721[[#This Row],[category]],{0,"0",""},0),0)&gt;0,mets2721[[#This Row],[name]],TRUE,mets2721[[#This Row],[category]]&amp;"-"&amp;mets2721[[#This Row],[name]])</f>
        <v>BIOSYN-ignore-trnagln_c</v>
      </c>
      <c r="L79" s="149" t="str" cm="1">
        <f t="array" ref="L79">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79" s="149" cm="1">
        <f t="array" ref="M7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-0.33052720510658357</v>
      </c>
      <c r="N79" s="149"/>
      <c r="O79" s="149"/>
      <c r="P79" s="149" t="str">
        <v>"tre_c":0.137707</v>
      </c>
      <c r="R79" s="149" t="str">
        <v>"tre_c":-0.137707</v>
      </c>
      <c r="S79" s="149">
        <v>0.11055802717166559</v>
      </c>
      <c r="T79" s="149"/>
      <c r="V79" s="149"/>
    </row>
    <row r="80" spans="1:31" ht="16" x14ac:dyDescent="0.2">
      <c r="A80" s="144" t="s">
        <v>1391</v>
      </c>
      <c r="B80" t="str">
        <f>SUBSTITUTE(_xlfn.TEXTBEFORE(mets2721[[#This Row],[pasted JSON metabolite keys and values from GSM biomass rxn]],":"),CHAR(34),"")</f>
        <v>trnaglu_c</v>
      </c>
      <c r="C80" t="str">
        <f>_xlfn.TEXTBEFORE(mets2721[[#This Row],[name]],"_",-1)</f>
        <v>trnaglu</v>
      </c>
      <c r="D80" t="str">
        <f>_xlfn.XLOOKUP(mets2721[[#This Row],[name w/o location]],metaboliteInfo[name w/o location],metaboliteInfo[suggested category],"")</f>
        <v>ignore</v>
      </c>
      <c r="E80" s="21">
        <f>_xlfn.XLOOKUP(mets2721[[#This Row],[name w/o location]],metaboliteInfo[name w/o location],metaboliteInfo[MW for biomass normalization (g/mol)],0)</f>
        <v>0</v>
      </c>
      <c r="F80" s="21">
        <f>_xlfn.NUMBERVALUE(SUBSTITUTE(_xlfn.TEXTAFTER(mets2721[[#This Row],[pasted JSON metabolite keys and values from GSM biomass rxn]],":"),",",""))</f>
        <v>-0.32155699999999998</v>
      </c>
      <c r="G80" s="21" cm="1">
        <f t="array" ref="G80">_xlfn.LET(_xlpm.id,mets2721[[#This Row],[name w/o location]],IF(IsElementOfSet_DIY(_xlpm.id,{"atp","adp","h","pi","h2o"}),SIGN(mets2721[[#This Row],[raw (GSM) coefficient]])*(ABS(mets2721[[#This Row],[raw (GSM) coefficient]])-$J$2),mets2721[[#This Row],[raw (GSM) coefficient]]))</f>
        <v>-0.32155699999999998</v>
      </c>
      <c r="H80" s="21">
        <f>mets2721[[#This Row],[coeff. w/o GAM]]</f>
        <v>-0.32155699999999998</v>
      </c>
      <c r="I80" s="161">
        <f t="shared" si="4"/>
        <v>-0.31906482275035086</v>
      </c>
      <c r="J80" s="21" cm="1">
        <f t="array" ref="J80">_xlfn.LET(_xlpm.id,mets2721[[#This Row],[name w/o location]],_xlpm.oldcoeff,mets2721[[#This Row],[normalized coeffs]],_xlpm.gam,$J$2-$G$2,_xlfn.IFS(IFERROR(MATCH(_xlpm.id,{"atp","h2o"},0),0)&gt;0,_xlpm.oldcoeff-_xlpm.gam,IFERROR(MATCH(_xlpm.id,{"adp","h","pi"},0),0)&gt;0,_xlpm.oldcoeff+_xlpm.gam,TRUE,_xlpm.oldcoeff))</f>
        <v>-0.31906482275035086</v>
      </c>
      <c r="K80" t="str" cm="1">
        <f t="array" ref="K80">"BIOSYN-"&amp;_xlfn.IFS(IFERROR(MATCH(mets2721[[#This Row],[category]],{0,"0",""},0),0)&gt;0,mets2721[[#This Row],[name]],TRUE,mets2721[[#This Row],[category]]&amp;"-"&amp;mets2721[[#This Row],[name]])</f>
        <v>BIOSYN-ignore-trnaglu_c</v>
      </c>
      <c r="L80" s="149" t="str" cm="1">
        <f t="array" ref="L80">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0" s="149" cm="1">
        <f t="array" ref="M8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-0.33052720510658357</v>
      </c>
      <c r="N80" s="149"/>
      <c r="O80" s="149"/>
      <c r="P80" s="149" t="str">
        <v>"trp__L_c":0.027004</v>
      </c>
      <c r="R80" s="149" t="str">
        <v>"trptrna_c":-0.027004</v>
      </c>
      <c r="S80" s="149">
        <v>2.91432973819353E-3</v>
      </c>
      <c r="T80" s="149"/>
      <c r="V80" s="149"/>
    </row>
    <row r="81" spans="1:22" ht="16" x14ac:dyDescent="0.2">
      <c r="A81" s="144" t="s">
        <v>1392</v>
      </c>
      <c r="B81" t="str">
        <f>SUBSTITUTE(_xlfn.TEXTBEFORE(mets2721[[#This Row],[pasted JSON metabolite keys and values from GSM biomass rxn]],":"),CHAR(34),"")</f>
        <v>trnahis_c</v>
      </c>
      <c r="C81" t="str">
        <f>_xlfn.TEXTBEFORE(mets2721[[#This Row],[name]],"_",-1)</f>
        <v>trnahis</v>
      </c>
      <c r="D81" t="str">
        <f>_xlfn.XLOOKUP(mets2721[[#This Row],[name w/o location]],metaboliteInfo[name w/o location],metaboliteInfo[suggested category],"")</f>
        <v>ignore</v>
      </c>
      <c r="E81" s="21">
        <f>_xlfn.XLOOKUP(mets2721[[#This Row],[name w/o location]],metaboliteInfo[name w/o location],metaboliteInfo[MW for biomass normalization (g/mol)],0)</f>
        <v>0</v>
      </c>
      <c r="F81" s="21">
        <f>_xlfn.NUMBERVALUE(SUBSTITUTE(_xlfn.TEXTAFTER(mets2721[[#This Row],[pasted JSON metabolite keys and values from GSM biomass rxn]],":"),",",""))</f>
        <v>-8.0182000000000003E-2</v>
      </c>
      <c r="G81" s="21" cm="1">
        <f t="array" ref="G81">_xlfn.LET(_xlpm.id,mets2721[[#This Row],[name w/o location]],IF(IsElementOfSet_DIY(_xlpm.id,{"atp","adp","h","pi","h2o"}),SIGN(mets2721[[#This Row],[raw (GSM) coefficient]])*(ABS(mets2721[[#This Row],[raw (GSM) coefficient]])-$J$2),mets2721[[#This Row],[raw (GSM) coefficient]]))</f>
        <v>-8.0182000000000003E-2</v>
      </c>
      <c r="H81" s="161">
        <f>mets2721[[#This Row],[coeff. w/o GAM]]</f>
        <v>-8.0182000000000003E-2</v>
      </c>
      <c r="I81" s="161">
        <f t="shared" si="4"/>
        <v>-7.9560561946306979E-2</v>
      </c>
      <c r="J81" s="21" cm="1">
        <f t="array" ref="J81">_xlfn.LET(_xlpm.id,mets2721[[#This Row],[name w/o location]],_xlpm.oldcoeff,mets2721[[#This Row],[normalized coeffs]],_xlpm.gam,$J$2-$G$2,_xlfn.IFS(IFERROR(MATCH(_xlpm.id,{"atp","h2o"},0),0)&gt;0,_xlpm.oldcoeff-_xlpm.gam,IFERROR(MATCH(_xlpm.id,{"adp","h","pi"},0),0)&gt;0,_xlpm.oldcoeff+_xlpm.gam,TRUE,_xlpm.oldcoeff))</f>
        <v>-7.9560561946306979E-2</v>
      </c>
      <c r="K81" t="str" cm="1">
        <f t="array" ref="K81">"BIOSYN-"&amp;_xlfn.IFS(IFERROR(MATCH(mets2721[[#This Row],[category]],{0,"0",""},0),0)&gt;0,mets2721[[#This Row],[name]],TRUE,mets2721[[#This Row],[category]]&amp;"-"&amp;mets2721[[#This Row],[name]])</f>
        <v>BIOSYN-ignore-trnahis_c</v>
      </c>
      <c r="L81" s="149" t="str" cm="1">
        <f t="array" ref="L81">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1" s="149" cm="1">
        <f t="array" ref="M8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-8.2418769797753075E-2</v>
      </c>
      <c r="N81" s="149"/>
      <c r="O81" s="149"/>
      <c r="P81" s="149" t="str">
        <v>"tyr__L_c":0.081428</v>
      </c>
      <c r="R81" s="149" t="str">
        <v>"tyrtrna_c":-0.081428</v>
      </c>
      <c r="S81" s="149"/>
      <c r="T81" s="149"/>
      <c r="U81" s="149"/>
      <c r="V81" s="149"/>
    </row>
    <row r="82" spans="1:22" ht="16" x14ac:dyDescent="0.2">
      <c r="A82" s="144" t="s">
        <v>1393</v>
      </c>
      <c r="B82" t="str">
        <f>SUBSTITUTE(_xlfn.TEXTBEFORE(mets2721[[#This Row],[pasted JSON metabolite keys and values from GSM biomass rxn]],":"),CHAR(34),"")</f>
        <v>trnaile_c</v>
      </c>
      <c r="C82" t="str">
        <f>_xlfn.TEXTBEFORE(mets2721[[#This Row],[name]],"_",-1)</f>
        <v>trnaile</v>
      </c>
      <c r="D82" t="str">
        <f>_xlfn.XLOOKUP(mets2721[[#This Row],[name w/o location]],metaboliteInfo[name w/o location],metaboliteInfo[suggested category],"")</f>
        <v>ignore</v>
      </c>
      <c r="E82" s="21">
        <f>_xlfn.XLOOKUP(mets2721[[#This Row],[name w/o location]],metaboliteInfo[name w/o location],metaboliteInfo[MW for biomass normalization (g/mol)],0)</f>
        <v>0</v>
      </c>
      <c r="F82" s="21">
        <f>_xlfn.NUMBERVALUE(SUBSTITUTE(_xlfn.TEXTAFTER(mets2721[[#This Row],[pasted JSON metabolite keys and values from GSM biomass rxn]],":"),",",""))</f>
        <v>-0.244699</v>
      </c>
      <c r="G82" s="21" cm="1">
        <f t="array" ref="G82">_xlfn.LET(_xlpm.id,mets2721[[#This Row],[name w/o location]],IF(IsElementOfSet_DIY(_xlpm.id,{"atp","adp","h","pi","h2o"}),SIGN(mets2721[[#This Row],[raw (GSM) coefficient]])*(ABS(mets2721[[#This Row],[raw (GSM) coefficient]])-$J$2),mets2721[[#This Row],[raw (GSM) coefficient]]))</f>
        <v>-0.244699</v>
      </c>
      <c r="H82" s="161">
        <f>mets2721[[#This Row],[coeff. w/o GAM]]</f>
        <v>-0.244699</v>
      </c>
      <c r="I82" s="161">
        <f t="shared" si="4"/>
        <v>-0.24280249866178658</v>
      </c>
      <c r="J82" s="21" cm="1">
        <f t="array" ref="J82">_xlfn.LET(_xlpm.id,mets2721[[#This Row],[name w/o location]],_xlpm.oldcoeff,mets2721[[#This Row],[normalized coeffs]],_xlpm.gam,$J$2-$G$2,_xlfn.IFS(IFERROR(MATCH(_xlpm.id,{"atp","h2o"},0),0)&gt;0,_xlpm.oldcoeff-_xlpm.gam,IFERROR(MATCH(_xlpm.id,{"adp","h","pi"},0),0)&gt;0,_xlpm.oldcoeff+_xlpm.gam,TRUE,_xlpm.oldcoeff))</f>
        <v>-0.24280249866178658</v>
      </c>
      <c r="K82" t="str" cm="1">
        <f t="array" ref="K82">"BIOSYN-"&amp;_xlfn.IFS(IFERROR(MATCH(mets2721[[#This Row],[category]],{0,"0",""},0),0)&gt;0,mets2721[[#This Row],[name]],TRUE,mets2721[[#This Row],[category]]&amp;"-"&amp;mets2721[[#This Row],[name]])</f>
        <v>BIOSYN-ignore-trnaile_c</v>
      </c>
      <c r="L82" s="149" t="str" cm="1">
        <f t="array" ref="L82">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2" s="149" cm="1">
        <f t="array" ref="M8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-0.25152516214038539</v>
      </c>
      <c r="N82" s="149"/>
      <c r="O82" s="149"/>
      <c r="P82" s="149" t="str">
        <v>"utp_c":0.062537</v>
      </c>
      <c r="R82" s="149" t="str">
        <v>"utp_c":-0.062537</v>
      </c>
      <c r="S82" s="149"/>
      <c r="T82" s="149"/>
      <c r="U82" s="149"/>
      <c r="V82" s="149"/>
    </row>
    <row r="83" spans="1:22" ht="16" x14ac:dyDescent="0.2">
      <c r="A83" s="144" t="s">
        <v>1394</v>
      </c>
      <c r="B83" t="str">
        <f>SUBSTITUTE(_xlfn.TEXTBEFORE(mets2721[[#This Row],[pasted JSON metabolite keys and values from GSM biomass rxn]],":"),CHAR(34),"")</f>
        <v>trnaleu_c</v>
      </c>
      <c r="C83" t="str">
        <f>_xlfn.TEXTBEFORE(mets2721[[#This Row],[name]],"_",-1)</f>
        <v>trnaleu</v>
      </c>
      <c r="D83" t="str">
        <f>_xlfn.XLOOKUP(mets2721[[#This Row],[name w/o location]],metaboliteInfo[name w/o location],metaboliteInfo[suggested category],"")</f>
        <v>ignore</v>
      </c>
      <c r="E83" s="21">
        <f>_xlfn.XLOOKUP(mets2721[[#This Row],[name w/o location]],metaboliteInfo[name w/o location],metaboliteInfo[MW for biomass normalization (g/mol)],0)</f>
        <v>0</v>
      </c>
      <c r="F83" s="21">
        <f>_xlfn.NUMBERVALUE(SUBSTITUTE(_xlfn.TEXTAFTER(mets2721[[#This Row],[pasted JSON metabolite keys and values from GSM biomass rxn]],":"),",",""))</f>
        <v>-0.33277400000000001</v>
      </c>
      <c r="G83" s="21" cm="1">
        <f t="array" ref="G83">_xlfn.LET(_xlpm.id,mets2721[[#This Row],[name w/o location]],IF(IsElementOfSet_DIY(_xlpm.id,{"atp","adp","h","pi","h2o"}),SIGN(mets2721[[#This Row],[raw (GSM) coefficient]])*(ABS(mets2721[[#This Row],[raw (GSM) coefficient]])-$J$2),mets2721[[#This Row],[raw (GSM) coefficient]]))</f>
        <v>-0.33277400000000001</v>
      </c>
      <c r="H83" s="161">
        <f>mets2721[[#This Row],[coeff. w/o GAM]]</f>
        <v>-0.33277400000000001</v>
      </c>
      <c r="I83" s="161">
        <f t="shared" si="4"/>
        <v>-0.33019488714574791</v>
      </c>
      <c r="J83" s="21" cm="1">
        <f t="array" ref="J83">_xlfn.LET(_xlpm.id,mets2721[[#This Row],[name w/o location]],_xlpm.oldcoeff,mets2721[[#This Row],[normalized coeffs]],_xlpm.gam,$J$2-$G$2,_xlfn.IFS(IFERROR(MATCH(_xlpm.id,{"atp","h2o"},0),0)&gt;0,_xlpm.oldcoeff-_xlpm.gam,IFERROR(MATCH(_xlpm.id,{"adp","h","pi"},0),0)&gt;0,_xlpm.oldcoeff+_xlpm.gam,TRUE,_xlpm.oldcoeff))</f>
        <v>-0.33019488714574791</v>
      </c>
      <c r="K83" t="str" cm="1">
        <f t="array" ref="K83">"BIOSYN-"&amp;_xlfn.IFS(IFERROR(MATCH(mets2721[[#This Row],[category]],{0,"0",""},0),0)&gt;0,mets2721[[#This Row],[name]],TRUE,mets2721[[#This Row],[category]]&amp;"-"&amp;mets2721[[#This Row],[name]])</f>
        <v>BIOSYN-ignore-trnaleu_c</v>
      </c>
      <c r="L83" s="149" t="str" cm="1">
        <f t="array" ref="L83">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3" s="149" cm="1">
        <f t="array" ref="M8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-0.34205711631884317</v>
      </c>
      <c r="N83" s="149"/>
      <c r="O83" s="149"/>
      <c r="P83" s="149" t="str">
        <v>"val__L_c":0.304524</v>
      </c>
      <c r="R83" s="149" t="str">
        <v>"valtrna_c":-0.304524</v>
      </c>
      <c r="S83" s="149"/>
      <c r="T83" s="149"/>
      <c r="U83" s="149"/>
      <c r="V83" s="149"/>
    </row>
    <row r="84" spans="1:22" ht="16" x14ac:dyDescent="0.2">
      <c r="A84" s="144" t="s">
        <v>1395</v>
      </c>
      <c r="B84" t="str">
        <f>SUBSTITUTE(_xlfn.TEXTBEFORE(mets2721[[#This Row],[pasted JSON metabolite keys and values from GSM biomass rxn]],":"),CHAR(34),"")</f>
        <v>trnalys_c</v>
      </c>
      <c r="C84" t="str">
        <f>_xlfn.TEXTBEFORE(mets2721[[#This Row],[name]],"_",-1)</f>
        <v>trnalys</v>
      </c>
      <c r="D84" t="str">
        <f>_xlfn.XLOOKUP(mets2721[[#This Row],[name w/o location]],metaboliteInfo[name w/o location],metaboliteInfo[suggested category],"")</f>
        <v>ignore</v>
      </c>
      <c r="E84" s="21">
        <f>_xlfn.XLOOKUP(mets2721[[#This Row],[name w/o location]],metaboliteInfo[name w/o location],metaboliteInfo[MW for biomass normalization (g/mol)],0)</f>
        <v>0</v>
      </c>
      <c r="F84" s="21">
        <f>_xlfn.NUMBERVALUE(SUBSTITUTE(_xlfn.TEXTAFTER(mets2721[[#This Row],[pasted JSON metabolite keys and values from GSM biomass rxn]],":"),",",""))</f>
        <v>-0.27295000000000003</v>
      </c>
      <c r="G84" s="21" cm="1">
        <f t="array" ref="G84">_xlfn.LET(_xlpm.id,mets2721[[#This Row],[name w/o location]],IF(IsElementOfSet_DIY(_xlpm.id,{"atp","adp","h","pi","h2o"}),SIGN(mets2721[[#This Row],[raw (GSM) coefficient]])*(ABS(mets2721[[#This Row],[raw (GSM) coefficient]])-$J$2),mets2721[[#This Row],[raw (GSM) coefficient]]))</f>
        <v>-0.27295000000000003</v>
      </c>
      <c r="H84" s="161">
        <f>mets2721[[#This Row],[coeff. w/o GAM]]</f>
        <v>-0.27295000000000003</v>
      </c>
      <c r="I84" s="161">
        <f t="shared" si="4"/>
        <v>-0.27083454370363041</v>
      </c>
      <c r="J84" s="21" cm="1">
        <f t="array" ref="J84">_xlfn.LET(_xlpm.id,mets2721[[#This Row],[name w/o location]],_xlpm.oldcoeff,mets2721[[#This Row],[normalized coeffs]],_xlpm.gam,$J$2-$G$2,_xlfn.IFS(IFERROR(MATCH(_xlpm.id,{"atp","h2o"},0),0)&gt;0,_xlpm.oldcoeff-_xlpm.gam,IFERROR(MATCH(_xlpm.id,{"adp","h","pi"},0),0)&gt;0,_xlpm.oldcoeff+_xlpm.gam,TRUE,_xlpm.oldcoeff))</f>
        <v>-0.27083454370363041</v>
      </c>
      <c r="K84" t="str" cm="1">
        <f t="array" ref="K84">"BIOSYN-"&amp;_xlfn.IFS(IFERROR(MATCH(mets2721[[#This Row],[category]],{0,"0",""},0),0)&gt;0,mets2721[[#This Row],[name]],TRUE,mets2721[[#This Row],[category]]&amp;"-"&amp;mets2721[[#This Row],[name]])</f>
        <v>BIOSYN-ignore-trnalys_c</v>
      </c>
      <c r="L84" s="149" t="str" cm="1">
        <f t="array" ref="L84">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4" s="149" cm="1">
        <f t="array" ref="M84">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-0.28056425652012557</v>
      </c>
      <c r="N84" s="149"/>
      <c r="O84" s="149"/>
      <c r="P84" s="149" t="str">
        <v>"zn2_c":0.001576</v>
      </c>
      <c r="R84" s="149" t="str">
        <v>"zn2_c":-0.001576</v>
      </c>
      <c r="S84" s="149"/>
      <c r="T84" s="149"/>
      <c r="U84" s="149"/>
      <c r="V84" s="149"/>
    </row>
    <row r="85" spans="1:22" ht="16" x14ac:dyDescent="0.2">
      <c r="A85" s="144" t="s">
        <v>1396</v>
      </c>
      <c r="B85" t="str">
        <f>SUBSTITUTE(_xlfn.TEXTBEFORE(mets2721[[#This Row],[pasted JSON metabolite keys and values from GSM biomass rxn]],":"),CHAR(34),"")</f>
        <v>trnamet_c</v>
      </c>
      <c r="C85" t="str">
        <f>_xlfn.TEXTBEFORE(mets2721[[#This Row],[name]],"_",-1)</f>
        <v>trnamet</v>
      </c>
      <c r="D85" t="str">
        <f>_xlfn.XLOOKUP(mets2721[[#This Row],[name w/o location]],metaboliteInfo[name w/o location],metaboliteInfo[suggested category],"")</f>
        <v>ignore</v>
      </c>
      <c r="E85" s="21">
        <f>_xlfn.XLOOKUP(mets2721[[#This Row],[name w/o location]],metaboliteInfo[name w/o location],metaboliteInfo[MW for biomass normalization (g/mol)],0)</f>
        <v>0</v>
      </c>
      <c r="F85" s="21">
        <f>_xlfn.NUMBERVALUE(SUBSTITUTE(_xlfn.TEXTAFTER(mets2721[[#This Row],[pasted JSON metabolite keys and values from GSM biomass rxn]],":"),",",""))</f>
        <v>-4.7361E-2</v>
      </c>
      <c r="G85" s="21" cm="1">
        <f t="array" ref="G85">_xlfn.LET(_xlpm.id,mets2721[[#This Row],[name w/o location]],IF(IsElementOfSet_DIY(_xlpm.id,{"atp","adp","h","pi","h2o"}),SIGN(mets2721[[#This Row],[raw (GSM) coefficient]])*(ABS(mets2721[[#This Row],[raw (GSM) coefficient]])-$J$2),mets2721[[#This Row],[raw (GSM) coefficient]]))</f>
        <v>-4.7361E-2</v>
      </c>
      <c r="H85" s="161">
        <f>mets2721[[#This Row],[coeff. w/o GAM]]</f>
        <v>-4.7361E-2</v>
      </c>
      <c r="I85" s="161">
        <f t="shared" si="4"/>
        <v>-4.6993935974895172E-2</v>
      </c>
      <c r="J85" s="21" cm="1">
        <f t="array" ref="J85">_xlfn.LET(_xlpm.id,mets2721[[#This Row],[name w/o location]],_xlpm.oldcoeff,mets2721[[#This Row],[normalized coeffs]],_xlpm.gam,$J$2-$G$2,_xlfn.IFS(IFERROR(MATCH(_xlpm.id,{"atp","h2o"},0),0)&gt;0,_xlpm.oldcoeff-_xlpm.gam,IFERROR(MATCH(_xlpm.id,{"adp","h","pi"},0),0)&gt;0,_xlpm.oldcoeff+_xlpm.gam,TRUE,_xlpm.oldcoeff))</f>
        <v>-4.6993935974895172E-2</v>
      </c>
      <c r="K85" t="str" cm="1">
        <f t="array" ref="K85">"BIOSYN-"&amp;_xlfn.IFS(IFERROR(MATCH(mets2721[[#This Row],[category]],{0,"0",""},0),0)&gt;0,mets2721[[#This Row],[name]],TRUE,mets2721[[#This Row],[category]]&amp;"-"&amp;mets2721[[#This Row],[name]])</f>
        <v>BIOSYN-ignore-trnamet_c</v>
      </c>
      <c r="L85" s="149" t="str" cm="1">
        <f t="array" ref="L85">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5" s="149" cm="1">
        <f t="array" ref="M85">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-4.868218997270439E-2</v>
      </c>
      <c r="N85" s="149"/>
      <c r="O85" s="149"/>
      <c r="P85" s="149" t="str">
        <v>"adp_c":190.57899</v>
      </c>
      <c r="R85" s="149" t="str">
        <v>"adp_c":-190.57899</v>
      </c>
      <c r="S85" s="149"/>
      <c r="T85" s="149"/>
      <c r="U85" s="149"/>
      <c r="V85" s="149"/>
    </row>
    <row r="86" spans="1:22" ht="16" x14ac:dyDescent="0.2">
      <c r="A86" s="144" t="s">
        <v>1397</v>
      </c>
      <c r="B86" t="str">
        <f>SUBSTITUTE(_xlfn.TEXTBEFORE(mets2721[[#This Row],[pasted JSON metabolite keys and values from GSM biomass rxn]],":"),CHAR(34),"")</f>
        <v>trnaphe_c</v>
      </c>
      <c r="C86" t="str">
        <f>_xlfn.TEXTBEFORE(mets2721[[#This Row],[name]],"_",-1)</f>
        <v>trnaphe</v>
      </c>
      <c r="D86" t="str">
        <f>_xlfn.XLOOKUP(mets2721[[#This Row],[name w/o location]],metaboliteInfo[name w/o location],metaboliteInfo[suggested category],"")</f>
        <v>ignore</v>
      </c>
      <c r="E86" s="21">
        <f>_xlfn.XLOOKUP(mets2721[[#This Row],[name w/o location]],metaboliteInfo[name w/o location],metaboliteInfo[MW for biomass normalization (g/mol)],0)</f>
        <v>0</v>
      </c>
      <c r="F86" s="21">
        <f>_xlfn.NUMBERVALUE(SUBSTITUTE(_xlfn.TEXTAFTER(mets2721[[#This Row],[pasted JSON metabolite keys and values from GSM biomass rxn]],":"),",",""))</f>
        <v>-0.15620899999999999</v>
      </c>
      <c r="G86" s="21" cm="1">
        <f t="array" ref="G86">_xlfn.LET(_xlpm.id,mets2721[[#This Row],[name w/o location]],IF(IsElementOfSet_DIY(_xlpm.id,{"atp","adp","h","pi","h2o"}),SIGN(mets2721[[#This Row],[raw (GSM) coefficient]])*(ABS(mets2721[[#This Row],[raw (GSM) coefficient]])-$J$2),mets2721[[#This Row],[raw (GSM) coefficient]]))</f>
        <v>-0.15620899999999999</v>
      </c>
      <c r="H86" s="161">
        <f>mets2721[[#This Row],[coeff. w/o GAM]]</f>
        <v>-0.15620899999999999</v>
      </c>
      <c r="I86" s="161">
        <f t="shared" si="4"/>
        <v>-0.15499832657043558</v>
      </c>
      <c r="J86" s="21" cm="1">
        <f t="array" ref="J86">_xlfn.LET(_xlpm.id,mets2721[[#This Row],[name w/o location]],_xlpm.oldcoeff,mets2721[[#This Row],[normalized coeffs]],_xlpm.gam,$J$2-$G$2,_xlfn.IFS(IFERROR(MATCH(_xlpm.id,{"atp","h2o"},0),0)&gt;0,_xlpm.oldcoeff-_xlpm.gam,IFERROR(MATCH(_xlpm.id,{"adp","h","pi"},0),0)&gt;0,_xlpm.oldcoeff+_xlpm.gam,TRUE,_xlpm.oldcoeff))</f>
        <v>-0.15499832657043558</v>
      </c>
      <c r="K86" t="str" cm="1">
        <f t="array" ref="K86">"BIOSYN-"&amp;_xlfn.IFS(IFERROR(MATCH(mets2721[[#This Row],[category]],{0,"0",""},0),0)&gt;0,mets2721[[#This Row],[name]],TRUE,mets2721[[#This Row],[category]]&amp;"-"&amp;mets2721[[#This Row],[name]])</f>
        <v>BIOSYN-ignore-trnaphe_c</v>
      </c>
      <c r="L86" s="149" t="str" cm="1">
        <f t="array" ref="L86">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6" s="149" cm="1">
        <f t="array" ref="M86">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-0.16056663105606256</v>
      </c>
      <c r="N86" s="149"/>
      <c r="O86" s="149"/>
      <c r="P86" s="149" t="str">
        <v>"h_c":190.57899</v>
      </c>
      <c r="R86" s="149" t="str">
        <v>"h_c":-190.57899</v>
      </c>
      <c r="S86" s="149"/>
      <c r="T86" s="149"/>
      <c r="U86" s="149"/>
      <c r="V86" s="149"/>
    </row>
    <row r="87" spans="1:22" ht="16" x14ac:dyDescent="0.2">
      <c r="A87" s="144" t="s">
        <v>1398</v>
      </c>
      <c r="B87" t="str">
        <f>SUBSTITUTE(_xlfn.TEXTBEFORE(mets2721[[#This Row],[pasted JSON metabolite keys and values from GSM biomass rxn]],":"),CHAR(34),"")</f>
        <v>trnapro_c</v>
      </c>
      <c r="C87" t="str">
        <f>_xlfn.TEXTBEFORE(mets2721[[#This Row],[name]],"_",-1)</f>
        <v>trnapro</v>
      </c>
      <c r="D87" t="str">
        <f>_xlfn.XLOOKUP(mets2721[[#This Row],[name w/o location]],metaboliteInfo[name w/o location],metaboliteInfo[suggested category],"")</f>
        <v>ignore</v>
      </c>
      <c r="E87" s="21">
        <f>_xlfn.XLOOKUP(mets2721[[#This Row],[name w/o location]],metaboliteInfo[name w/o location],metaboliteInfo[MW for biomass normalization (g/mol)],0)</f>
        <v>0</v>
      </c>
      <c r="F87" s="21">
        <f>_xlfn.NUMBERVALUE(SUBSTITUTE(_xlfn.TEXTAFTER(mets2721[[#This Row],[pasted JSON metabolite keys and values from GSM biomass rxn]],":"),",",""))</f>
        <v>-0.175319</v>
      </c>
      <c r="G87" s="21" cm="1">
        <f t="array" ref="G87">_xlfn.LET(_xlpm.id,mets2721[[#This Row],[name w/o location]],IF(IsElementOfSet_DIY(_xlpm.id,{"atp","adp","h","pi","h2o"}),SIGN(mets2721[[#This Row],[raw (GSM) coefficient]])*(ABS(mets2721[[#This Row],[raw (GSM) coefficient]])-$J$2),mets2721[[#This Row],[raw (GSM) coefficient]]))</f>
        <v>-0.175319</v>
      </c>
      <c r="H87" s="161">
        <f>mets2721[[#This Row],[coeff. w/o GAM]]</f>
        <v>-0.175319</v>
      </c>
      <c r="I87" s="161">
        <f t="shared" si="4"/>
        <v>-0.17396021750348697</v>
      </c>
      <c r="J87" s="21" cm="1">
        <f t="array" ref="J87">_xlfn.LET(_xlpm.id,mets2721[[#This Row],[name w/o location]],_xlpm.oldcoeff,mets2721[[#This Row],[normalized coeffs]],_xlpm.gam,$J$2-$G$2,_xlfn.IFS(IFERROR(MATCH(_xlpm.id,{"atp","h2o"},0),0)&gt;0,_xlpm.oldcoeff-_xlpm.gam,IFERROR(MATCH(_xlpm.id,{"adp","h","pi"},0),0)&gt;0,_xlpm.oldcoeff+_xlpm.gam,TRUE,_xlpm.oldcoeff))</f>
        <v>-0.17396021750348697</v>
      </c>
      <c r="K87" t="str" cm="1">
        <f t="array" ref="K87">"BIOSYN-"&amp;_xlfn.IFS(IFERROR(MATCH(mets2721[[#This Row],[category]],{0,"0",""},0),0)&gt;0,mets2721[[#This Row],[name]],TRUE,mets2721[[#This Row],[category]]&amp;"-"&amp;mets2721[[#This Row],[name]])</f>
        <v>BIOSYN-ignore-trnapro_c</v>
      </c>
      <c r="L87" s="149" t="str" cm="1">
        <f t="array" ref="L87">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7" s="149" cm="1">
        <f t="array" ref="M87">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-0.18020972664902685</v>
      </c>
      <c r="N87" s="149"/>
      <c r="O87" s="149"/>
      <c r="P87" s="149" t="str">
        <v>"pi_c":190.473335</v>
      </c>
      <c r="R87" s="149" t="str">
        <v>"pi_c":-190.473335</v>
      </c>
      <c r="S87" s="149"/>
      <c r="T87" s="149"/>
      <c r="U87" s="149"/>
      <c r="V87" s="149"/>
    </row>
    <row r="88" spans="1:22" ht="16" x14ac:dyDescent="0.2">
      <c r="A88" s="144" t="s">
        <v>1399</v>
      </c>
      <c r="B88" t="str">
        <f>SUBSTITUTE(_xlfn.TEXTBEFORE(mets2721[[#This Row],[pasted JSON metabolite keys and values from GSM biomass rxn]],":"),CHAR(34),"")</f>
        <v>trnaser_c</v>
      </c>
      <c r="C88" t="str">
        <f>_xlfn.TEXTBEFORE(mets2721[[#This Row],[name]],"_",-1)</f>
        <v>trnaser</v>
      </c>
      <c r="D88" t="str">
        <f>_xlfn.XLOOKUP(mets2721[[#This Row],[name w/o location]],metaboliteInfo[name w/o location],metaboliteInfo[suggested category],"")</f>
        <v>ignore</v>
      </c>
      <c r="E88" s="21">
        <f>_xlfn.XLOOKUP(mets2721[[#This Row],[name w/o location]],metaboliteInfo[name w/o location],metaboliteInfo[MW for biomass normalization (g/mol)],0)</f>
        <v>0</v>
      </c>
      <c r="F88" s="21">
        <f>_xlfn.NUMBERVALUE(SUBSTITUTE(_xlfn.TEXTAFTER(mets2721[[#This Row],[pasted JSON metabolite keys and values from GSM biomass rxn]],":"),",",""))</f>
        <v>-0.22343399999999999</v>
      </c>
      <c r="G88" s="21" cm="1">
        <f t="array" ref="G88">_xlfn.LET(_xlpm.id,mets2721[[#This Row],[name w/o location]],IF(IsElementOfSet_DIY(_xlpm.id,{"atp","adp","h","pi","h2o"}),SIGN(mets2721[[#This Row],[raw (GSM) coefficient]])*(ABS(mets2721[[#This Row],[raw (GSM) coefficient]])-$J$2),mets2721[[#This Row],[raw (GSM) coefficient]]))</f>
        <v>-0.22343399999999999</v>
      </c>
      <c r="H88" s="161">
        <f>mets2721[[#This Row],[coeff. w/o GAM]]</f>
        <v>-0.22343399999999999</v>
      </c>
      <c r="I88" s="161">
        <f t="shared" si="4"/>
        <v>-0.22170230971927807</v>
      </c>
      <c r="J88" s="21" cm="1">
        <f t="array" ref="J88">_xlfn.LET(_xlpm.id,mets2721[[#This Row],[name w/o location]],_xlpm.oldcoeff,mets2721[[#This Row],[normalized coeffs]],_xlpm.gam,$J$2-$G$2,_xlfn.IFS(IFERROR(MATCH(_xlpm.id,{"atp","h2o"},0),0)&gt;0,_xlpm.oldcoeff-_xlpm.gam,IFERROR(MATCH(_xlpm.id,{"adp","h","pi"},0),0)&gt;0,_xlpm.oldcoeff+_xlpm.gam,TRUE,_xlpm.oldcoeff))</f>
        <v>-0.22170230971927807</v>
      </c>
      <c r="K88" t="str" cm="1">
        <f t="array" ref="K88">"BIOSYN-"&amp;_xlfn.IFS(IFERROR(MATCH(mets2721[[#This Row],[category]],{0,"0",""},0),0)&gt;0,mets2721[[#This Row],[name]],TRUE,mets2721[[#This Row],[category]]&amp;"-"&amp;mets2721[[#This Row],[name]])</f>
        <v>BIOSYN-ignore-trnaser_c</v>
      </c>
      <c r="L88" s="149" t="str" cm="1">
        <f t="array" ref="L88">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8" s="149" cm="1">
        <f t="array" ref="M88">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-0.22966695032539924</v>
      </c>
      <c r="N88" s="149"/>
      <c r="O88" s="149"/>
      <c r="P88" s="149" t="str">
        <v>"ppi_c":0.385495</v>
      </c>
      <c r="R88" s="149" t="str">
        <v>"ppi_c":-0.385495</v>
      </c>
      <c r="S88" s="149"/>
      <c r="T88" s="149"/>
      <c r="U88" s="149"/>
      <c r="V88" s="149"/>
    </row>
    <row r="89" spans="1:22" ht="16" x14ac:dyDescent="0.2">
      <c r="A89" s="144" t="s">
        <v>1400</v>
      </c>
      <c r="B89" t="str">
        <f>SUBSTITUTE(_xlfn.TEXTBEFORE(mets2721[[#This Row],[pasted JSON metabolite keys and values from GSM biomass rxn]],":"),CHAR(34),"")</f>
        <v>trnathr_c</v>
      </c>
      <c r="C89" t="str">
        <f>_xlfn.TEXTBEFORE(mets2721[[#This Row],[name]],"_",-1)</f>
        <v>trnathr</v>
      </c>
      <c r="D89" t="str">
        <f>_xlfn.XLOOKUP(mets2721[[#This Row],[name w/o location]],metaboliteInfo[name w/o location],metaboliteInfo[suggested category],"")</f>
        <v>ignore</v>
      </c>
      <c r="E89" s="21">
        <f>_xlfn.XLOOKUP(mets2721[[#This Row],[name w/o location]],metaboliteInfo[name w/o location],metaboliteInfo[MW for biomass normalization (g/mol)],0)</f>
        <v>0</v>
      </c>
      <c r="F89" s="21">
        <f>_xlfn.NUMBERVALUE(SUBSTITUTE(_xlfn.TEXTAFTER(mets2721[[#This Row],[pasted JSON metabolite keys and values from GSM biomass rxn]],":"),",",""))</f>
        <v>-0.231405</v>
      </c>
      <c r="G89" s="21" cm="1">
        <f t="array" ref="G89">_xlfn.LET(_xlpm.id,mets2721[[#This Row],[name w/o location]],IF(IsElementOfSet_DIY(_xlpm.id,{"atp","adp","h","pi","h2o"}),SIGN(mets2721[[#This Row],[raw (GSM) coefficient]])*(ABS(mets2721[[#This Row],[raw (GSM) coefficient]])-$J$2),mets2721[[#This Row],[raw (GSM) coefficient]]))</f>
        <v>-0.231405</v>
      </c>
      <c r="H89" s="161">
        <f>mets2721[[#This Row],[coeff. w/o GAM]]</f>
        <v>-0.231405</v>
      </c>
      <c r="I89" s="161">
        <f t="shared" si="4"/>
        <v>-0.22961153173012855</v>
      </c>
      <c r="J89" s="21" cm="1">
        <f t="array" ref="J89">_xlfn.LET(_xlpm.id,mets2721[[#This Row],[name w/o location]],_xlpm.oldcoeff,mets2721[[#This Row],[normalized coeffs]],_xlpm.gam,$J$2-$G$2,_xlfn.IFS(IFERROR(MATCH(_xlpm.id,{"atp","h2o"},0),0)&gt;0,_xlpm.oldcoeff-_xlpm.gam,IFERROR(MATCH(_xlpm.id,{"adp","h","pi"},0),0)&gt;0,_xlpm.oldcoeff+_xlpm.gam,TRUE,_xlpm.oldcoeff))</f>
        <v>-0.22961153173012855</v>
      </c>
      <c r="K89" t="str" cm="1">
        <f t="array" ref="K89">"BIOSYN-"&amp;_xlfn.IFS(IFERROR(MATCH(mets2721[[#This Row],[category]],{0,"0",""},0),0)&gt;0,mets2721[[#This Row],[name]],TRUE,mets2721[[#This Row],[category]]&amp;"-"&amp;mets2721[[#This Row],[name]])</f>
        <v>BIOSYN-ignore-trnathr_c</v>
      </c>
      <c r="L89" s="149" t="str" cm="1">
        <f t="array" ref="L89">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89" s="149" cm="1">
        <f t="array" ref="M89">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-0.23786031060648338</v>
      </c>
      <c r="N89" s="149"/>
      <c r="O89" s="149"/>
      <c r="P89" s="149"/>
      <c r="R89" s="149" t="str">
        <v>"trnaala_c":0.405893</v>
      </c>
      <c r="S89" s="149"/>
      <c r="T89" s="149"/>
      <c r="U89" s="149"/>
      <c r="V89" s="149"/>
    </row>
    <row r="90" spans="1:22" ht="16" x14ac:dyDescent="0.2">
      <c r="A90" s="144" t="s">
        <v>1401</v>
      </c>
      <c r="B90" t="str">
        <f>SUBSTITUTE(_xlfn.TEXTBEFORE(mets2721[[#This Row],[pasted JSON metabolite keys and values from GSM biomass rxn]],":"),CHAR(34),"")</f>
        <v>trnatrp_c</v>
      </c>
      <c r="C90" t="str">
        <f>_xlfn.TEXTBEFORE(mets2721[[#This Row],[name]],"_",-1)</f>
        <v>trnatrp</v>
      </c>
      <c r="D90" t="str">
        <f>_xlfn.XLOOKUP(mets2721[[#This Row],[name w/o location]],metaboliteInfo[name w/o location],metaboliteInfo[suggested category],"")</f>
        <v>ignore</v>
      </c>
      <c r="E90" s="21">
        <f>_xlfn.XLOOKUP(mets2721[[#This Row],[name w/o location]],metaboliteInfo[name w/o location],metaboliteInfo[MW for biomass normalization (g/mol)],0)</f>
        <v>0</v>
      </c>
      <c r="F90" s="21">
        <f>_xlfn.NUMBERVALUE(SUBSTITUTE(_xlfn.TEXTAFTER(mets2721[[#This Row],[pasted JSON metabolite keys and values from GSM biomass rxn]],":"),",",""))</f>
        <v>-2.7004E-2</v>
      </c>
      <c r="G90" s="21" cm="1">
        <f t="array" ref="G90">_xlfn.LET(_xlpm.id,mets2721[[#This Row],[name w/o location]],IF(IsElementOfSet_DIY(_xlpm.id,{"atp","adp","h","pi","h2o"}),SIGN(mets2721[[#This Row],[raw (GSM) coefficient]])*(ABS(mets2721[[#This Row],[raw (GSM) coefficient]])-$J$2),mets2721[[#This Row],[raw (GSM) coefficient]]))</f>
        <v>-2.7004E-2</v>
      </c>
      <c r="H90" s="161">
        <f>mets2721[[#This Row],[coeff. w/o GAM]]</f>
        <v>-2.7004E-2</v>
      </c>
      <c r="I90" s="161">
        <f t="shared" si="4"/>
        <v>-2.6794709720362096E-2</v>
      </c>
      <c r="J90" s="21" cm="1">
        <f t="array" ref="J90">_xlfn.LET(_xlpm.id,mets2721[[#This Row],[name w/o location]],_xlpm.oldcoeff,mets2721[[#This Row],[normalized coeffs]],_xlpm.gam,$J$2-$G$2,_xlfn.IFS(IFERROR(MATCH(_xlpm.id,{"atp","h2o"},0),0)&gt;0,_xlpm.oldcoeff-_xlpm.gam,IFERROR(MATCH(_xlpm.id,{"adp","h","pi"},0),0)&gt;0,_xlpm.oldcoeff+_xlpm.gam,TRUE,_xlpm.oldcoeff))</f>
        <v>-2.6794709720362096E-2</v>
      </c>
      <c r="K90" t="str" cm="1">
        <f t="array" ref="K90">"BIOSYN-"&amp;_xlfn.IFS(IFERROR(MATCH(mets2721[[#This Row],[category]],{0,"0",""},0),0)&gt;0,mets2721[[#This Row],[name]],TRUE,mets2721[[#This Row],[category]]&amp;"-"&amp;mets2721[[#This Row],[name]])</f>
        <v>BIOSYN-ignore-trnatrp_c</v>
      </c>
      <c r="L90" s="149" t="str" cm="1">
        <f t="array" ref="L90">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90" s="149" cm="1">
        <f t="array" ref="M90">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-2.7757307869827691E-2</v>
      </c>
      <c r="N90" s="149"/>
      <c r="O90" s="149"/>
      <c r="P90" s="149"/>
      <c r="R90" s="149" t="str">
        <v>"trnaarg_c":0.160363</v>
      </c>
      <c r="S90" s="149"/>
      <c r="T90" s="149"/>
      <c r="U90" s="149"/>
      <c r="V90" s="149"/>
    </row>
    <row r="91" spans="1:22" ht="16" x14ac:dyDescent="0.2">
      <c r="A91" s="144" t="s">
        <v>1402</v>
      </c>
      <c r="B91" t="str">
        <f>SUBSTITUTE(_xlfn.TEXTBEFORE(mets2721[[#This Row],[pasted JSON metabolite keys and values from GSM biomass rxn]],":"),CHAR(34),"")</f>
        <v>trnatyr_c</v>
      </c>
      <c r="C91" t="str">
        <f>_xlfn.TEXTBEFORE(mets2721[[#This Row],[name]],"_",-1)</f>
        <v>trnatyr</v>
      </c>
      <c r="D91" t="str">
        <f>_xlfn.XLOOKUP(mets2721[[#This Row],[name w/o location]],metaboliteInfo[name w/o location],metaboliteInfo[suggested category],"")</f>
        <v>ignore</v>
      </c>
      <c r="E91" s="21">
        <f>_xlfn.XLOOKUP(mets2721[[#This Row],[name w/o location]],metaboliteInfo[name w/o location],metaboliteInfo[MW for biomass normalization (g/mol)],0)</f>
        <v>0</v>
      </c>
      <c r="F91" s="21">
        <f>_xlfn.NUMBERVALUE(SUBSTITUTE(_xlfn.TEXTAFTER(mets2721[[#This Row],[pasted JSON metabolite keys and values from GSM biomass rxn]],":"),",",""))</f>
        <v>-8.1428E-2</v>
      </c>
      <c r="G91" s="21" cm="1">
        <f t="array" ref="G91">_xlfn.LET(_xlpm.id,mets2721[[#This Row],[name w/o location]],IF(IsElementOfSet_DIY(_xlpm.id,{"atp","adp","h","pi","h2o"}),SIGN(mets2721[[#This Row],[raw (GSM) coefficient]])*(ABS(mets2721[[#This Row],[raw (GSM) coefficient]])-$J$2),mets2721[[#This Row],[raw (GSM) coefficient]]))</f>
        <v>-8.1428E-2</v>
      </c>
      <c r="H91" s="161">
        <f>mets2721[[#This Row],[coeff. w/o GAM]]</f>
        <v>-8.1428E-2</v>
      </c>
      <c r="I91" s="161">
        <f t="shared" si="4"/>
        <v>-8.0796905018132303E-2</v>
      </c>
      <c r="J91" s="21" cm="1">
        <f t="array" ref="J91">_xlfn.LET(_xlpm.id,mets2721[[#This Row],[name w/o location]],_xlpm.oldcoeff,mets2721[[#This Row],[normalized coeffs]],_xlpm.gam,$J$2-$G$2,_xlfn.IFS(IFERROR(MATCH(_xlpm.id,{"atp","h2o"},0),0)&gt;0,_xlpm.oldcoeff-_xlpm.gam,IFERROR(MATCH(_xlpm.id,{"adp","h","pi"},0),0)&gt;0,_xlpm.oldcoeff+_xlpm.gam,TRUE,_xlpm.oldcoeff))</f>
        <v>-8.0796905018132303E-2</v>
      </c>
      <c r="K91" t="str" cm="1">
        <f t="array" ref="K91">"BIOSYN-"&amp;_xlfn.IFS(IFERROR(MATCH(mets2721[[#This Row],[category]],{0,"0",""},0),0)&gt;0,mets2721[[#This Row],[name]],TRUE,mets2721[[#This Row],[category]]&amp;"-"&amp;mets2721[[#This Row],[name]])</f>
        <v>BIOSYN-ignore-trnatyr_c</v>
      </c>
      <c r="L91" s="149" t="str" cm="1">
        <f t="array" ref="L91">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91" s="149" cm="1">
        <f t="array" ref="M91">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-8.3699528411506782E-2</v>
      </c>
      <c r="N91" s="149"/>
      <c r="O91" s="149"/>
      <c r="P91" s="149"/>
      <c r="R91" s="149" t="str">
        <v>"trnaasn_c":0.192768</v>
      </c>
      <c r="S91" s="149"/>
      <c r="T91" s="149"/>
      <c r="U91" s="149"/>
      <c r="V91" s="149"/>
    </row>
    <row r="92" spans="1:22" ht="16" x14ac:dyDescent="0.2">
      <c r="A92" s="144" t="s">
        <v>1403</v>
      </c>
      <c r="B92" t="str">
        <f>SUBSTITUTE(_xlfn.TEXTBEFORE(mets2721[[#This Row],[pasted JSON metabolite keys and values from GSM biomass rxn]],":"),CHAR(34),"")</f>
        <v>trnaval_c</v>
      </c>
      <c r="C92" t="str">
        <f>_xlfn.TEXTBEFORE(mets2721[[#This Row],[name]],"_",-1)</f>
        <v>trnaval</v>
      </c>
      <c r="D92" t="str">
        <f>_xlfn.XLOOKUP(mets2721[[#This Row],[name w/o location]],metaboliteInfo[name w/o location],metaboliteInfo[suggested category],"")</f>
        <v>ignore</v>
      </c>
      <c r="E92" s="21">
        <f>_xlfn.XLOOKUP(mets2721[[#This Row],[name w/o location]],metaboliteInfo[name w/o location],metaboliteInfo[MW for biomass normalization (g/mol)],0)</f>
        <v>0</v>
      </c>
      <c r="F92" s="21">
        <f>_xlfn.NUMBERVALUE(SUBSTITUTE(_xlfn.TEXTAFTER(mets2721[[#This Row],[pasted JSON metabolite keys and values from GSM biomass rxn]],":"),",",""))</f>
        <v>-0.30452400000000002</v>
      </c>
      <c r="G92" s="21" cm="1">
        <f t="array" ref="G92">_xlfn.LET(_xlpm.id,mets2721[[#This Row],[name w/o location]],IF(IsElementOfSet_DIY(_xlpm.id,{"atp","adp","h","pi","h2o"}),SIGN(mets2721[[#This Row],[raw (GSM) coefficient]])*(ABS(mets2721[[#This Row],[raw (GSM) coefficient]])-$J$2),mets2721[[#This Row],[raw (GSM) coefficient]]))</f>
        <v>-0.30452400000000002</v>
      </c>
      <c r="H92" s="161">
        <f>mets2721[[#This Row],[coeff. w/o GAM]]</f>
        <v>-0.30452400000000002</v>
      </c>
      <c r="I92" s="161">
        <f t="shared" si="4"/>
        <v>-0.30216383435356048</v>
      </c>
      <c r="J92" s="21" cm="1">
        <f t="array" ref="J92">_xlfn.LET(_xlpm.id,mets2721[[#This Row],[name w/o location]],_xlpm.oldcoeff,mets2721[[#This Row],[normalized coeffs]],_xlpm.gam,$J$2-$G$2,_xlfn.IFS(IFERROR(MATCH(_xlpm.id,{"atp","h2o"},0),0)&gt;0,_xlpm.oldcoeff-_xlpm.gam,IFERROR(MATCH(_xlpm.id,{"adp","h","pi"},0),0)&gt;0,_xlpm.oldcoeff+_xlpm.gam,TRUE,_xlpm.oldcoeff))</f>
        <v>-0.30216383435356048</v>
      </c>
      <c r="K92" t="str" cm="1">
        <f t="array" ref="K92">"BIOSYN-"&amp;_xlfn.IFS(IFERROR(MATCH(mets2721[[#This Row],[category]],{0,"0",""},0),0)&gt;0,mets2721[[#This Row],[name]],TRUE,mets2721[[#This Row],[category]]&amp;"-"&amp;mets2721[[#This Row],[name]])</f>
        <v>BIOSYN-ignore-trnaval_c</v>
      </c>
      <c r="L92" s="149" t="str" cm="1">
        <f t="array" ref="L92">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92" s="149" cm="1">
        <f t="array" ref="M92">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-0.31301904983526174</v>
      </c>
      <c r="N92" s="149"/>
      <c r="O92" s="149"/>
      <c r="P92" s="149"/>
      <c r="R92" s="149" t="str">
        <v>"trnaasp_c":0.192768</v>
      </c>
      <c r="S92" s="149"/>
      <c r="T92" s="149"/>
      <c r="U92" s="149"/>
      <c r="V92" s="149"/>
    </row>
    <row r="93" spans="1:22" ht="16" x14ac:dyDescent="0.2">
      <c r="A93" s="144" t="s">
        <v>1417</v>
      </c>
      <c r="B93" t="str">
        <f>SUBSTITUTE(_xlfn.TEXTBEFORE(mets2721[[#This Row],[pasted JSON metabolite keys and values from GSM biomass rxn]],":"),CHAR(34),"")</f>
        <v>trnagly_c</v>
      </c>
      <c r="C93" t="str">
        <f>_xlfn.TEXTBEFORE(mets2721[[#This Row],[name]],"_",-1)</f>
        <v>trnagly</v>
      </c>
      <c r="D93" t="str">
        <f>_xlfn.XLOOKUP(mets2721[[#This Row],[name w/o location]],metaboliteInfo[name w/o location],metaboliteInfo[suggested category],"")</f>
        <v>ignore</v>
      </c>
      <c r="E93" s="21">
        <f>_xlfn.XLOOKUP(mets2721[[#This Row],[name w/o location]],metaboliteInfo[name w/o location],metaboliteInfo[MW for biomass normalization (g/mol)],0)</f>
        <v>0</v>
      </c>
      <c r="F93" s="21">
        <f>_xlfn.NUMBERVALUE(SUBSTITUTE(_xlfn.TEXTAFTER(mets2721[[#This Row],[pasted JSON metabolite keys and values from GSM biomass rxn]],":"),",",""))</f>
        <v>-0.369334</v>
      </c>
      <c r="G93" s="21" cm="1">
        <f t="array" ref="G93">_xlfn.LET(_xlpm.id,mets2721[[#This Row],[name w/o location]],IF(IsElementOfSet_DIY(_xlpm.id,{"atp","adp","h","pi","h2o"}),SIGN(mets2721[[#This Row],[raw (GSM) coefficient]])*(ABS(mets2721[[#This Row],[raw (GSM) coefficient]])-$J$2),mets2721[[#This Row],[raw (GSM) coefficient]]))</f>
        <v>-0.369334</v>
      </c>
      <c r="H93" s="161">
        <f>mets2721[[#This Row],[coeff. w/o GAM]]</f>
        <v>-0.369334</v>
      </c>
      <c r="I93" s="161">
        <f>H93/($H$3)</f>
        <v>-0.36647153458229204</v>
      </c>
      <c r="J93" s="21" cm="1">
        <f t="array" ref="J93">_xlfn.LET(_xlpm.id,mets2721[[#This Row],[name w/o location]],_xlpm.oldcoeff,mets2721[[#This Row],[normalized coeffs]],_xlpm.gam,$J$2-$G$2,_xlfn.IFS(IFERROR(MATCH(_xlpm.id,{"atp","h2o"},0),0)&gt;0,_xlpm.oldcoeff-_xlpm.gam,IFERROR(MATCH(_xlpm.id,{"adp","h","pi"},0),0)&gt;0,_xlpm.oldcoeff+_xlpm.gam,TRUE,_xlpm.oldcoeff))</f>
        <v>-0.36647153458229204</v>
      </c>
      <c r="K93" t="str" cm="1">
        <f t="array" ref="K93">"BIOSYN-"&amp;_xlfn.IFS(IFERROR(MATCH(mets2721[[#This Row],[category]],{0,"0",""},0),0)&gt;0,mets2721[[#This Row],[name]],TRUE,mets2721[[#This Row],[category]]&amp;"-"&amp;mets2721[[#This Row],[name]])</f>
        <v>BIOSYN-ignore-trnagly_c</v>
      </c>
      <c r="L93" s="149" t="str" cm="1">
        <f t="array" ref="L93">IF(IsElementOfSet_DIY(mets2721[[#This Row],[category]],{"ignore","PROT"}),"",_xlfn.LET(_xlpm.mw,mets2721[[#This Row],[MW for biomass normalization (g/mol)]],"MET-"&amp;mets2721[[#This Row],[name]]&amp;" --&gt; "&amp;IF((mets2721[[#This Row],[category]]="DNA")+(mets2721[[#This Row],[category]]="RNA"),"MET-ppi_c + ","")&amp;ROUND(ABS(_xlpm.mw/1000),6)&amp;" BIO-"&amp;mets2721[[#This Row],[name]]))</f>
        <v/>
      </c>
      <c r="M93" s="149" cm="1">
        <f t="array" ref="M93">_xlfn.LET(_xlpm.gam,$J$2,_xlpm.cat,IF(LEFT(mets2721[[#This Row],[name w/o location]],4)="trna","PROT",mets2721[[#This Row],[category]]),_xlpm.multipliers,_xlfn._xlws.FILTER(_xlfn.HSTACK(biomassComponents2620[normalized coeffs],biomassComponents2620[original coeffs from input]),(biomassComponents2620[rxn name]="BIOSYN-"&amp;_xlpm.cat)+IF(mets2721[[#This Row],[name w/o location]]="ppi",((biomassComponents2620[rxn name]="BIOSYN-DNA"))+((biomassComponents2620[rxn name]="BIOSYN-RNA"))&gt;0,FALSE),{1,1}),mets2721[[#This Row],[normalized coeffs]]*(SUM(_xlfn.CHOOSECOLS(_xlpm.multipliers,1))/SUM(_xlfn.CHOOSECOLS(_xlpm.multipliers,2)))+_xlfn.IFS(OR(mets2721[[#This Row],[name w/o location]]={"atp","h2o"}),-_xlpm.gam,OR(mets2721[[#This Row],[name w/o location]]={"adp","h","pi"}),_xlpm.gam,TRUE,0))</f>
        <v>-0.37963699988131167</v>
      </c>
      <c r="N93" s="149"/>
      <c r="O93" s="149"/>
      <c r="P93" s="149"/>
      <c r="R93" s="149" t="str">
        <v>"trnacys_c":0.005816</v>
      </c>
      <c r="S93" s="149"/>
      <c r="T93" s="149"/>
      <c r="U93" s="149"/>
      <c r="V93" s="149"/>
    </row>
    <row r="94" spans="1:22" ht="16" x14ac:dyDescent="0.2">
      <c r="A94" s="144"/>
      <c r="E94" s="21"/>
      <c r="F94" s="21"/>
      <c r="G94" s="21"/>
      <c r="H94" s="21"/>
      <c r="I94" s="161"/>
      <c r="J94" s="21"/>
      <c r="L94" s="149"/>
      <c r="M94" s="149"/>
      <c r="N94" s="149"/>
      <c r="O94" s="149"/>
      <c r="P94" s="149"/>
      <c r="R94" s="149" t="str">
        <v>"trnagln_c":0.321557</v>
      </c>
      <c r="S94" s="149"/>
      <c r="T94" s="149"/>
      <c r="U94" s="149"/>
      <c r="V94" s="149"/>
    </row>
    <row r="95" spans="1:22" ht="16" x14ac:dyDescent="0.2">
      <c r="A95" s="144"/>
      <c r="E95" s="21"/>
      <c r="F95" s="21"/>
      <c r="G95" s="21"/>
      <c r="H95" s="21"/>
      <c r="I95" s="161"/>
      <c r="J95" s="21"/>
      <c r="L95" s="149"/>
      <c r="M95" s="149"/>
      <c r="N95" s="149"/>
      <c r="O95" s="149"/>
      <c r="P95" s="149"/>
      <c r="R95" s="149" t="str">
        <v>"trnaglu_c":0.321557</v>
      </c>
      <c r="S95" s="149"/>
      <c r="T95" s="149"/>
      <c r="U95" s="149"/>
      <c r="V95" s="149"/>
    </row>
    <row r="96" spans="1:22" ht="16" x14ac:dyDescent="0.2">
      <c r="A96" s="144"/>
      <c r="E96" s="21"/>
      <c r="F96" s="21"/>
      <c r="G96" s="21"/>
      <c r="H96" s="21"/>
      <c r="I96" s="161"/>
      <c r="J96" s="21"/>
      <c r="L96" s="149"/>
      <c r="M96" s="149"/>
      <c r="N96" s="149"/>
      <c r="O96" s="149"/>
      <c r="P96" s="149"/>
      <c r="R96" s="149" t="str">
        <v>"trnahis_c":0.080182</v>
      </c>
      <c r="S96" s="149"/>
      <c r="T96" s="149"/>
      <c r="U96" s="149"/>
      <c r="V96" s="149"/>
    </row>
    <row r="97" spans="1:22" ht="16" x14ac:dyDescent="0.2">
      <c r="A97" s="144"/>
      <c r="E97" s="21"/>
      <c r="F97" s="21"/>
      <c r="G97" s="21"/>
      <c r="H97" s="21"/>
      <c r="I97" s="161"/>
      <c r="J97" s="21"/>
      <c r="L97" s="149"/>
      <c r="M97" s="149"/>
      <c r="N97" s="149"/>
      <c r="O97" s="149"/>
      <c r="P97" s="149"/>
      <c r="R97" s="149" t="str">
        <v>"trnaile_c":0.244699</v>
      </c>
      <c r="S97" s="149"/>
      <c r="T97" s="149"/>
      <c r="U97" s="149"/>
      <c r="V97" s="149"/>
    </row>
    <row r="98" spans="1:22" ht="16" x14ac:dyDescent="0.2">
      <c r="A98" s="144"/>
      <c r="E98" s="21"/>
      <c r="F98" s="21"/>
      <c r="G98" s="21"/>
      <c r="H98" s="21"/>
      <c r="I98" s="161"/>
      <c r="J98" s="21"/>
      <c r="L98" s="149"/>
      <c r="M98" s="149"/>
      <c r="N98" s="149"/>
      <c r="O98" s="149"/>
      <c r="P98" s="149"/>
      <c r="R98" s="149" t="str">
        <v>"trnaleu_c":0.332774</v>
      </c>
      <c r="S98" s="149"/>
      <c r="T98" s="149"/>
      <c r="U98" s="149"/>
      <c r="V98" s="149"/>
    </row>
    <row r="99" spans="1:22" x14ac:dyDescent="0.15">
      <c r="R99" s="149" t="str">
        <v>"trnalys_c":0.27295</v>
      </c>
    </row>
    <row r="100" spans="1:22" x14ac:dyDescent="0.15">
      <c r="R100" s="149" t="str">
        <v>"trnamet_c":0.047361</v>
      </c>
    </row>
    <row r="101" spans="1:22" x14ac:dyDescent="0.15">
      <c r="R101" s="149" t="str">
        <v>"trnaphe_c":0.156209</v>
      </c>
    </row>
    <row r="102" spans="1:22" x14ac:dyDescent="0.15">
      <c r="R102" s="149" t="str">
        <v>"trnapro_c":0.175319</v>
      </c>
    </row>
    <row r="103" spans="1:22" x14ac:dyDescent="0.15">
      <c r="R103" s="149" t="str">
        <v>"trnaser_c":0.221434</v>
      </c>
    </row>
    <row r="104" spans="1:22" x14ac:dyDescent="0.15">
      <c r="R104" s="149" t="str">
        <v>"trnathr_c":0.231405</v>
      </c>
    </row>
    <row r="105" spans="1:22" x14ac:dyDescent="0.15">
      <c r="R105" s="149" t="str">
        <v>"trnatrp_c":0.027004</v>
      </c>
    </row>
    <row r="106" spans="1:22" x14ac:dyDescent="0.15">
      <c r="R106" s="149" t="str">
        <v>"trnatyr_c":0.081428</v>
      </c>
    </row>
    <row r="107" spans="1:22" x14ac:dyDescent="0.15">
      <c r="R107" t="str">
        <v>"trnaval_c":0.304524</v>
      </c>
    </row>
  </sheetData>
  <mergeCells count="3">
    <mergeCell ref="A1:F1"/>
    <mergeCell ref="A2:F2"/>
    <mergeCell ref="D4:E4"/>
  </mergeCells>
  <conditionalFormatting sqref="R20:R28">
    <cfRule type="expression" dxfId="45" priority="1" stopIfTrue="1">
      <formula>NOT(_xlfn.ISFORMULA(R20))</formula>
    </cfRule>
  </conditionalFormatting>
  <conditionalFormatting sqref="S6:S15">
    <cfRule type="expression" dxfId="44" priority="2" stopIfTrue="1">
      <formula>NOT(_xlfn.ISFORMULA(S6))</formula>
    </cfRule>
  </conditionalFormatting>
  <conditionalFormatting sqref="T6:T15">
    <cfRule type="expression" dxfId="43" priority="3"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2F0CE-A870-5946-A30B-BD4EC55096AE}">
  <dimension ref="A1:AG107"/>
  <sheetViews>
    <sheetView zoomScale="110" zoomScaleNormal="110" workbookViewId="0">
      <selection activeCell="R6" sqref="R6"/>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2" width="26.5" customWidth="1"/>
    <col min="13" max="13" width="26.6640625" bestFit="1"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12" customWidth="1"/>
    <col min="22" max="22" width="18.1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1473</v>
      </c>
      <c r="B1" s="182"/>
      <c r="C1" s="182"/>
      <c r="D1" s="182"/>
      <c r="E1" s="182"/>
      <c r="F1" s="182"/>
      <c r="G1" s="148" t="s">
        <v>744</v>
      </c>
      <c r="I1" s="148"/>
      <c r="J1" s="148" t="s">
        <v>743</v>
      </c>
      <c r="K1" s="148" t="s">
        <v>758</v>
      </c>
      <c r="L1" s="148"/>
      <c r="M1" s="148"/>
      <c r="N1" s="148"/>
      <c r="O1" s="148"/>
      <c r="P1" s="148"/>
      <c r="Q1" s="148"/>
      <c r="R1" s="148"/>
      <c r="S1" s="145"/>
      <c r="T1" s="148"/>
      <c r="U1" s="148"/>
      <c r="V1" s="148"/>
      <c r="W1" s="148"/>
    </row>
    <row r="2" spans="1:33" ht="13" customHeight="1" x14ac:dyDescent="0.15">
      <c r="A2" s="182"/>
      <c r="B2" s="182"/>
      <c r="C2" s="182"/>
      <c r="D2" s="182"/>
      <c r="E2" s="182"/>
      <c r="F2" s="182"/>
      <c r="G2" s="140">
        <v>8.5</v>
      </c>
      <c r="J2" s="145">
        <f>_xlfn.XLOOKUP("adp",mets27[name w/o location],mets27[raw (GSM) coefficient],0)</f>
        <v>190.57899</v>
      </c>
      <c r="K2" t="str" cm="1">
        <f t="array" ref="K2">_xlfn.LET(_xlpm.array,_xlfn._xlws.SORT(_xlfn._xlws.FILTER(_xlfn.HSTACK(mets27[normalized coeff. w/ updated GAM]-mets27[normalized coeffs],"MET-"&amp;mets27[name]),(mets27[category]="GAM")+(mets27[name w/o location]="atp")+(mets27[name w/o location]="pi"))),SUBSTITUTE(_xlfn.TEXTJOIN(" + ",TRUE,ABS(_xlfn.CHOOSECOLS(_xlpm.array,1))&amp;" "&amp;_xlfn.CHOOSECOLS(_xlpm.array,2))," + "," --&gt; ",2))</f>
        <v>182.07899 MET-atp_c + 182.07899 MET-h2o_c --&gt; 182.07899 MET-adp_c + 182.07899 MET-h_c + 182.07899 MET-pi_c</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_xlfn.LET(_xlpm.coeffs,mets27[coeff. w/o GAM],-SUM(_xlfn._xlws.FILTER(_xlpm.coeffs*mets27[MW for biomass normalization (g/mol)],(IFERROR(_xlfn.NUMBERVALUE(_xlpm.coeffs),0)&lt;0)*(_xlfn.IFNA(mets27[category],"ignore")&lt;&gt;"ignore")))/1000)</f>
        <v>1.006197120999285</v>
      </c>
      <c r="H3" s="145" cm="1">
        <f t="array" ref="H3">_xlfn.LET(_xlpm.coeffs,mets27[coeffs after extra operations],-SUM(_xlfn._xlws.FILTER(_xlpm.coeffs*mets27[MW for biomass normalization (g/mol)],(IFERROR(_xlfn.NUMBERVALUE(_xlpm.coeffs),0)&lt;0)*(_xlfn.IFNA(mets27[category],"ignore")&lt;&gt;"ignore")))/1000)</f>
        <v>1.006197120999285</v>
      </c>
      <c r="I3" s="143" cm="1">
        <f t="array" ref="I3">_xlfn.LET(_xlpm.coeffs,mets27[normalized coeffs],-SUM(_xlfn._xlws.FILTER(_xlpm.coeffs*mets27[MW for biomass normalization (g/mol)],(IFERROR(_xlfn.NUMBERVALUE(_xlpm.coeffs),0)&lt;0)*(_xlfn.IFNA(mets27[category],"ignore")&lt;&gt;"ignore")))/1000)</f>
        <v>0.99999999999999967</v>
      </c>
      <c r="J3" s="145"/>
      <c r="L3" s="145"/>
      <c r="M3" s="145" t="str" cm="1">
        <f t="array" ref="M3">_xlfn.TEXTJOIN(","&amp;CHAR(10),TRUE,CHAR(34)&amp;mets27[name]&amp;CHAR(34)&amp;":"&amp;mets27[new GSM coeffs])</f>
        <v>"13BDglucan_c":-0.667059797182664,
"16BDglucan_en":-0.175541846742192,
"adp_c":190.57899,
"alatrna_c":-0.432822757129132,
"argtrna_c":-0.242142743774166,
"asntrna_c":-0.136009600298269,
"asptrna_c":-0.229695228907398,
"atp_c":-190.645590933694,
"ca2_c":-0.00125314645456112,
"chtn_c":-0.0157705460502466,
"co2_c":0.00194890583913083,
"coa_c":0.00462183019749875,
"ctp_c":-0.116254182209833,
"cu2_c":-0.000111087632830457,
"cystrna_c":-0.0394116891383016,
"dag_c":0.00194890583913082,
"datp_c":-0.00585548759366856,
"dctp_c":-0.009139393932604,
"dgtp_c":-0.009139393932604,
"docoscoa_c":-1.35753472356956E-05,
"dttp_c":-0.00585548759366856,
"ergst_c":-0.0417718733030105,
"ergstest_c":-0.0103623323466586,
"fe2_c":-0.000647036738591434,
"glntrna_c":-0.158742150812667,
"glutrna_c":-0.275386918489312,
"glytrna_c":-0.331296909013928,
"glycogen_c":-0.228812264496074,
"gtp_c":-0.101863461493711,
"h_c":190.580708839296,
"h2o_c":-186.490854494976,
"histrna_c":-0.0854918252602606,
"hxccoa_c":-0.000974452919565412,
"iletrna_c":-0.197690946911468,
"k_c":-0.588228504895661,
"leutrna_c":-0.370077561546643,
"linocoa_c":-0.000257507322625944,
"linolncoa_c":-6.34327105074009E-05,
"lystrna_c":-0.26940006845879,
"mannan_c":-0.477628098524987,
"mettrna_c":-0.0849858749385989,
"mg2_c":-0.0619820268547972,
"mn2_c":-9.15985744391488E-05,
"nadp_c":0.00292335875869624,
"nadph_c":-0.00292335875869624,
"o2_c":-0.000974452919565416,
"odecoa_c":-0.000149965231871062,
"pail_c":-0.00948922253072798,
"pc_c":-0.0280476783838513,
"pe_c":-0.00752277653904498,
"phetrna_c":-0.155477321197495,
"pi_c":190.476034176783,
"pmtcoa_c":-0.00207155457628959,
"ppi_c":0.375646728227392,
"protrna_c":-0.229924447191349,
"ps_c":-0.00647329074467303,
"sertrna_c":-0.293336514123922,
"so4_c":-0.0304253435075909,
"stcoa_c":-8.16736330810605E-05,
"tag_c":-0.0102259089379194,
"thrtrna_c":-0.237686677320607,
"tre_c":-0.134188988194594,
"trnaala_c":0.432822757129132,
"ttccoa_c":-0.00100966845632259,
"trnaarg_c":0.242142743774166,
"utp_c":-0.0609393622307783,
"trnaasn_c":0.136009600298269,
"zn2_c":-0.00153573780123509,
"trnaasp_c":0.229695228907398,
"trnacys_c":0.0394116891383016,
"trnagln_c":0.158742150812667,
"trnaglu_c":0.275386918489312,
"trnagly_c":0.331296909013928,
"trnahis_c":0.0854918252602606,
"trnaile_c":0.197690946911468,
"trnaleu_c":0.370077561546643,
"trnalys_c":0.26940006845879,
"trnamet_c":0.0849858749385989,
"trnaphe_c":0.155477321197495,
"trnapro_c":0.229924447191349,
"trnaser_c":0.293336514123922,
"trnathr_c":0.237686677320607,
"trnatrp_c":0.042649375902274,
"trnatyr_c":0.116922264264054,
"trnaval_c":0.313653417351731,
"trptrna_c":-0.042649375902274,
"tyrtrna_c":-0.116922264264054,
"valtrna_c":-0.313653417351731</v>
      </c>
      <c r="N3" s="145"/>
      <c r="O3" s="145"/>
      <c r="P3" s="145"/>
      <c r="Q3" s="145"/>
      <c r="R3" s="145"/>
      <c r="S3" s="178"/>
      <c r="T3" s="145"/>
      <c r="U3" s="145"/>
      <c r="V3" s="145" t="str" cm="1">
        <f t="array" ref="V3">_xlfn.LET(_xlpm.eqn,_xlfn.TEXTJOIN(" + ",TRUE,biomassComponents26[new GSM coeffs])&amp;" + "&amp;K2,_xlpm.reactants,SUBSTITUTE(_xlfn.TEXTBEFORE(_xlpm.eqn,"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"13BDglucan_c":0.667059797182664,
"16BDglucan_en":0.175541846742192,
"chtn_c":0.0157705460502466,
"glycogen_c":0.228812264496074,
"mannan_c":0.477628098524987,
"tre_c":0.134188988194594,
"coa_c":-0.00462183019749875,
"nadp_c":-0.00292335875869624,
"nadph_c":0.00292335875869624,
"datp_c":0.00585548759366856,
"dctp_c":0.009139393932604,
"dgtp_c":0.009139393932604,
"dttp_c":0.00585548759366856,
"dag_c":-0.00194890583913082,
"docoscoa_c":1.35753472356956E-05,
"ergst_c":0.0417718733030105,
"ergstest_c":0.0103623323466586,
"hxccoa_c":0.000974452919565412,
"linocoa_c":0.000257507322625944,
"linolncoa_c":6.34327105074009E-05,
"odecoa_c":0.000149965231871062,
"pail_c":0.00948922253072798,
"pc_c":0.0280476783838513,
"pe_c":0.00752277653904498,
"pmtcoa_c":0.00207155457628959,
"ps_c":0.00647329074467303,
"stcoa_c":8.16736330810605E-05,
"tag_c":0.0102259089379194,
"ttccoa_c":0.00100966845632259,
"ca2_c":0.00125314645456112,
"cu2_c":0.000111087632830457,
"fe2_c":0.000647036738591434,
"k_c":0.588228504895661,
"mg2_c":0.0619820268547972,
"mn2_c":9.15985744391488E-05,
"zn2_c":0.00153573780123509,
"co2_c":-0.00194890583913083,
"o2_c":0.000974452919565416,
"pi_c":182.181945823217,
"alatrna_c":0.432822757129132,
"argtrna_c":0.242142743774166,
"asntrna_c":0.136009600298269,
"asptrna_c":0.229695228907398,
"cystrna_c":0.0394116891383016,
"glntrna_c":0.158742150812667,
"glutrna_c":0.275386918489312,
"glytrna_c":0.331296909013928,
"histrna_c":0.0854918252602606,
"iletrna_c":0.197690946911468,
"leutrna_c":0.370077561546643,
"lystrna_c":0.26940006845879,
"mettrna_c":0.0849858749385989,
"phetrna_c":0.155477321197495,
"protrna_c":0.229924447191349,
"sertrna_c":0.293336514123922,
"thrtrna_c":0.237686677320607,
"trptrna_c":0.042649375902274,
"tyrtrna_c":0.116922264264054,
"valtrna_c":0.313653417351731,
"atp_c":182.145590933694,
"ctp_c":0.116254182209833,
"gtp_c":0.101863461493711,
"utp_c":0.0609393622307783,
"so4_c":0.0304253435075909,
"h2o_c":182.07899,
"adp_c":182.07899,
"h_c":182.07899</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customHeight="1" x14ac:dyDescent="0.2">
      <c r="A6" s="142" t="s">
        <v>1425</v>
      </c>
      <c r="B6" t="str">
        <f>SUBSTITUTE(_xlfn.TEXTBEFORE(mets27[[#This Row],[pasted JSON metabolite keys and values from GSM biomass rxn]],":"),CHAR(34),"")</f>
        <v>13BDglucan_c</v>
      </c>
      <c r="C6" t="str">
        <f>_xlfn.TEXTBEFORE(mets27[[#This Row],[name]],"_",-1)</f>
        <v>13BDglucan</v>
      </c>
      <c r="D6" t="str">
        <f>_xlfn.XLOOKUP(mets27[[#This Row],[name w/o location]],metaboliteInfo[name w/o location],metaboliteInfo[suggested category],"")</f>
        <v>CARB</v>
      </c>
      <c r="E6" s="21">
        <f>_xlfn.XLOOKUP(mets27[[#This Row],[name w/o location]],metaboliteInfo[name w/o location],metaboliteInfo[MW for biomass normalization (g/mol)],0)</f>
        <v>162.14060000000001</v>
      </c>
      <c r="F6" s="21">
        <f>_xlfn.NUMBERVALUE(SUBSTITUTE(_xlfn.TEXTAFTER(mets27[[#This Row],[pasted JSON metabolite keys and values from GSM biomass rxn]],":"),",",""))</f>
        <v>-0.66705979718266395</v>
      </c>
      <c r="G6" s="21" cm="1">
        <f t="array" ref="G6">_xlfn.LET(_xlpm.id,mets27[[#This Row],[name w/o location]],IF(IsElementOfSet_DIY(_xlpm.id,{"atp","adp","h","pi","h2o"}),SIGN(mets27[[#This Row],[raw (GSM) coefficient]])*(ABS(mets27[[#This Row],[raw (GSM) coefficient]])-$J$2),mets27[[#This Row],[raw (GSM) coefficient]]))</f>
        <v>-0.66705979718266395</v>
      </c>
      <c r="H6" s="21">
        <f>mets27[[#This Row],[coeff. w/o GAM]]</f>
        <v>-0.66705979718266395</v>
      </c>
      <c r="I6" s="161">
        <f t="shared" ref="I6:I8" si="0">H6/($H$3)</f>
        <v>-0.66295140709624223</v>
      </c>
      <c r="J6" s="21" cm="1">
        <f t="array" ref="J6">_xlfn.LET(_xlpm.id,mets27[[#This Row],[name w/o location]],_xlpm.oldcoeff,mets27[[#This Row],[normalized coeffs]],_xlpm.gam,$J$2-$G$2,_xlfn.IFS(IFERROR(MATCH(_xlpm.id,{"atp","h2o"},0),0)&gt;0,_xlpm.oldcoeff-_xlpm.gam,IFERROR(MATCH(_xlpm.id,{"adp","h","pi"},0),0)&gt;0,_xlpm.oldcoeff+_xlpm.gam,TRUE,_xlpm.oldcoeff))</f>
        <v>-0.66295140709624223</v>
      </c>
      <c r="K6" t="str" cm="1">
        <f t="array" ref="K6">"BIOSYN-"&amp;_xlfn.IFS(IFERROR(MATCH(mets27[[#This Row],[category]],{0,"0",""},0),0)&gt;0,mets27[[#This Row],[name]],TRUE,mets27[[#This Row],[category]]&amp;"-"&amp;mets27[[#This Row],[name]])</f>
        <v>BIOSYN-CARB-13BDglucan_c</v>
      </c>
      <c r="L6" s="149" t="str" cm="1">
        <f t="array" ref="L6">IF(IsElementOfSet_DIY(mets27[[#This Row],[category]],{"ignore","PROT"}),"",_xlfn.LET(_xlpm.mw,mets27[[#This Row],[MW for biomass normalization (g/mol)]],"MET-"&amp;mets27[[#This Row],[name]]&amp;" --&gt; "&amp;IF((mets27[[#This Row],[category]]="DNA")+(mets27[[#This Row],[category]]="RNA"),"MET-ppi_c + ","")&amp;ROUND(ABS(_xlpm.mw/1000),6)&amp;" BIO-"&amp;mets27[[#This Row],[name]]))</f>
        <v>MET-13BDglucan_c --&gt; 0.162141 BIO-13BDglucan_c</v>
      </c>
      <c r="M6" s="149" cm="1">
        <f t="array" ref="M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-0.66705979718266395</v>
      </c>
      <c r="N6" s="149"/>
      <c r="O6" s="162" t="str" cm="1">
        <f t="array" ref="O6:O15">"BIOSYN-"&amp;_xlfn._xlws.SORT(_xlfn.UNIQUE(_xlfn._xlws.FILTER(mets27[category],(mets27[category]&lt;&gt;0)*(mets27[category]&lt;&gt;"GAM")*(mets27[category]&lt;&gt;"ignore"))))</f>
        <v>BIOSYN-CARB</v>
      </c>
      <c r="P6" s="158" t="str">
        <f t="shared" ref="P6:P14" si="1">O6</f>
        <v>BIOSYN-CARB</v>
      </c>
      <c r="Q6" s="158" t="str">
        <f>SUBSTITUTE(LOWER(biomassComponents26[[#This Row],[rxn name]]),"biosyn-","BIO-")</f>
        <v>BIO-carb</v>
      </c>
      <c r="R6" s="160" cm="1">
        <f t="array" ref="R6">SUM(_xlfn._xlws.FILTER(-mets27[MW for biomass normalization (g/mol)]*mets27[normalized coeffs]/1000,mets27[category]=_xlfn.TEXTAFTER(O6,"BIOSYN-"),""))</f>
        <v>0.29844994531556129</v>
      </c>
      <c r="S6" s="160"/>
      <c r="T6" s="160">
        <v>0.30029947573891186</v>
      </c>
      <c r="U6" s="158" t="str" cm="1">
        <f t="array" ref="U6">_xlfn.TEXTJOIN(" + ",TRUE,_xlfn._xlws.FILTER(ROUND(-mets27[MW for biomass normalization (g/mol)]*mets27[normalized coeffs]*(biomassComponents26[[#This Row],[normalized coeffs]]/biomassComponents26[[#This Row],[original coeffs from input]])/(1000*biomassComponents26[[#This Row],[normalized coeffs]]),6)&amp;" BIO-"&amp;mets27[name],mets27[category]=_xlfn.TEXTAFTER(O6,"BIOSYN-"),""))&amp;" --&gt; "&amp;biomassComponents26[[#This Row],[product name]]</f>
        <v>0.360165 BIO-13BDglucan_c + 0.09478 BIO-16BDglucan_en + 0.010671 BIO-chtn_c + 0.123543 BIO-glycogen_c + 0.257886 BIO-mannan_c + 0.152955 BIO-tre_c --&gt; BIO-carb</v>
      </c>
      <c r="V6" s="158" t="str" cm="1">
        <f t="array" ref="V6">IFERROR(_xlfn.TEXTJOIN(" + ",TRUE,_xlfn._xlws.FILTER((-mets27[normalized coeffs]*biomassComponents26[[#This Row],[normalized coeffs]]/biomassComponents26[[#This Row],[original coeffs from input]])&amp;" BIO-"&amp;mets27[name],mets27[category]=_xlfn.TEXTAFTER(P6,"BIOSYN-"),"")),"")</f>
        <v>0.667059797182664 BIO-13BDglucan_c + 0.175541846742192 BIO-16BDglucan_en + 0.0157705460502466 BIO-chtn_c + 0.228812264496074 BIO-glycogen_c + 0.477628098524987 BIO-mannan_c + 0.134188988194594 BIO-tre_c</v>
      </c>
      <c r="Y6" s="152" t="s">
        <v>17</v>
      </c>
      <c r="Z6" t="str">
        <f>SUBSTITUTE(Z7," --&gt; "," + "&amp;K2)</f>
        <v>0.300299475738912 BIO-carb + -0.00352583170694781 BIO-cofactor + 0.00923663807354148 BIO-dna + 0.0776588903670635 BIO-lipid + 0.0247040630446139 BIO-metal + -5.45890474446383E-05 BIO-other + 0.00988162794621808 BIO-pi + 0.468 BIO-varbiom + 0.110876987980811 BIO-rna + 0.0029227376032323 BIO-so4 + 182.07899 MET-atp_c + 182.07899 MET-h2o_c --&gt; 182.07899 MET-adp_c + 182.07899 MET-h_c + 182.07899 MET-pi_c</v>
      </c>
      <c r="AB6" t="str" cm="1">
        <f t="array" ref="AB6:AC70">_xlfn.LET(_xlpm.macros,_xlfn._xlws.FILTER(_xlfn.HSTACK(_xlfn.ANCHORARRAY(O6),biomassComponents26[stoichiometry (if needed)]),biomassComponents26[stoichiometry (if needed)]&lt;&gt;""),_xlfn.VSTACK(_xlfn._xlws.FILTER(ExtraRxns25[[name]:[stoichiometry]],ExtraRxns25[stoichiometry]&lt;&gt;""),_xlpm.macros,_xlfn._xlws.SORT(_xlfn._xlws.FILTER(mets27[[biomass equation name]:[biomass equation]],ISNUMBER(MATCH(mets27[category],_xlfn.TEXTAFTER(biomassComponents26[rxn name],"BIOSYN-"),0))*(mets27[biomass equation]&lt;&gt;"")))))</f>
        <v>BIOSYN-BIODILAERO</v>
      </c>
      <c r="AC6" t="str">
        <v>0.300299475738912 BIO-carb + -0.00352583170694781 BIO-cofactor + 0.00923663807354148 BIO-dna + 0.0776588903670635 BIO-lipid + 0.0247040630446139 BIO-metal + -5.45890474446383E-05 BIO-other + 0.00988162794621808 BIO-pi + 0.468 BIO-varbiom + 0.110876987980811 BIO-rna + 0.0029227376032323 BIO-so4 + 182.07899 MET-atp_c + 182.07899 MET-h2o_c --&gt; 182.07899 MET-adp_c + 182.07899 MET-h_c + 182.07899 MET-pi_c</v>
      </c>
    </row>
    <row r="7" spans="1:33" ht="16" customHeight="1" x14ac:dyDescent="0.2">
      <c r="A7" s="142" t="s">
        <v>1426</v>
      </c>
      <c r="B7" t="str">
        <f>SUBSTITUTE(_xlfn.TEXTBEFORE(mets27[[#This Row],[pasted JSON metabolite keys and values from GSM biomass rxn]],":"),CHAR(34),"")</f>
        <v>16BDglucan_en</v>
      </c>
      <c r="C7" t="str">
        <f>_xlfn.TEXTBEFORE(mets27[[#This Row],[name]],"_",-1)</f>
        <v>16BDglucan</v>
      </c>
      <c r="D7" t="str">
        <f>_xlfn.XLOOKUP(mets27[[#This Row],[name w/o location]],metaboliteInfo[name w/o location],metaboliteInfo[suggested category],"")</f>
        <v>CARB</v>
      </c>
      <c r="E7" s="21">
        <f>_xlfn.XLOOKUP(mets27[[#This Row],[name w/o location]],metaboliteInfo[name w/o location],metaboliteInfo[MW for biomass normalization (g/mol)],0)</f>
        <v>162.14060000000001</v>
      </c>
      <c r="F7" s="21">
        <f>_xlfn.NUMBERVALUE(SUBSTITUTE(_xlfn.TEXTAFTER(mets27[[#This Row],[pasted JSON metabolite keys and values from GSM biomass rxn]],":"),",",""))</f>
        <v>-0.175541846742192</v>
      </c>
      <c r="G7" s="21" cm="1">
        <f t="array" ref="G7">_xlfn.LET(_xlpm.id,mets27[[#This Row],[name w/o location]],IF(IsElementOfSet_DIY(_xlpm.id,{"atp","adp","h","pi","h2o"}),SIGN(mets27[[#This Row],[raw (GSM) coefficient]])*(ABS(mets27[[#This Row],[raw (GSM) coefficient]])-$J$2),mets27[[#This Row],[raw (GSM) coefficient]]))</f>
        <v>-0.175541846742192</v>
      </c>
      <c r="H7" s="161">
        <f>mets27[[#This Row],[coeff. w/o GAM]]</f>
        <v>-0.175541846742192</v>
      </c>
      <c r="I7" s="161">
        <f t="shared" si="0"/>
        <v>-0.1744606927197884</v>
      </c>
      <c r="J7" s="21" cm="1">
        <f t="array" ref="J7">_xlfn.LET(_xlpm.id,mets27[[#This Row],[name w/o location]],_xlpm.oldcoeff,mets27[[#This Row],[normalized coeffs]],_xlpm.gam,$J$2-$G$2,_xlfn.IFS(IFERROR(MATCH(_xlpm.id,{"atp","h2o"},0),0)&gt;0,_xlpm.oldcoeff-_xlpm.gam,IFERROR(MATCH(_xlpm.id,{"adp","h","pi"},0),0)&gt;0,_xlpm.oldcoeff+_xlpm.gam,TRUE,_xlpm.oldcoeff))</f>
        <v>-0.1744606927197884</v>
      </c>
      <c r="K7" t="str" cm="1">
        <f t="array" ref="K7">"BIOSYN-"&amp;_xlfn.IFS(IFERROR(MATCH(mets27[[#This Row],[category]],{0,"0",""},0),0)&gt;0,mets27[[#This Row],[name]],TRUE,mets27[[#This Row],[category]]&amp;"-"&amp;mets27[[#This Row],[name]])</f>
        <v>BIOSYN-CARB-16BDglucan_en</v>
      </c>
      <c r="L7" s="149" t="str" cm="1">
        <f t="array" ref="L7">IF(IsElementOfSet_DIY(mets27[[#This Row],[category]],{"ignore","PROT"}),"",_xlfn.LET(_xlpm.mw,mets27[[#This Row],[MW for biomass normalization (g/mol)]],"MET-"&amp;mets27[[#This Row],[name]]&amp;" --&gt; "&amp;IF((mets27[[#This Row],[category]]="DNA")+(mets27[[#This Row],[category]]="RNA"),"MET-ppi_c + ","")&amp;ROUND(ABS(_xlpm.mw/1000),6)&amp;" BIO-"&amp;mets27[[#This Row],[name]]))</f>
        <v>MET-16BDglucan_en --&gt; 0.162141 BIO-16BDglucan_en</v>
      </c>
      <c r="M7" s="149" cm="1">
        <f t="array" ref="M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-0.175541846742192</v>
      </c>
      <c r="N7" s="149"/>
      <c r="O7" s="162" t="str">
        <v>BIOSYN-COFACTOR</v>
      </c>
      <c r="P7" s="158" t="str">
        <f t="shared" si="1"/>
        <v>BIOSYN-COFACTOR</v>
      </c>
      <c r="Q7" s="158" t="str">
        <f>SUBSTITUTE(LOWER(biomassComponents26[[#This Row],[rxn name]]),"biosyn-","BIO-")</f>
        <v>BIO-cofactor</v>
      </c>
      <c r="R7" s="160" cm="1">
        <f t="array" ref="R7">SUM(_xlfn._xlws.FILTER(-mets27[MW for biomass normalization (g/mol)]*mets27[normalized coeffs]/1000,mets27[category]=_xlfn.TEXTAFTER(O7,"BIOSYN-"),""))</f>
        <v>-3.5041162743997922E-3</v>
      </c>
      <c r="S7" s="160"/>
      <c r="T7" s="160">
        <v>-3.5258317069478116E-3</v>
      </c>
      <c r="U7" s="158" t="s">
        <v>1419</v>
      </c>
      <c r="V7" s="158" t="str" cm="1">
        <f t="array" ref="V7">IFERROR(_xlfn.TEXTJOIN(" + ",TRUE,_xlfn._xlws.FILTER((-mets27[normalized coeffs]*biomassComponents26[[#This Row],[normalized coeffs]]/biomassComponents26[[#This Row],[original coeffs from input]])&amp;" BIO-"&amp;mets27[name],mets27[category]=_xlfn.TEXTAFTER(P7,"BIOSYN-"),"")),"")</f>
        <v>-0.00462183019749875 BIO-coa_c + -0.00292335875869624 BIO-nadp_c + 0.00292335875869624 BIO-nadph_c</v>
      </c>
      <c r="Y7" s="152" t="str">
        <f>Y6&amp;"-NOGAM"</f>
        <v>BIOSYN-BIODILAERO-NOGAM</v>
      </c>
      <c r="Z7" t="str" cm="1">
        <f t="array" ref="Z7">_xlfn.TEXTJOIN(" + ",TRUE,_xlfn._xlws.FILTER(biomassComponents26[normalized coeffs]&amp;" "&amp;biomassComponents26[product name],biomassComponents26[normalized coeffs]&lt;&gt;0))&amp;" --&gt; "</f>
        <v xml:space="preserve">0.300299475738912 BIO-carb + -0.00352583170694781 BIO-cofactor + 0.00923663807354148 BIO-dna + 0.0776588903670635 BIO-lipid + 0.0247040630446139 BIO-metal + -5.45890474446383E-05 BIO-other + 0.00988162794621808 BIO-pi + 0.468 BIO-varbiom + 0.110876987980811 BIO-rna + 0.0029227376032323 BIO-so4 --&gt; </v>
      </c>
      <c r="AB7" t="str">
        <v>BIOSYN-BIODILAERO-NOGAM</v>
      </c>
      <c r="AC7" t="str">
        <v xml:space="preserve">0.300299475738912 BIO-carb + -0.00352583170694781 BIO-cofactor + 0.00923663807354148 BIO-dna + 0.0776588903670635 BIO-lipid + 0.0247040630446139 BIO-metal + -5.45890474446383E-05 BIO-other + 0.00988162794621808 BIO-pi + 0.468 BIO-varbiom + 0.110876987980811 BIO-rna + 0.0029227376032323 BIO-so4 --&gt; </v>
      </c>
    </row>
    <row r="8" spans="1:33" ht="16" customHeight="1" x14ac:dyDescent="0.2">
      <c r="A8" s="142" t="s">
        <v>1427</v>
      </c>
      <c r="B8" t="str">
        <f>SUBSTITUTE(_xlfn.TEXTBEFORE(mets27[[#This Row],[pasted JSON metabolite keys and values from GSM biomass rxn]],":"),CHAR(34),"")</f>
        <v>adp_c</v>
      </c>
      <c r="C8" t="str">
        <f>_xlfn.TEXTBEFORE(mets27[[#This Row],[name]],"_",-1)</f>
        <v>adp</v>
      </c>
      <c r="D8" t="str">
        <f>_xlfn.XLOOKUP(mets27[[#This Row],[name w/o location]],metaboliteInfo[name w/o location],metaboliteInfo[suggested category],"")</f>
        <v>GAM</v>
      </c>
      <c r="E8" s="21">
        <f>_xlfn.XLOOKUP(mets27[[#This Row],[name w/o location]],metaboliteInfo[name w/o location],metaboliteInfo[MW for biomass normalization (g/mol)],0)</f>
        <v>424.177302</v>
      </c>
      <c r="F8" s="21">
        <f>_xlfn.NUMBERVALUE(SUBSTITUTE(_xlfn.TEXTAFTER(mets27[[#This Row],[pasted JSON metabolite keys and values from GSM biomass rxn]],":"),",",""))</f>
        <v>190.57899</v>
      </c>
      <c r="G8" s="21" cm="1">
        <f t="array" ref="G8">_xlfn.LET(_xlpm.id,mets27[[#This Row],[name w/o location]],IF(IsElementOfSet_DIY(_xlpm.id,{"atp","adp","h","pi","h2o"}),SIGN(mets27[[#This Row],[raw (GSM) coefficient]])*(ABS(mets27[[#This Row],[raw (GSM) coefficient]])-$J$2),mets27[[#This Row],[raw (GSM) coefficient]]))</f>
        <v>0</v>
      </c>
      <c r="H8" s="21">
        <f>mets27[[#This Row],[coeff. w/o GAM]]</f>
        <v>0</v>
      </c>
      <c r="I8" s="161">
        <f t="shared" si="0"/>
        <v>0</v>
      </c>
      <c r="J8" s="21" cm="1">
        <f t="array" ref="J8">_xlfn.LET(_xlpm.id,mets27[[#This Row],[name w/o location]],_xlpm.oldcoeff,mets27[[#This Row],[normalized coeffs]],_xlpm.gam,$J$2-$G$2,_xlfn.IFS(IFERROR(MATCH(_xlpm.id,{"atp","h2o"},0),0)&gt;0,_xlpm.oldcoeff-_xlpm.gam,IFERROR(MATCH(_xlpm.id,{"adp","h","pi"},0),0)&gt;0,_xlpm.oldcoeff+_xlpm.gam,TRUE,_xlpm.oldcoeff))</f>
        <v>182.07899</v>
      </c>
      <c r="K8" t="str" cm="1">
        <f t="array" ref="K8">"BIOSYN-"&amp;_xlfn.IFS(IFERROR(MATCH(mets27[[#This Row],[category]],{0,"0",""},0),0)&gt;0,mets27[[#This Row],[name]],TRUE,mets27[[#This Row],[category]]&amp;"-"&amp;mets27[[#This Row],[name]])</f>
        <v>BIOSYN-GAM-adp_c</v>
      </c>
      <c r="L8" s="149" t="str" cm="1">
        <f t="array" ref="L8">IF(IsElementOfSet_DIY(mets27[[#This Row],[category]],{"ignore","PROT"}),"",_xlfn.LET(_xlpm.mw,mets27[[#This Row],[MW for biomass normalization (g/mol)]],"MET-"&amp;mets27[[#This Row],[name]]&amp;" --&gt; "&amp;IF((mets27[[#This Row],[category]]="DNA")+(mets27[[#This Row],[category]]="RNA"),"MET-ppi_c + ","")&amp;ROUND(ABS(_xlpm.mw/1000),6)&amp;" BIO-"&amp;mets27[[#This Row],[name]]))</f>
        <v>MET-adp_c --&gt; 0.424177 BIO-adp_c</v>
      </c>
      <c r="M8" s="149" cm="1">
        <f t="array" ref="M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190.57899</v>
      </c>
      <c r="N8" s="149"/>
      <c r="O8" s="162" t="str">
        <v>BIOSYN-DNA</v>
      </c>
      <c r="P8" s="158" t="str">
        <f t="shared" si="1"/>
        <v>BIOSYN-DNA</v>
      </c>
      <c r="Q8" s="158" t="str">
        <f>SUBSTITUTE(LOWER(biomassComponents26[[#This Row],[rxn name]]),"biosyn-","BIO-")</f>
        <v>BIO-dna</v>
      </c>
      <c r="R8" s="160" cm="1">
        <f t="array" ref="R8">SUM(_xlfn._xlws.FILTER(-mets27[MW for biomass normalization (g/mol)]*mets27[normalized coeffs]/1000,mets27[category]=_xlfn.TEXTAFTER(O8,"BIOSYN-"),""))</f>
        <v>9.1797500517277301E-3</v>
      </c>
      <c r="S8" s="160"/>
      <c r="T8" s="160">
        <v>9.2366380735414838E-3</v>
      </c>
      <c r="U8" s="158" t="str" cm="1">
        <f t="array" ref="U8">_xlfn.TEXTJOIN(" + ",TRUE,_xlfn._xlws.FILTER(ROUND(-mets27[MW for biomass normalization (g/mol)]*mets27[normalized coeffs]*(biomassComponents26[[#This Row],[normalized coeffs]]/biomassComponents26[[#This Row],[original coeffs from input]])/(1000*biomassComponents26[[#This Row],[normalized coeffs]]),6)&amp;" BIO-"&amp;mets27[name],mets27[category]=_xlfn.TEXTAFTER(O8,"BIOSYN-"),""))&amp;" --&gt; "&amp;biomassComponents26[[#This Row],[product name]]</f>
        <v>0.197916 BIO-datp_c + 0.28514 BIO-dctp_c + 0.324743 BIO-dgtp_c + 0.192202 BIO-dttp_c --&gt; BIO-dna</v>
      </c>
      <c r="V8" s="158" t="str" cm="1">
        <f t="array" ref="V8">IFERROR(_xlfn.TEXTJOIN(" + ",TRUE,_xlfn._xlws.FILTER((-mets27[normalized coeffs]*biomassComponents26[[#This Row],[normalized coeffs]]/biomassComponents26[[#This Row],[original coeffs from input]])&amp;" BIO-"&amp;mets27[name],mets27[category]=_xlfn.TEXTAFTER(P8,"BIOSYN-"),"")),"")</f>
        <v>0.00585548759366856 BIO-datp_c + 0.009139393932604 BIO-dctp_c + 0.009139393932604 BIO-dgtp_c + 0.00585548759366856 BIO-dttp_c</v>
      </c>
      <c r="X8" s="153" t="s">
        <v>757</v>
      </c>
      <c r="Y8" t="s">
        <v>49</v>
      </c>
      <c r="Z8" t="s">
        <v>747</v>
      </c>
      <c r="AB8" t="str">
        <v>BIOSYN-PROTTOBIO</v>
      </c>
      <c r="AC8" t="str">
        <v>BIO-prot --&gt; BIO-varbiom</v>
      </c>
    </row>
    <row r="9" spans="1:33" ht="16" x14ac:dyDescent="0.2">
      <c r="A9" s="144" t="s">
        <v>1474</v>
      </c>
      <c r="B9" t="str">
        <f>SUBSTITUTE(_xlfn.TEXTBEFORE(mets27[[#This Row],[pasted JSON metabolite keys and values from GSM biomass rxn]],":"),CHAR(34),"")</f>
        <v>alatrna_c</v>
      </c>
      <c r="C9" t="str">
        <f>_xlfn.TEXTBEFORE(mets27[[#This Row],[name]],"_",-1)</f>
        <v>alatrna</v>
      </c>
      <c r="D9" t="str">
        <f>_xlfn.XLOOKUP(mets27[[#This Row],[name w/o location]],metaboliteInfo[name w/o location],metaboliteInfo[suggested category],"")</f>
        <v>PROT</v>
      </c>
      <c r="E9" s="21">
        <f>_xlfn.XLOOKUP(mets27[[#This Row],[name w/o location]],metaboliteInfo[name w/o location],metaboliteInfo[MW for biomass normalization (g/mol)],0)</f>
        <v>72.085840000000005</v>
      </c>
      <c r="F9" s="21">
        <f>_xlfn.NUMBERVALUE(SUBSTITUTE(_xlfn.TEXTAFTER(mets27[[#This Row],[pasted JSON metabolite keys and values from GSM biomass rxn]],":"),",",""))</f>
        <v>-0.43263799127717001</v>
      </c>
      <c r="G9" s="21" cm="1">
        <f t="array" ref="G9">_xlfn.LET(_xlpm.id,mets27[[#This Row],[name w/o location]],IF(IsElementOfSet_DIY(_xlpm.id,{"atp","adp","h","pi","h2o"}),SIGN(mets27[[#This Row],[raw (GSM) coefficient]])*(ABS(mets27[[#This Row],[raw (GSM) coefficient]])-$J$2),mets27[[#This Row],[raw (GSM) coefficient]]))</f>
        <v>-0.43263799127717001</v>
      </c>
      <c r="H9" s="21">
        <f>mets27[[#This Row],[coeff. w/o GAM]]</f>
        <v>-0.43263799127717001</v>
      </c>
      <c r="I9" s="161">
        <f t="shared" ref="I9:I40" si="2">H9/($H$3)</f>
        <v>-0.42997339412728991</v>
      </c>
      <c r="J9" s="21" cm="1">
        <f t="array" ref="J9">_xlfn.LET(_xlpm.id,mets27[[#This Row],[name w/o location]],_xlpm.oldcoeff,mets27[[#This Row],[normalized coeffs]],_xlpm.gam,$J$2-$G$2,_xlfn.IFS(IFERROR(MATCH(_xlpm.id,{"atp","h2o"},0),0)&gt;0,_xlpm.oldcoeff-_xlpm.gam,IFERROR(MATCH(_xlpm.id,{"adp","h","pi"},0),0)&gt;0,_xlpm.oldcoeff+_xlpm.gam,TRUE,_xlpm.oldcoeff))</f>
        <v>-0.42997339412728991</v>
      </c>
      <c r="K9" t="str" cm="1">
        <f t="array" ref="K9">"BIOSYN-"&amp;_xlfn.IFS(IFERROR(MATCH(mets27[[#This Row],[category]],{0,"0",""},0),0)&gt;0,mets27[[#This Row],[name]],TRUE,mets27[[#This Row],[category]]&amp;"-"&amp;mets27[[#This Row],[name]])</f>
        <v>BIOSYN-PROT-alatrna_c</v>
      </c>
      <c r="L9" s="149" t="str" cm="1">
        <f t="array" ref="L9">IF(IsElementOfSet_DIY(mets27[[#This Row],[category]],{"ignore","PROT"}),"",_xlfn.LET(_xlpm.mw,mets27[[#This Row],[MW for biomass normalization (g/mol)]],"MET-"&amp;mets27[[#This Row],[name]]&amp;" --&gt; "&amp;IF((mets27[[#This Row],[category]]="DNA")+(mets27[[#This Row],[category]]="RNA"),"MET-ppi_c + ","")&amp;ROUND(ABS(_xlpm.mw/1000),6)&amp;" BIO-"&amp;mets27[[#This Row],[name]]))</f>
        <v/>
      </c>
      <c r="M9" s="149" cm="1">
        <f t="array" ref="M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-0.43282275712913248</v>
      </c>
      <c r="N9" s="149"/>
      <c r="O9" s="162" t="str">
        <v>BIOSYN-LIPID</v>
      </c>
      <c r="P9" s="158" t="str">
        <f t="shared" si="1"/>
        <v>BIOSYN-LIPID</v>
      </c>
      <c r="Q9" s="158" t="str">
        <f>SUBSTITUTE(LOWER(biomassComponents26[[#This Row],[rxn name]]),"biosyn-","BIO-")</f>
        <v>BIO-lipid</v>
      </c>
      <c r="R9" s="160" cm="1">
        <f t="array" ref="R9">SUM(_xlfn._xlws.FILTER(-mets27[MW for biomass normalization (g/mol)]*mets27[normalized coeffs]/1000,mets27[category]=_xlfn.TEXTAFTER(O9,"BIOSYN-"),""))</f>
        <v>7.7180592894102187E-2</v>
      </c>
      <c r="S9" s="160"/>
      <c r="T9" s="160">
        <v>7.7658890367063499E-2</v>
      </c>
      <c r="U9" s="158" t="str" cm="1">
        <f t="array" ref="U9">_xlfn.LET(_xlpm.coeffs,ROUND(-mets27[MW for biomass normalization (g/mol)]*mets27[normalized coeffs]*(biomassComponents26[[#This Row],[normalized coeffs]]/biomassComponents26[[#This Row],[original coeffs from input]])/(1000*biomassComponents26[[#This Row],[normalized coeffs]]),6),_xlfn.TEXTJOIN(" + ",TRUE,_xlfn._xlws.FILTER(_xlpm.coeffs&amp;IF(_xlpm.coeffs&lt;0," MET-"," BIO-")&amp;mets27[name],mets27[category]=_xlfn.TEXTAFTER(O9,"BIOSYN-"),""))&amp;" --&gt; "&amp;biomassComponents26[[#This Row],[product name]])</f>
        <v>-0.007957 MET-dag_c + 0.00019 BIO-docoscoa_c + 0.213353 BIO-ergst_c + 0.088078 BIO-ergstest_c + 0.014332 BIO-hxccoa_c + 0.003402 BIO-linocoa_c + 0.000836 BIO-linolncoa_c + 0.001985 BIO-odecoa_c + 0.105347 BIO-pail_c + 0.283936 BIO-pc_c + 0.072079 BIO-pe_c + 0.026726 BIO-pmtcoa_c + 0.065524 BIO-ps_c + 0.001083 BIO-stcoa_c + 0.116602 BIO-tag_c + 0.014485 BIO-ttccoa_c --&gt; BIO-lipid</v>
      </c>
      <c r="V9" s="158" t="str" cm="1">
        <f t="array" ref="V9">IFERROR(_xlfn.TEXTJOIN(" + ",TRUE,_xlfn._xlws.FILTER((-mets27[normalized coeffs]*biomassComponents26[[#This Row],[normalized coeffs]]/biomassComponents26[[#This Row],[original coeffs from input]])&amp;" BIO-"&amp;mets27[name],mets27[category]=_xlfn.TEXTAFTER(P9,"BIOSYN-"),"")),"")</f>
        <v>-0.00194890583913082 BIO-dag_c + 1.35753472356956E-05 BIO-docoscoa_c + 0.0417718733030105 BIO-ergst_c + 0.0103623323466586 BIO-ergstest_c + 0.000974452919565412 BIO-hxccoa_c + 0.000257507322625944 BIO-linocoa_c + 6.34327105074009E-05 BIO-linolncoa_c + 0.000149965231871062 BIO-odecoa_c + 0.00948922253072798 BIO-pail_c + 0.0280476783838513 BIO-pc_c + 0.00752277653904498 BIO-pe_c + 0.00207155457628959 BIO-pmtcoa_c + 0.00647329074467303 BIO-ps_c + 8.16736330810605E-05 BIO-stcoa_c + 0.0102259089379194 BIO-tag_c + 0.00100966845632259 BIO-ttccoa_c</v>
      </c>
      <c r="X9" s="153"/>
      <c r="AB9" t="str">
        <v>BIOSYN-PROTMODELED</v>
      </c>
      <c r="AC9" t="str">
        <v>BIO-protmodeled --&gt; BIO-prot</v>
      </c>
    </row>
    <row r="10" spans="1:33" ht="16" x14ac:dyDescent="0.2">
      <c r="A10" s="144" t="s">
        <v>1475</v>
      </c>
      <c r="B10" t="str">
        <f>SUBSTITUTE(_xlfn.TEXTBEFORE(mets27[[#This Row],[pasted JSON metabolite keys and values from GSM biomass rxn]],":"),CHAR(34),"")</f>
        <v>argtrna_c</v>
      </c>
      <c r="C10" t="str">
        <f>_xlfn.TEXTBEFORE(mets27[[#This Row],[name]],"_",-1)</f>
        <v>argtrna</v>
      </c>
      <c r="D10" t="str">
        <f>_xlfn.XLOOKUP(mets27[[#This Row],[name w/o location]],metaboliteInfo[name w/o location],metaboliteInfo[suggested category],"")</f>
        <v>PROT</v>
      </c>
      <c r="E10" s="21">
        <f>_xlfn.XLOOKUP(mets27[[#This Row],[name w/o location]],metaboliteInfo[name w/o location],metaboliteInfo[MW for biomass normalization (g/mol)],0)</f>
        <v>158.20156</v>
      </c>
      <c r="F10" s="21">
        <f>_xlfn.NUMBERVALUE(SUBSTITUTE(_xlfn.TEXTAFTER(mets27[[#This Row],[pasted JSON metabolite keys and values from GSM biomass rxn]],":"),",",""))</f>
        <v>-0.24203937649596</v>
      </c>
      <c r="G10" s="21" cm="1">
        <f t="array" ref="G10">_xlfn.LET(_xlpm.id,mets27[[#This Row],[name w/o location]],IF(IsElementOfSet_DIY(_xlpm.id,{"atp","adp","h","pi","h2o"}),SIGN(mets27[[#This Row],[raw (GSM) coefficient]])*(ABS(mets27[[#This Row],[raw (GSM) coefficient]])-$J$2),mets27[[#This Row],[raw (GSM) coefficient]]))</f>
        <v>-0.24203937649596</v>
      </c>
      <c r="H10" s="21">
        <f>mets27[[#This Row],[coeff. w/o GAM]]</f>
        <v>-0.24203937649596</v>
      </c>
      <c r="I10" s="161">
        <f t="shared" si="2"/>
        <v>-0.24054866729849447</v>
      </c>
      <c r="J10" s="21" cm="1">
        <f t="array" ref="J10">_xlfn.LET(_xlpm.id,mets27[[#This Row],[name w/o location]],_xlpm.oldcoeff,mets27[[#This Row],[normalized coeffs]],_xlpm.gam,$J$2-$G$2,_xlfn.IFS(IFERROR(MATCH(_xlpm.id,{"atp","h2o"},0),0)&gt;0,_xlpm.oldcoeff-_xlpm.gam,IFERROR(MATCH(_xlpm.id,{"adp","h","pi"},0),0)&gt;0,_xlpm.oldcoeff+_xlpm.gam,TRUE,_xlpm.oldcoeff))</f>
        <v>-0.24054866729849447</v>
      </c>
      <c r="K10" t="str" cm="1">
        <f t="array" ref="K10">"BIOSYN-"&amp;_xlfn.IFS(IFERROR(MATCH(mets27[[#This Row],[category]],{0,"0",""},0),0)&gt;0,mets27[[#This Row],[name]],TRUE,mets27[[#This Row],[category]]&amp;"-"&amp;mets27[[#This Row],[name]])</f>
        <v>BIOSYN-PROT-argtrna_c</v>
      </c>
      <c r="L10" s="149" t="str" cm="1">
        <f t="array" ref="L10">IF(IsElementOfSet_DIY(mets27[[#This Row],[category]],{"ignore","PROT"}),"",_xlfn.LET(_xlpm.mw,mets27[[#This Row],[MW for biomass normalization (g/mol)]],"MET-"&amp;mets27[[#This Row],[name]]&amp;" --&gt; "&amp;IF((mets27[[#This Row],[category]]="DNA")+(mets27[[#This Row],[category]]="RNA"),"MET-ppi_c + ","")&amp;ROUND(ABS(_xlpm.mw/1000),6)&amp;" BIO-"&amp;mets27[[#This Row],[name]]))</f>
        <v/>
      </c>
      <c r="M10" s="149" cm="1">
        <f t="array" ref="M1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-0.24214274377416581</v>
      </c>
      <c r="N10" s="149"/>
      <c r="O10" s="162" t="str">
        <v>BIOSYN-METAL</v>
      </c>
      <c r="P10" s="158" t="str">
        <f t="shared" si="1"/>
        <v>BIOSYN-METAL</v>
      </c>
      <c r="Q10" s="158" t="str">
        <f>SUBSTITUTE(LOWER(biomassComponents26[[#This Row],[rxn name]]),"biosyn-","BIO-")</f>
        <v>BIO-metal</v>
      </c>
      <c r="R10" s="160" cm="1">
        <f t="array" ref="R10">SUM(_xlfn._xlws.FILTER(-mets27[MW for biomass normalization (g/mol)]*mets27[normalized coeffs]/1000,mets27[category]=_xlfn.TEXTAFTER(O10,"BIOSYN-"),""))</f>
        <v>2.4551911875954801E-2</v>
      </c>
      <c r="S10" s="160"/>
      <c r="T10" s="160">
        <v>2.470406304461388E-2</v>
      </c>
      <c r="U10" s="158" t="str" cm="1">
        <f t="array" ref="U10">_xlfn.TEXTJOIN(" + ",TRUE,_xlfn._xlws.FILTER(ROUND(-mets27[MW for biomass normalization (g/mol)]*mets27[normalized coeffs]*(biomassComponents26[[#This Row],[normalized coeffs]]/biomassComponents26[[#This Row],[original coeffs from input]])/(1000*biomassComponents26[[#This Row],[normalized coeffs]]),6)&amp;" BIO-"&amp;mets27[name],mets27[category]=_xlfn.TEXTAFTER(O10,"BIOSYN-"),""))&amp;" --&gt; "&amp;biomassComponents26[[#This Row],[product name]]</f>
        <v>0.002033 BIO-ca2_c + 0.000286 BIO-cu2_c + 0.001463 BIO-fe2_c + 0.93097 BIO-k_c + 0.060981 BIO-mg2_c + 0.000204 BIO-mn2_c + 0.004064 BIO-zn2_c --&gt; BIO-metal</v>
      </c>
      <c r="V10" s="158" t="str" cm="1">
        <f t="array" ref="V10">IFERROR(_xlfn.TEXTJOIN(" + ",TRUE,_xlfn._xlws.FILTER((-mets27[normalized coeffs]*biomassComponents26[[#This Row],[normalized coeffs]]/biomassComponents26[[#This Row],[original coeffs from input]])&amp;" BIO-"&amp;mets27[name],mets27[category]=_xlfn.TEXTAFTER(P10,"BIOSYN-"),"")),"")</f>
        <v>0.00125314645456112 BIO-ca2_c + 0.000111087632830457 BIO-cu2_c + 0.000647036738591434 BIO-fe2_c + 0.588228504895661 BIO-k_c + 0.0619820268547972 BIO-mg2_c + 9.15985744391488E-05 BIO-mn2_c + 0.00153573780123509 BIO-zn2_c</v>
      </c>
      <c r="X10" s="153"/>
      <c r="AB10" t="str">
        <v>BIOSYN-PROTDUMMY</v>
      </c>
      <c r="AC10" t="str">
        <v>BIO-protdummy --&gt; BIO-prot</v>
      </c>
    </row>
    <row r="11" spans="1:33" ht="16" x14ac:dyDescent="0.2">
      <c r="A11" s="144" t="s">
        <v>1476</v>
      </c>
      <c r="B11" t="str">
        <f>SUBSTITUTE(_xlfn.TEXTBEFORE(mets27[[#This Row],[pasted JSON metabolite keys and values from GSM biomass rxn]],":"),CHAR(34),"")</f>
        <v>asntrna_c</v>
      </c>
      <c r="C11" t="str">
        <f>_xlfn.TEXTBEFORE(mets27[[#This Row],[name]],"_",-1)</f>
        <v>asntrna</v>
      </c>
      <c r="D11" t="str">
        <f>_xlfn.XLOOKUP(mets27[[#This Row],[name w/o location]],metaboliteInfo[name w/o location],metaboliteInfo[suggested category],"")</f>
        <v>PROT</v>
      </c>
      <c r="E11" s="21">
        <f>_xlfn.XLOOKUP(mets27[[#This Row],[name w/o location]],metaboliteInfo[name w/o location],metaboliteInfo[MW for biomass normalization (g/mol)],0)</f>
        <v>115.11058</v>
      </c>
      <c r="F11" s="21">
        <f>_xlfn.NUMBERVALUE(SUBSTITUTE(_xlfn.TEXTAFTER(mets27[[#This Row],[pasted JSON metabolite keys and values from GSM biomass rxn]],":"),",",""))</f>
        <v>-0.13595153974285601</v>
      </c>
      <c r="G11" s="21" cm="1">
        <f t="array" ref="G11">_xlfn.LET(_xlpm.id,mets27[[#This Row],[name w/o location]],IF(IsElementOfSet_DIY(_xlpm.id,{"atp","adp","h","pi","h2o"}),SIGN(mets27[[#This Row],[raw (GSM) coefficient]])*(ABS(mets27[[#This Row],[raw (GSM) coefficient]])-$J$2),mets27[[#This Row],[raw (GSM) coefficient]]))</f>
        <v>-0.13595153974285601</v>
      </c>
      <c r="H11" s="21">
        <f>mets27[[#This Row],[coeff. w/o GAM]]</f>
        <v>-0.13595153974285601</v>
      </c>
      <c r="I11" s="161">
        <f t="shared" si="2"/>
        <v>-0.1351142205692642</v>
      </c>
      <c r="J11" s="21" cm="1">
        <f t="array" ref="J11">_xlfn.LET(_xlpm.id,mets27[[#This Row],[name w/o location]],_xlpm.oldcoeff,mets27[[#This Row],[normalized coeffs]],_xlpm.gam,$J$2-$G$2,_xlfn.IFS(IFERROR(MATCH(_xlpm.id,{"atp","h2o"},0),0)&gt;0,_xlpm.oldcoeff-_xlpm.gam,IFERROR(MATCH(_xlpm.id,{"adp","h","pi"},0),0)&gt;0,_xlpm.oldcoeff+_xlpm.gam,TRUE,_xlpm.oldcoeff))</f>
        <v>-0.1351142205692642</v>
      </c>
      <c r="K11" t="str" cm="1">
        <f t="array" ref="K11">"BIOSYN-"&amp;_xlfn.IFS(IFERROR(MATCH(mets27[[#This Row],[category]],{0,"0",""},0),0)&gt;0,mets27[[#This Row],[name]],TRUE,mets27[[#This Row],[category]]&amp;"-"&amp;mets27[[#This Row],[name]])</f>
        <v>BIOSYN-PROT-asntrna_c</v>
      </c>
      <c r="L11" s="149" t="str" cm="1">
        <f t="array" ref="L11">IF(IsElementOfSet_DIY(mets27[[#This Row],[category]],{"ignore","PROT"}),"",_xlfn.LET(_xlpm.mw,mets27[[#This Row],[MW for biomass normalization (g/mol)]],"MET-"&amp;mets27[[#This Row],[name]]&amp;" --&gt; "&amp;IF((mets27[[#This Row],[category]]="DNA")+(mets27[[#This Row],[category]]="RNA"),"MET-ppi_c + ","")&amp;ROUND(ABS(_xlpm.mw/1000),6)&amp;" BIO-"&amp;mets27[[#This Row],[name]]))</f>
        <v/>
      </c>
      <c r="M11" s="149" cm="1">
        <f t="array" ref="M1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-0.13600960029826875</v>
      </c>
      <c r="N11" s="149"/>
      <c r="O11" s="162" t="str">
        <v>BIOSYN-other</v>
      </c>
      <c r="P11" s="158" t="str">
        <f t="shared" si="1"/>
        <v>BIOSYN-other</v>
      </c>
      <c r="Q11" s="158" t="str">
        <f>SUBSTITUTE(LOWER(biomassComponents26[[#This Row],[rxn name]]),"biosyn-","BIO-")</f>
        <v>BIO-other</v>
      </c>
      <c r="R11" s="160" cm="1">
        <f t="array" ref="R11">SUM(_xlfn._xlws.FILTER(-mets27[MW for biomass normalization (g/mol)]*mets27[normalized coeffs]/1000,mets27[category]=_xlfn.TEXTAFTER(O11,"BIOSYN-"),""))</f>
        <v>-5.4252836055050591E-5</v>
      </c>
      <c r="S11" s="160"/>
      <c r="T11" s="160">
        <v>-5.4589047444638315E-5</v>
      </c>
      <c r="U11" s="158" t="s">
        <v>1422</v>
      </c>
      <c r="V11" s="158" t="str" cm="1">
        <f t="array" ref="V11">IFERROR(_xlfn.TEXTJOIN(" + ",TRUE,_xlfn._xlws.FILTER((-mets27[normalized coeffs]*biomassComponents26[[#This Row],[normalized coeffs]]/biomassComponents26[[#This Row],[original coeffs from input]])&amp;" BIO-"&amp;mets27[name],mets27[category]=_xlfn.TEXTAFTER(P11,"BIOSYN-"),"")),"")</f>
        <v>-0.00194890583913083 BIO-co2_c + 0.000974452919565416 BIO-o2_c</v>
      </c>
      <c r="X11" s="154" t="s">
        <v>52</v>
      </c>
      <c r="Y11" s="152" t="s">
        <v>53</v>
      </c>
      <c r="Z11" s="152" t="s">
        <v>54</v>
      </c>
      <c r="AB11" t="str">
        <v>BIOSYN-PROTCYT</v>
      </c>
      <c r="AC11" t="str">
        <v>BIO-protcyt --&gt; BIO-protmodeled</v>
      </c>
    </row>
    <row r="12" spans="1:33" ht="16" x14ac:dyDescent="0.2">
      <c r="A12" s="144" t="s">
        <v>1477</v>
      </c>
      <c r="B12" t="str">
        <f>SUBSTITUTE(_xlfn.TEXTBEFORE(mets27[[#This Row],[pasted JSON metabolite keys and values from GSM biomass rxn]],":"),CHAR(34),"")</f>
        <v>asptrna_c</v>
      </c>
      <c r="C12" t="str">
        <f>_xlfn.TEXTBEFORE(mets27[[#This Row],[name]],"_",-1)</f>
        <v>asptrna</v>
      </c>
      <c r="D12" t="str">
        <f>_xlfn.XLOOKUP(mets27[[#This Row],[name w/o location]],metaboliteInfo[name w/o location],metaboliteInfo[suggested category],"")</f>
        <v>PROT</v>
      </c>
      <c r="E12" s="21">
        <f>_xlfn.XLOOKUP(mets27[[#This Row],[name w/o location]],metaboliteInfo[name w/o location],metaboliteInfo[MW for biomass normalization (g/mol)],0)</f>
        <v>115.0874</v>
      </c>
      <c r="F12" s="21">
        <f>_xlfn.NUMBERVALUE(SUBSTITUTE(_xlfn.TEXTAFTER(mets27[[#This Row],[pasted JSON metabolite keys and values from GSM biomass rxn]],":"),",",""))</f>
        <v>-0.229597175295471</v>
      </c>
      <c r="G12" s="21" cm="1">
        <f t="array" ref="G12">_xlfn.LET(_xlpm.id,mets27[[#This Row],[name w/o location]],IF(IsElementOfSet_DIY(_xlpm.id,{"atp","adp","h","pi","h2o"}),SIGN(mets27[[#This Row],[raw (GSM) coefficient]])*(ABS(mets27[[#This Row],[raw (GSM) coefficient]])-$J$2),mets27[[#This Row],[raw (GSM) coefficient]]))</f>
        <v>-0.229597175295471</v>
      </c>
      <c r="H12" s="21">
        <f>mets27[[#This Row],[coeff. w/o GAM]]</f>
        <v>-0.229597175295471</v>
      </c>
      <c r="I12" s="161">
        <f t="shared" si="2"/>
        <v>-0.22818309703316486</v>
      </c>
      <c r="J12" s="21" cm="1">
        <f t="array" ref="J12">_xlfn.LET(_xlpm.id,mets27[[#This Row],[name w/o location]],_xlpm.oldcoeff,mets27[[#This Row],[normalized coeffs]],_xlpm.gam,$J$2-$G$2,_xlfn.IFS(IFERROR(MATCH(_xlpm.id,{"atp","h2o"},0),0)&gt;0,_xlpm.oldcoeff-_xlpm.gam,IFERROR(MATCH(_xlpm.id,{"adp","h","pi"},0),0)&gt;0,_xlpm.oldcoeff+_xlpm.gam,TRUE,_xlpm.oldcoeff))</f>
        <v>-0.22818309703316486</v>
      </c>
      <c r="K12" t="str" cm="1">
        <f t="array" ref="K12">"BIOSYN-"&amp;_xlfn.IFS(IFERROR(MATCH(mets27[[#This Row],[category]],{0,"0",""},0),0)&gt;0,mets27[[#This Row],[name]],TRUE,mets27[[#This Row],[category]]&amp;"-"&amp;mets27[[#This Row],[name]])</f>
        <v>BIOSYN-PROT-asptrna_c</v>
      </c>
      <c r="L12" s="149" t="str" cm="1">
        <f t="array" ref="L12">IF(IsElementOfSet_DIY(mets27[[#This Row],[category]],{"ignore","PROT"}),"",_xlfn.LET(_xlpm.mw,mets27[[#This Row],[MW for biomass normalization (g/mol)]],"MET-"&amp;mets27[[#This Row],[name]]&amp;" --&gt; "&amp;IF((mets27[[#This Row],[category]]="DNA")+(mets27[[#This Row],[category]]="RNA"),"MET-ppi_c + ","")&amp;ROUND(ABS(_xlpm.mw/1000),6)&amp;" BIO-"&amp;mets27[[#This Row],[name]]))</f>
        <v/>
      </c>
      <c r="M12" s="149" cm="1">
        <f t="array" ref="M1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-0.22969522890739819</v>
      </c>
      <c r="N12" s="149"/>
      <c r="O12" s="162" t="str">
        <v>BIOSYN-PI</v>
      </c>
      <c r="P12" s="158" t="str">
        <f t="shared" si="1"/>
        <v>BIOSYN-PI</v>
      </c>
      <c r="Q12" s="158" t="str">
        <f>SUBSTITUTE(LOWER(biomassComponents26[[#This Row],[rxn name]]),"biosyn-","BIO-")</f>
        <v>BIO-pi</v>
      </c>
      <c r="R12" s="160" cm="1">
        <f t="array" ref="R12">SUM(_xlfn._xlws.FILTER(-mets27[MW for biomass normalization (g/mol)]*mets27[normalized coeffs]/1000,mets27[category]=_xlfn.TEXTAFTER(O12,"BIOSYN-"),""))</f>
        <v>9.8207674619796761E-3</v>
      </c>
      <c r="S12" s="160"/>
      <c r="T12" s="160">
        <v>9.8816279462180766E-3</v>
      </c>
      <c r="U12" s="158" t="str" cm="1">
        <f t="array" ref="U12">_xlfn.TEXTJOIN(" + ",TRUE,_xlfn._xlws.FILTER(ROUND(-mets27[MW for biomass normalization (g/mol)]*mets27[normalized coeffs]*(biomassComponents26[[#This Row],[normalized coeffs]]/biomassComponents26[[#This Row],[original coeffs from input]])/(1000*biomassComponents26[[#This Row],[normalized coeffs]]),6)&amp;" BIO-"&amp;mets27[name],mets27[category]=_xlfn.TEXTAFTER(O12,"BIOSYN-"),""))&amp;" --&gt; "&amp;biomassComponents26[[#This Row],[product name]]</f>
        <v>1 BIO-pi_c --&gt; BIO-pi</v>
      </c>
      <c r="V12" s="158" t="str" cm="1">
        <f t="array" ref="V12">IFERROR(_xlfn.TEXTJOIN(" + ",TRUE,_xlfn._xlws.FILTER((-mets27[normalized coeffs]*biomassComponents26[[#This Row],[normalized coeffs]]/biomassComponents26[[#This Row],[original coeffs from input]])&amp;" BIO-"&amp;mets27[name],mets27[category]=_xlfn.TEXTAFTER(P12,"BIOSYN-"),"")),"")</f>
        <v>0.102955823216696 BIO-pi_c</v>
      </c>
      <c r="X12" s="154" t="s">
        <v>52</v>
      </c>
      <c r="Y12" s="152" t="s">
        <v>55</v>
      </c>
      <c r="Z12" s="152" t="s">
        <v>56</v>
      </c>
      <c r="AB12" t="str">
        <v>BIOSYN-PROTMITO</v>
      </c>
      <c r="AC12" t="str">
        <v>BIO-protmito --&gt; BIO-protmodeled</v>
      </c>
    </row>
    <row r="13" spans="1:33" ht="16" customHeight="1" x14ac:dyDescent="0.2">
      <c r="A13" s="142" t="s">
        <v>1428</v>
      </c>
      <c r="B13" t="str">
        <f>SUBSTITUTE(_xlfn.TEXTBEFORE(mets27[[#This Row],[pasted JSON metabolite keys and values from GSM biomass rxn]],":"),CHAR(34),"")</f>
        <v>atp_c</v>
      </c>
      <c r="C13" t="str">
        <f>_xlfn.TEXTBEFORE(mets27[[#This Row],[name]],"_",-1)</f>
        <v>atp</v>
      </c>
      <c r="D13" t="str">
        <f>_xlfn.XLOOKUP(mets27[[#This Row],[name w/o location]],metaboliteInfo[name w/o location],metaboliteInfo[suggested category],"")</f>
        <v>RNA</v>
      </c>
      <c r="E13" s="21">
        <f>_xlfn.XLOOKUP(mets27[[#This Row],[name w/o location]],metaboliteInfo[name w/o location],metaboliteInfo[MW for biomass normalization (g/mol)],0)</f>
        <v>328.19800099999998</v>
      </c>
      <c r="F13" s="21">
        <f>_xlfn.NUMBERVALUE(SUBSTITUTE(_xlfn.TEXTAFTER(mets27[[#This Row],[pasted JSON metabolite keys and values from GSM biomass rxn]],":"),",",""))</f>
        <v>-190.645590933694</v>
      </c>
      <c r="G13" s="21" cm="1">
        <f t="array" ref="G13">_xlfn.LET(_xlpm.id,mets27[[#This Row],[name w/o location]],IF(IsElementOfSet_DIY(_xlpm.id,{"atp","adp","h","pi","h2o"}),SIGN(mets27[[#This Row],[raw (GSM) coefficient]])*(ABS(mets27[[#This Row],[raw (GSM) coefficient]])-$J$2),mets27[[#This Row],[raw (GSM) coefficient]]))</f>
        <v>-6.6600933693990783E-2</v>
      </c>
      <c r="H13" s="21">
        <f>mets27[[#This Row],[coeff. w/o GAM]]</f>
        <v>-6.6600933693990783E-2</v>
      </c>
      <c r="I13" s="161">
        <f t="shared" si="2"/>
        <v>-6.619074165889817E-2</v>
      </c>
      <c r="J13" s="21" cm="1">
        <f t="array" ref="J13">_xlfn.LET(_xlpm.id,mets27[[#This Row],[name w/o location]],_xlpm.oldcoeff,mets27[[#This Row],[normalized coeffs]],_xlpm.gam,$J$2-$G$2,_xlfn.IFS(IFERROR(MATCH(_xlpm.id,{"atp","h2o"},0),0)&gt;0,_xlpm.oldcoeff-_xlpm.gam,IFERROR(MATCH(_xlpm.id,{"adp","h","pi"},0),0)&gt;0,_xlpm.oldcoeff+_xlpm.gam,TRUE,_xlpm.oldcoeff))</f>
        <v>-182.14518074165889</v>
      </c>
      <c r="K13" t="str" cm="1">
        <f t="array" ref="K13">"BIOSYN-"&amp;_xlfn.IFS(IFERROR(MATCH(mets27[[#This Row],[category]],{0,"0",""},0),0)&gt;0,mets27[[#This Row],[name]],TRUE,mets27[[#This Row],[category]]&amp;"-"&amp;mets27[[#This Row],[name]])</f>
        <v>BIOSYN-RNA-atp_c</v>
      </c>
      <c r="L13" s="149" t="str" cm="1">
        <f t="array" ref="L13">IF(IsElementOfSet_DIY(mets27[[#This Row],[category]],{"ignore","PROT"}),"",_xlfn.LET(_xlpm.mw,mets27[[#This Row],[MW for biomass normalization (g/mol)]],"MET-"&amp;mets27[[#This Row],[name]]&amp;" --&gt; "&amp;IF((mets27[[#This Row],[category]]="DNA")+(mets27[[#This Row],[category]]="RNA"),"MET-ppi_c + ","")&amp;ROUND(ABS(_xlpm.mw/1000),6)&amp;" BIO-"&amp;mets27[[#This Row],[name]]))</f>
        <v>MET-atp_c --&gt; MET-ppi_c + 0.328198 BIO-atp_c</v>
      </c>
      <c r="M13" s="149" cm="1">
        <f t="array" ref="M1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-190.64559093369391</v>
      </c>
      <c r="N13" s="149"/>
      <c r="O13" s="162" t="str">
        <v>BIOSYN-PROT</v>
      </c>
      <c r="P13" s="158" t="str">
        <f t="shared" si="1"/>
        <v>BIOSYN-PROT</v>
      </c>
      <c r="Q13" s="158" t="s">
        <v>21</v>
      </c>
      <c r="R13" s="160" cm="1">
        <f t="array" ref="R13">SUM(_xlfn._xlws.FILTER(-mets27[MW for biomass normalization (g/mol)]*mets27[normalized coeffs]/1000,mets27[category]=_xlfn.TEXTAFTER(O13,"BIOSYN-"),""))</f>
        <v>0.46491905782933579</v>
      </c>
      <c r="S13" s="160"/>
      <c r="T13" s="160">
        <v>0.46800000000000003</v>
      </c>
      <c r="U13" s="158"/>
      <c r="V13" s="158" t="str" cm="1">
        <f t="array" ref="V13">IFERROR(_xlfn.TEXTJOIN(" + ",TRUE,_xlfn._xlws.FILTER((-mets27[normalized coeffs]*biomassComponents26[[#This Row],[normalized coeffs]]/biomassComponents26[[#This Row],[original coeffs from input]])&amp;" BIO-"&amp;mets27[name],mets27[category]=_xlfn.TEXTAFTER(P13,"BIOSYN-"),"")),"")</f>
        <v>0.432822757129132 BIO-alatrna_c + 0.242142743774166 BIO-argtrna_c + 0.136009600298269 BIO-asntrna_c + 0.229695228907398 BIO-asptrna_c + 0.0394116891383016 BIO-cystrna_c + 0.158742150812667 BIO-glntrna_c + 0.275386918489312 BIO-glutrna_c + 0.331296909013928 BIO-glytrna_c + 0.0854918252602606 BIO-histrna_c + 0.197690946911468 BIO-iletrna_c + 0.370077561546643 BIO-leutrna_c + 0.26940006845879 BIO-lystrna_c + 0.0849858749385989 BIO-mettrna_c + 0.155477321197495 BIO-phetrna_c + 0.229924447191349 BIO-protrna_c + 0.293336514123922 BIO-sertrna_c + 0.237686677320607 BIO-thrtrna_c + 0.042649375902274 BIO-trptrna_c + 0.116922264264054 BIO-tyrtrna_c + 0.313653417351731 BIO-valtrna_c</v>
      </c>
      <c r="X13" s="154" t="s">
        <v>52</v>
      </c>
      <c r="Y13" s="152" t="s">
        <v>59</v>
      </c>
      <c r="Z13" s="152" t="s">
        <v>60</v>
      </c>
      <c r="AB13" t="str">
        <v>BIOSYN-TRNA</v>
      </c>
      <c r="AC13" t="str">
        <v>0.195928843266915 BIO-atp_c + 0.316963877176048 BIO-ctp_c + 0.314267194974942 BIO-gtp_c + 0.166689232243561 BIO-utp_c --&gt; BIO-trna</v>
      </c>
    </row>
    <row r="14" spans="1:33" ht="16" customHeight="1" x14ac:dyDescent="0.2">
      <c r="A14" s="142" t="s">
        <v>1429</v>
      </c>
      <c r="B14" t="str">
        <f>SUBSTITUTE(_xlfn.TEXTBEFORE(mets27[[#This Row],[pasted JSON metabolite keys and values from GSM biomass rxn]],":"),CHAR(34),"")</f>
        <v>ca2_c</v>
      </c>
      <c r="C14" t="str">
        <f>_xlfn.TEXTBEFORE(mets27[[#This Row],[name]],"_",-1)</f>
        <v>ca2</v>
      </c>
      <c r="D14" t="str">
        <f>_xlfn.XLOOKUP(mets27[[#This Row],[name w/o location]],metaboliteInfo[name w/o location],metaboliteInfo[suggested category],"")</f>
        <v>METAL</v>
      </c>
      <c r="E14" s="21">
        <f>_xlfn.XLOOKUP(mets27[[#This Row],[name w/o location]],metaboliteInfo[name w/o location],metaboliteInfo[MW for biomass normalization (g/mol)],0)</f>
        <v>40.078000000000003</v>
      </c>
      <c r="F14" s="21">
        <f>_xlfn.NUMBERVALUE(SUBSTITUTE(_xlfn.TEXTAFTER(mets27[[#This Row],[pasted JSON metabolite keys and values from GSM biomass rxn]],":"),",",""))</f>
        <v>-1.25314645456112E-3</v>
      </c>
      <c r="G14" s="21" cm="1">
        <f t="array" ref="G14">_xlfn.LET(_xlpm.id,mets27[[#This Row],[name w/o location]],IF(IsElementOfSet_DIY(_xlpm.id,{"atp","adp","h","pi","h2o"}),SIGN(mets27[[#This Row],[raw (GSM) coefficient]])*(ABS(mets27[[#This Row],[raw (GSM) coefficient]])-$J$2),mets27[[#This Row],[raw (GSM) coefficient]]))</f>
        <v>-1.25314645456112E-3</v>
      </c>
      <c r="H14" s="21">
        <f>mets27[[#This Row],[coeff. w/o GAM]]</f>
        <v>-1.25314645456112E-3</v>
      </c>
      <c r="I14" s="161">
        <f t="shared" si="2"/>
        <v>-1.2454283841684837E-3</v>
      </c>
      <c r="J14" s="21" cm="1">
        <f t="array" ref="J14">_xlfn.LET(_xlpm.id,mets27[[#This Row],[name w/o location]],_xlpm.oldcoeff,mets27[[#This Row],[normalized coeffs]],_xlpm.gam,$J$2-$G$2,_xlfn.IFS(IFERROR(MATCH(_xlpm.id,{"atp","h2o"},0),0)&gt;0,_xlpm.oldcoeff-_xlpm.gam,IFERROR(MATCH(_xlpm.id,{"adp","h","pi"},0),0)&gt;0,_xlpm.oldcoeff+_xlpm.gam,TRUE,_xlpm.oldcoeff))</f>
        <v>-1.2454283841684837E-3</v>
      </c>
      <c r="K14" t="str" cm="1">
        <f t="array" ref="K14">"BIOSYN-"&amp;_xlfn.IFS(IFERROR(MATCH(mets27[[#This Row],[category]],{0,"0",""},0),0)&gt;0,mets27[[#This Row],[name]],TRUE,mets27[[#This Row],[category]]&amp;"-"&amp;mets27[[#This Row],[name]])</f>
        <v>BIOSYN-METAL-ca2_c</v>
      </c>
      <c r="L14" s="149" t="str" cm="1">
        <f t="array" ref="L14">IF(IsElementOfSet_DIY(mets27[[#This Row],[category]],{"ignore","PROT"}),"",_xlfn.LET(_xlpm.mw,mets27[[#This Row],[MW for biomass normalization (g/mol)]],"MET-"&amp;mets27[[#This Row],[name]]&amp;" --&gt; "&amp;IF((mets27[[#This Row],[category]]="DNA")+(mets27[[#This Row],[category]]="RNA"),"MET-ppi_c + ","")&amp;ROUND(ABS(_xlpm.mw/1000),6)&amp;" BIO-"&amp;mets27[[#This Row],[name]]))</f>
        <v>MET-ca2_c --&gt; 0.040078 BIO-ca2_c</v>
      </c>
      <c r="M14" s="149" cm="1">
        <f t="array" ref="M1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-1.2531464545611202E-3</v>
      </c>
      <c r="N14" s="149"/>
      <c r="O14" s="162" t="str">
        <v>BIOSYN-RNA</v>
      </c>
      <c r="P14" s="158" t="str">
        <f t="shared" si="1"/>
        <v>BIOSYN-RNA</v>
      </c>
      <c r="Q14" s="158" t="str">
        <f>SUBSTITUTE(LOWER(biomassComponents26[[#This Row],[rxn name]]),"biosyn-","BIO-")</f>
        <v>BIO-rna</v>
      </c>
      <c r="R14" s="160" cm="1">
        <f t="array" ref="R14">SUM(_xlfn._xlws.FILTER(-mets27[MW for biomass normalization (g/mol)]*mets27[normalized coeffs]/1000,mets27[category]=_xlfn.TEXTAFTER(O14,"BIOSYN-"),""))</f>
        <v>0.11019410179870986</v>
      </c>
      <c r="S14" s="160"/>
      <c r="T14" s="160">
        <v>0.11087698798081137</v>
      </c>
      <c r="U14" s="172" t="s">
        <v>81</v>
      </c>
      <c r="V14" s="158" t="str" cm="1">
        <f t="array" ref="V14">IFERROR(_xlfn.TEXTJOIN(" + ",TRUE,_xlfn._xlws.FILTER((-mets27[normalized coeffs]*biomassComponents26[[#This Row],[normalized coeffs]]/biomassComponents26[[#This Row],[original coeffs from input]])&amp;" BIO-"&amp;mets27[name],mets27[category]=_xlfn.TEXTAFTER(P14,"BIOSYN-"),"")),"")</f>
        <v>0.0666009336938991 BIO-atp_c + 0.116254182209833 BIO-ctp_c + 0.101863461493711 BIO-gtp_c + 0.0609393622307783 BIO-utp_c</v>
      </c>
      <c r="X14" s="154" t="s">
        <v>52</v>
      </c>
      <c r="Y14" s="152" t="s">
        <v>61</v>
      </c>
      <c r="Z14" s="152" t="s">
        <v>62</v>
      </c>
      <c r="AB14" t="str">
        <v>BIOSYN-RRNA</v>
      </c>
      <c r="AC14" t="str">
        <v>0.195928843266915 BIO-atp_c + 0.316963877176048 BIO-ctp_c + 0.314267194974942 BIO-gtp_c + 0.166689232243561 BIO-utp_c --&gt; BIO-rrna</v>
      </c>
    </row>
    <row r="15" spans="1:33" ht="16" customHeight="1" x14ac:dyDescent="0.2">
      <c r="A15" s="142" t="s">
        <v>1430</v>
      </c>
      <c r="B15" t="str">
        <f>SUBSTITUTE(_xlfn.TEXTBEFORE(mets27[[#This Row],[pasted JSON metabolite keys and values from GSM biomass rxn]],":"),CHAR(34),"")</f>
        <v>chtn_c</v>
      </c>
      <c r="C15" t="str">
        <f>_xlfn.TEXTBEFORE(mets27[[#This Row],[name]],"_",-1)</f>
        <v>chtn</v>
      </c>
      <c r="D15" t="str">
        <f>_xlfn.XLOOKUP(mets27[[#This Row],[name w/o location]],metaboliteInfo[name w/o location],metaboliteInfo[suggested category],"")</f>
        <v>CARB</v>
      </c>
      <c r="E15" s="21">
        <f>_xlfn.XLOOKUP(mets27[[#This Row],[name w/o location]],metaboliteInfo[name w/o location],metaboliteInfo[MW for biomass normalization (g/mol)],0)</f>
        <v>203.19252</v>
      </c>
      <c r="F15" s="21">
        <f>_xlfn.NUMBERVALUE(SUBSTITUTE(_xlfn.TEXTAFTER(mets27[[#This Row],[pasted JSON metabolite keys and values from GSM biomass rxn]],":"),",",""))</f>
        <v>-1.5770546050246598E-2</v>
      </c>
      <c r="G15" s="21" cm="1">
        <f t="array" ref="G15">_xlfn.LET(_xlpm.id,mets27[[#This Row],[name w/o location]],IF(IsElementOfSet_DIY(_xlpm.id,{"atp","adp","h","pi","h2o"}),SIGN(mets27[[#This Row],[raw (GSM) coefficient]])*(ABS(mets27[[#This Row],[raw (GSM) coefficient]])-$J$2),mets27[[#This Row],[raw (GSM) coefficient]]))</f>
        <v>-1.5770546050246598E-2</v>
      </c>
      <c r="H15" s="21">
        <f>mets27[[#This Row],[coeff. w/o GAM]]</f>
        <v>-1.5770546050246598E-2</v>
      </c>
      <c r="I15" s="161">
        <f t="shared" si="2"/>
        <v>-1.5673415994854355E-2</v>
      </c>
      <c r="J15" s="21" cm="1">
        <f t="array" ref="J15">_xlfn.LET(_xlpm.id,mets27[[#This Row],[name w/o location]],_xlpm.oldcoeff,mets27[[#This Row],[normalized coeffs]],_xlpm.gam,$J$2-$G$2,_xlfn.IFS(IFERROR(MATCH(_xlpm.id,{"atp","h2o"},0),0)&gt;0,_xlpm.oldcoeff-_xlpm.gam,IFERROR(MATCH(_xlpm.id,{"adp","h","pi"},0),0)&gt;0,_xlpm.oldcoeff+_xlpm.gam,TRUE,_xlpm.oldcoeff))</f>
        <v>-1.5673415994854355E-2</v>
      </c>
      <c r="K15" t="str" cm="1">
        <f t="array" ref="K15">"BIOSYN-"&amp;_xlfn.IFS(IFERROR(MATCH(mets27[[#This Row],[category]],{0,"0",""},0),0)&gt;0,mets27[[#This Row],[name]],TRUE,mets27[[#This Row],[category]]&amp;"-"&amp;mets27[[#This Row],[name]])</f>
        <v>BIOSYN-CARB-chtn_c</v>
      </c>
      <c r="L15" s="149" t="str" cm="1">
        <f t="array" ref="L15">IF(IsElementOfSet_DIY(mets27[[#This Row],[category]],{"ignore","PROT"}),"",_xlfn.LET(_xlpm.mw,mets27[[#This Row],[MW for biomass normalization (g/mol)]],"MET-"&amp;mets27[[#This Row],[name]]&amp;" --&gt; "&amp;IF((mets27[[#This Row],[category]]="DNA")+(mets27[[#This Row],[category]]="RNA"),"MET-ppi_c + ","")&amp;ROUND(ABS(_xlpm.mw/1000),6)&amp;" BIO-"&amp;mets27[[#This Row],[name]]))</f>
        <v>MET-chtn_c --&gt; 0.203193 BIO-chtn_c</v>
      </c>
      <c r="M15" s="149" cm="1">
        <f t="array" ref="M1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-1.5770546050246598E-2</v>
      </c>
      <c r="N15" s="149"/>
      <c r="O15" s="149" t="str">
        <v>BIOSYN-SO4</v>
      </c>
      <c r="P15" s="158" t="str">
        <f>O15</f>
        <v>BIOSYN-SO4</v>
      </c>
      <c r="Q15" s="158" t="str">
        <f>SUBSTITUTE(LOWER(biomassComponents26[[#This Row],[rxn name]]),"biosyn-","BIO-")</f>
        <v>BIO-so4</v>
      </c>
      <c r="R15" s="160" cm="1">
        <f t="array" ref="R15">SUM(_xlfn._xlws.FILTER(-mets27[MW for biomass normalization (g/mol)]*mets27[normalized coeffs]/1000,mets27[category]=_xlfn.TEXTAFTER(O15,"BIOSYN-"),""))</f>
        <v>2.9047365990568946E-3</v>
      </c>
      <c r="S15" s="160"/>
      <c r="T15" s="160">
        <v>2.9227376032322982E-3</v>
      </c>
      <c r="U15" s="158" t="str" cm="1">
        <f t="array" ref="U15">_xlfn.TEXTJOIN(" + ",TRUE,_xlfn._xlws.FILTER(ROUND(-mets27[MW for biomass normalization (g/mol)]*mets27[normalized coeffs]*(biomassComponents26[[#This Row],[normalized coeffs]]/biomassComponents26[[#This Row],[original coeffs from input]])/(1000*biomassComponents26[[#This Row],[normalized coeffs]]),6)&amp;" BIO-"&amp;mets27[name],mets27[category]=_xlfn.TEXTAFTER(O15,"BIOSYN-"),""))&amp;" --&gt; "&amp;biomassComponents26[[#This Row],[product name]]</f>
        <v>1 BIO-so4_c --&gt; BIO-so4</v>
      </c>
      <c r="V15" s="158" t="str" cm="1">
        <f t="array" ref="V15">IFERROR(_xlfn.TEXTJOIN(" + ",TRUE,_xlfn._xlws.FILTER((-mets27[normalized coeffs]*biomassComponents26[[#This Row],[normalized coeffs]]/biomassComponents26[[#This Row],[original coeffs from input]])&amp;" BIO-"&amp;mets27[name],mets27[category]=_xlfn.TEXTAFTER(P15,"BIOSYN-"),"")),"")</f>
        <v>0.0304253435075909 BIO-so4_c</v>
      </c>
      <c r="X15" s="154"/>
      <c r="Y15" s="152" t="s">
        <v>763</v>
      </c>
      <c r="Z15" s="152" t="str" cm="1">
        <f t="array" ref="Z15">_xlfn.LET(_xlpm.RNAmass,_xlfn.XLOOKUP("BIOSYN-RNA",biomassComponents26[rxn name],biomassComponents26[normalized coeffs],0),_xlpm.coeff,1/_xlpm.RNAmass,_xlfn.TEXTJOIN(" + ",TRUE,_xlfn._xlws.FILTER(ROUND(-mets27[MW for biomass normalization (g/mol)]*mets27[normalized coeffs]/(1000),6)*_xlpm.coeff&amp;" BIO-"&amp;mets27[name],mets27[category]="RNA",""))&amp;" --&gt; "&amp;SUBSTITUTE(LOWER(ExtraRxns25[[#This Row],[name]]),"biosyn-","BIO-"))</f>
        <v>0.195928843266915 BIO-atp_c + 0.316963877176048 BIO-ctp_c + 0.314267194974942 BIO-gtp_c + 0.166689232243561 BIO-utp_c --&gt; BIO-trna</v>
      </c>
      <c r="AB15" t="str">
        <v>BIOSYN-MRNA</v>
      </c>
      <c r="AC15" t="str">
        <v>0.195928843266915 BIO-atp_c + 0.316963877176048 BIO-ctp_c + 0.314267194974942 BIO-gtp_c + 0.166689232243561 BIO-utp_c --&gt; BIO-mrna</v>
      </c>
    </row>
    <row r="16" spans="1:33" ht="16" customHeight="1" x14ac:dyDescent="0.2">
      <c r="A16" s="142" t="s">
        <v>1431</v>
      </c>
      <c r="B16" t="str">
        <f>SUBSTITUTE(_xlfn.TEXTBEFORE(mets27[[#This Row],[pasted JSON metabolite keys and values from GSM biomass rxn]],":"),CHAR(34),"")</f>
        <v>co2_c</v>
      </c>
      <c r="C16" t="str">
        <f>_xlfn.TEXTBEFORE(mets27[[#This Row],[name]],"_",-1)</f>
        <v>co2</v>
      </c>
      <c r="D16" t="str">
        <f>_xlfn.XLOOKUP(mets27[[#This Row],[name w/o location]],metaboliteInfo[name w/o location],metaboliteInfo[suggested category],"")</f>
        <v>other</v>
      </c>
      <c r="E16" s="21">
        <f>_xlfn.XLOOKUP(mets27[[#This Row],[name w/o location]],metaboliteInfo[name w/o location],metaboliteInfo[MW for biomass normalization (g/mol)],0)</f>
        <v>44.009500000000003</v>
      </c>
      <c r="F16" s="21">
        <f>_xlfn.NUMBERVALUE(SUBSTITUTE(_xlfn.TEXTAFTER(mets27[[#This Row],[pasted JSON metabolite keys and values from GSM biomass rxn]],":"),",",""))</f>
        <v>1.9489058391308201E-3</v>
      </c>
      <c r="G16" s="21" cm="1">
        <f t="array" ref="G16">_xlfn.LET(_xlpm.id,mets27[[#This Row],[name w/o location]],IF(IsElementOfSet_DIY(_xlpm.id,{"atp","adp","h","pi","h2o"}),SIGN(mets27[[#This Row],[raw (GSM) coefficient]])*(ABS(mets27[[#This Row],[raw (GSM) coefficient]])-$J$2),mets27[[#This Row],[raw (GSM) coefficient]]))</f>
        <v>1.9489058391308201E-3</v>
      </c>
      <c r="H16" s="21">
        <f>mets27[[#This Row],[coeff. w/o GAM]]</f>
        <v>1.9489058391308201E-3</v>
      </c>
      <c r="I16" s="161">
        <f t="shared" si="2"/>
        <v>1.936902619235585E-3</v>
      </c>
      <c r="J16" s="21" cm="1">
        <f t="array" ref="J16">_xlfn.LET(_xlpm.id,mets27[[#This Row],[name w/o location]],_xlpm.oldcoeff,mets27[[#This Row],[normalized coeffs]],_xlpm.gam,$J$2-$G$2,_xlfn.IFS(IFERROR(MATCH(_xlpm.id,{"atp","h2o"},0),0)&gt;0,_xlpm.oldcoeff-_xlpm.gam,IFERROR(MATCH(_xlpm.id,{"adp","h","pi"},0),0)&gt;0,_xlpm.oldcoeff+_xlpm.gam,TRUE,_xlpm.oldcoeff))</f>
        <v>1.936902619235585E-3</v>
      </c>
      <c r="K16" t="str" cm="1">
        <f t="array" ref="K16">"BIOSYN-"&amp;_xlfn.IFS(IFERROR(MATCH(mets27[[#This Row],[category]],{0,"0",""},0),0)&gt;0,mets27[[#This Row],[name]],TRUE,mets27[[#This Row],[category]]&amp;"-"&amp;mets27[[#This Row],[name]])</f>
        <v>BIOSYN-other-co2_c</v>
      </c>
      <c r="L16" s="149" t="str" cm="1">
        <f t="array" ref="L16">IF(IsElementOfSet_DIY(mets27[[#This Row],[category]],{"ignore","PROT"}),"",_xlfn.LET(_xlpm.mw,mets27[[#This Row],[MW for biomass normalization (g/mol)]],"MET-"&amp;mets27[[#This Row],[name]]&amp;" --&gt; "&amp;IF((mets27[[#This Row],[category]]="DNA")+(mets27[[#This Row],[category]]="RNA"),"MET-ppi_c + ","")&amp;ROUND(ABS(_xlpm.mw/1000),6)&amp;" BIO-"&amp;mets27[[#This Row],[name]]))</f>
        <v>MET-co2_c --&gt; 0.04401 BIO-co2_c</v>
      </c>
      <c r="M16" s="149" cm="1">
        <f t="array" ref="M1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1.9489058391308274E-3</v>
      </c>
      <c r="N16" s="149"/>
      <c r="O16" s="149"/>
      <c r="P16" s="145"/>
      <c r="Q16" s="166"/>
      <c r="R16" s="95"/>
      <c r="S16" s="149"/>
      <c r="T16" s="149"/>
      <c r="U16" s="149"/>
      <c r="V16" s="149"/>
      <c r="X16" s="154"/>
      <c r="Y16" s="152" t="s">
        <v>765</v>
      </c>
      <c r="Z16" s="152" t="str" cm="1">
        <f t="array" ref="Z16">_xlfn.LET(_xlpm.RNAmass,_xlfn.XLOOKUP("BIOSYN-RNA",biomassComponents26[rxn name],biomassComponents26[normalized coeffs],0),_xlpm.coeff,1/_xlpm.RNAmass,_xlfn.TEXTJOIN(" + ",TRUE,_xlfn._xlws.FILTER(ROUND(-mets27[MW for biomass normalization (g/mol)]*mets27[normalized coeffs]/(1000),6)*_xlpm.coeff&amp;" BIO-"&amp;mets27[name],mets27[category]="RNA",""))&amp;" --&gt; "&amp;SUBSTITUTE(LOWER(ExtraRxns25[[#This Row],[name]]),"biosyn-","BIO-"))</f>
        <v>0.195928843266915 BIO-atp_c + 0.316963877176048 BIO-ctp_c + 0.314267194974942 BIO-gtp_c + 0.166689232243561 BIO-utp_c --&gt; BIO-rrna</v>
      </c>
      <c r="AB16" t="str">
        <v>DM-BIO-other</v>
      </c>
      <c r="AC16" t="str">
        <v xml:space="preserve">BIO-other --&gt; </v>
      </c>
    </row>
    <row r="17" spans="1:29" ht="16" customHeight="1" x14ac:dyDescent="0.2">
      <c r="A17" s="142" t="s">
        <v>1432</v>
      </c>
      <c r="B17" t="str">
        <f>SUBSTITUTE(_xlfn.TEXTBEFORE(mets27[[#This Row],[pasted JSON metabolite keys and values from GSM biomass rxn]],":"),CHAR(34),"")</f>
        <v>coa_c</v>
      </c>
      <c r="C17" t="str">
        <f>_xlfn.TEXTBEFORE(mets27[[#This Row],[name]],"_",-1)</f>
        <v>coa</v>
      </c>
      <c r="D17" t="str">
        <f>_xlfn.XLOOKUP(mets27[[#This Row],[name w/o location]],metaboliteInfo[name w/o location],metaboliteInfo[suggested category],"")</f>
        <v>COFACTOR</v>
      </c>
      <c r="E17" s="21">
        <f>_xlfn.XLOOKUP(mets27[[#This Row],[name w/o location]],metaboliteInfo[name w/o location],metaboliteInfo[MW for biomass normalization (g/mol)],0)</f>
        <v>763.50236299999995</v>
      </c>
      <c r="F17" s="21">
        <f>_xlfn.NUMBERVALUE(SUBSTITUTE(_xlfn.TEXTAFTER(mets27[[#This Row],[pasted JSON metabolite keys and values from GSM biomass rxn]],":"),",",""))</f>
        <v>4.6218301974987504E-3</v>
      </c>
      <c r="G17" s="21" cm="1">
        <f t="array" ref="G17">_xlfn.LET(_xlpm.id,mets27[[#This Row],[name w/o location]],IF(IsElementOfSet_DIY(_xlpm.id,{"atp","adp","h","pi","h2o"}),SIGN(mets27[[#This Row],[raw (GSM) coefficient]])*(ABS(mets27[[#This Row],[raw (GSM) coefficient]])-$J$2),mets27[[#This Row],[raw (GSM) coefficient]]))</f>
        <v>4.6218301974987504E-3</v>
      </c>
      <c r="H17" s="21">
        <f>mets27[[#This Row],[coeff. w/o GAM]]</f>
        <v>4.6218301974987504E-3</v>
      </c>
      <c r="I17" s="161">
        <f t="shared" si="2"/>
        <v>4.5933645615172007E-3</v>
      </c>
      <c r="J17" s="21" cm="1">
        <f t="array" ref="J17">_xlfn.LET(_xlpm.id,mets27[[#This Row],[name w/o location]],_xlpm.oldcoeff,mets27[[#This Row],[normalized coeffs]],_xlpm.gam,$J$2-$G$2,_xlfn.IFS(IFERROR(MATCH(_xlpm.id,{"atp","h2o"},0),0)&gt;0,_xlpm.oldcoeff-_xlpm.gam,IFERROR(MATCH(_xlpm.id,{"adp","h","pi"},0),0)&gt;0,_xlpm.oldcoeff+_xlpm.gam,TRUE,_xlpm.oldcoeff))</f>
        <v>4.5933645615172007E-3</v>
      </c>
      <c r="K17" t="str" cm="1">
        <f t="array" ref="K17">"BIOSYN-"&amp;_xlfn.IFS(IFERROR(MATCH(mets27[[#This Row],[category]],{0,"0",""},0),0)&gt;0,mets27[[#This Row],[name]],TRUE,mets27[[#This Row],[category]]&amp;"-"&amp;mets27[[#This Row],[name]])</f>
        <v>BIOSYN-COFACTOR-coa_c</v>
      </c>
      <c r="L17" s="149" t="str" cm="1">
        <f t="array" ref="L17">IF(IsElementOfSet_DIY(mets27[[#This Row],[category]],{"ignore","PROT"}),"",_xlfn.LET(_xlpm.mw,mets27[[#This Row],[MW for biomass normalization (g/mol)]],"MET-"&amp;mets27[[#This Row],[name]]&amp;" --&gt; "&amp;IF((mets27[[#This Row],[category]]="DNA")+(mets27[[#This Row],[category]]="RNA"),"MET-ppi_c + ","")&amp;ROUND(ABS(_xlpm.mw/1000),6)&amp;" BIO-"&amp;mets27[[#This Row],[name]]))</f>
        <v>MET-coa_c --&gt; 0.763502 BIO-coa_c</v>
      </c>
      <c r="M17" s="149" cm="1">
        <f t="array" ref="M1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4.6218301974987504E-3</v>
      </c>
      <c r="N17" s="149"/>
      <c r="O17" s="149"/>
      <c r="P17" s="149"/>
      <c r="Q17" s="167"/>
      <c r="R17" s="149"/>
      <c r="S17" s="149"/>
      <c r="T17" s="149"/>
      <c r="U17" s="149"/>
      <c r="V17" s="149"/>
      <c r="X17" s="154"/>
      <c r="Y17" s="152" t="s">
        <v>764</v>
      </c>
      <c r="Z17" s="152" t="str" cm="1">
        <f t="array" ref="Z17">_xlfn.LET(_xlpm.RNAmass,_xlfn.XLOOKUP("BIOSYN-RNA",biomassComponents26[rxn name],biomassComponents26[normalized coeffs],0),_xlpm.coeff,1/_xlpm.RNAmass,_xlfn.TEXTJOIN(" + ",TRUE,_xlfn._xlws.FILTER(ROUND(-mets27[MW for biomass normalization (g/mol)]*mets27[normalized coeffs]/(1000),6)*_xlpm.coeff&amp;" BIO-"&amp;mets27[name],mets27[category]="RNA",""))&amp;" --&gt; "&amp;SUBSTITUTE(LOWER(ExtraRxns25[[#This Row],[name]]),"biosyn-","BIO-"))</f>
        <v>0.195928843266915 BIO-atp_c + 0.316963877176048 BIO-ctp_c + 0.314267194974942 BIO-gtp_c + 0.166689232243561 BIO-utp_c --&gt; BIO-mrna</v>
      </c>
      <c r="AB17" t="str">
        <v>DM-BIO-cofactor</v>
      </c>
      <c r="AC17" t="str">
        <v xml:space="preserve">BIO-cofactor --&gt; </v>
      </c>
    </row>
    <row r="18" spans="1:29" ht="16" customHeight="1" x14ac:dyDescent="0.2">
      <c r="A18" s="142" t="s">
        <v>1433</v>
      </c>
      <c r="B18" t="str">
        <f>SUBSTITUTE(_xlfn.TEXTBEFORE(mets27[[#This Row],[pasted JSON metabolite keys and values from GSM biomass rxn]],":"),CHAR(34),"")</f>
        <v>ctp_c</v>
      </c>
      <c r="C18" t="str">
        <f>_xlfn.TEXTBEFORE(mets27[[#This Row],[name]],"_",-1)</f>
        <v>ctp</v>
      </c>
      <c r="D18" t="str">
        <f>_xlfn.XLOOKUP(mets27[[#This Row],[name w/o location]],metaboliteInfo[name w/o location],metaboliteInfo[suggested category],"")</f>
        <v>RNA</v>
      </c>
      <c r="E18" s="21">
        <f>_xlfn.XLOOKUP(mets27[[#This Row],[name w/o location]],metaboliteInfo[name w/o location],metaboliteInfo[MW for biomass normalization (g/mol)],0)</f>
        <v>304.17330100000004</v>
      </c>
      <c r="F18" s="21">
        <f>_xlfn.NUMBERVALUE(SUBSTITUTE(_xlfn.TEXTAFTER(mets27[[#This Row],[pasted JSON metabolite keys and values from GSM biomass rxn]],":"),",",""))</f>
        <v>-0.11625418220999301</v>
      </c>
      <c r="G18" s="21" cm="1">
        <f t="array" ref="G18">_xlfn.LET(_xlpm.id,mets27[[#This Row],[name w/o location]],IF(IsElementOfSet_DIY(_xlpm.id,{"atp","adp","h","pi","h2o"}),SIGN(mets27[[#This Row],[raw (GSM) coefficient]])*(ABS(mets27[[#This Row],[raw (GSM) coefficient]])-$J$2),mets27[[#This Row],[raw (GSM) coefficient]]))</f>
        <v>-0.11625418220999301</v>
      </c>
      <c r="H18" s="21">
        <f>mets27[[#This Row],[coeff. w/o GAM]]</f>
        <v>-0.11625418220999301</v>
      </c>
      <c r="I18" s="161">
        <f t="shared" si="2"/>
        <v>-0.11553817814002233</v>
      </c>
      <c r="J18" s="21" cm="1">
        <f t="array" ref="J18">_xlfn.LET(_xlpm.id,mets27[[#This Row],[name w/o location]],_xlpm.oldcoeff,mets27[[#This Row],[normalized coeffs]],_xlpm.gam,$J$2-$G$2,_xlfn.IFS(IFERROR(MATCH(_xlpm.id,{"atp","h2o"},0),0)&gt;0,_xlpm.oldcoeff-_xlpm.gam,IFERROR(MATCH(_xlpm.id,{"adp","h","pi"},0),0)&gt;0,_xlpm.oldcoeff+_xlpm.gam,TRUE,_xlpm.oldcoeff))</f>
        <v>-0.11553817814002233</v>
      </c>
      <c r="K18" t="str" cm="1">
        <f t="array" ref="K18">"BIOSYN-"&amp;_xlfn.IFS(IFERROR(MATCH(mets27[[#This Row],[category]],{0,"0",""},0),0)&gt;0,mets27[[#This Row],[name]],TRUE,mets27[[#This Row],[category]]&amp;"-"&amp;mets27[[#This Row],[name]])</f>
        <v>BIOSYN-RNA-ctp_c</v>
      </c>
      <c r="L18" s="149" t="str" cm="1">
        <f t="array" ref="L18">IF(IsElementOfSet_DIY(mets27[[#This Row],[category]],{"ignore","PROT"}),"",_xlfn.LET(_xlpm.mw,mets27[[#This Row],[MW for biomass normalization (g/mol)]],"MET-"&amp;mets27[[#This Row],[name]]&amp;" --&gt; "&amp;IF((mets27[[#This Row],[category]]="DNA")+(mets27[[#This Row],[category]]="RNA"),"MET-ppi_c + ","")&amp;ROUND(ABS(_xlpm.mw/1000),6)&amp;" BIO-"&amp;mets27[[#This Row],[name]]))</f>
        <v>MET-ctp_c --&gt; MET-ppi_c + 0.304173 BIO-ctp_c</v>
      </c>
      <c r="M18" s="149" cm="1">
        <f t="array" ref="M1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-0.11625418220983297</v>
      </c>
      <c r="N18" s="149"/>
      <c r="O18" s="149"/>
      <c r="P18" s="149"/>
      <c r="Q18" s="149"/>
      <c r="R18" s="167" t="s">
        <v>1310</v>
      </c>
      <c r="S18" s="149"/>
      <c r="T18" s="149"/>
      <c r="U18" s="149"/>
      <c r="V18" s="149"/>
      <c r="X18" s="154"/>
      <c r="Y18" s="152" t="s">
        <v>1423</v>
      </c>
      <c r="Z18" s="152" t="s">
        <v>1420</v>
      </c>
      <c r="AB18" t="str">
        <v>BIOSYN-CARB</v>
      </c>
      <c r="AC18" t="str">
        <v>0.360165 BIO-13BDglucan_c + 0.09478 BIO-16BDglucan_en + 0.010671 BIO-chtn_c + 0.123543 BIO-glycogen_c + 0.257886 BIO-mannan_c + 0.152955 BIO-tre_c --&gt; BIO-carb</v>
      </c>
    </row>
    <row r="19" spans="1:29" ht="29" customHeight="1" thickBot="1" x14ac:dyDescent="0.25">
      <c r="A19" s="142" t="s">
        <v>1434</v>
      </c>
      <c r="B19" t="str">
        <f>SUBSTITUTE(_xlfn.TEXTBEFORE(mets27[[#This Row],[pasted JSON metabolite keys and values from GSM biomass rxn]],":"),CHAR(34),"")</f>
        <v>cu2_c</v>
      </c>
      <c r="C19" t="str">
        <f>_xlfn.TEXTBEFORE(mets27[[#This Row],[name]],"_",-1)</f>
        <v>cu2</v>
      </c>
      <c r="D19" t="str">
        <f>_xlfn.XLOOKUP(mets27[[#This Row],[name w/o location]],metaboliteInfo[name w/o location],metaboliteInfo[suggested category],"")</f>
        <v>METAL</v>
      </c>
      <c r="E19" s="21">
        <f>_xlfn.XLOOKUP(mets27[[#This Row],[name w/o location]],metaboliteInfo[name w/o location],metaboliteInfo[MW for biomass normalization (g/mol)],0)</f>
        <v>63.545999999999999</v>
      </c>
      <c r="F19" s="21">
        <f>_xlfn.NUMBERVALUE(SUBSTITUTE(_xlfn.TEXTAFTER(mets27[[#This Row],[pasted JSON metabolite keys and values from GSM biomass rxn]],":"),",",""))</f>
        <v>-1.11087632830457E-4</v>
      </c>
      <c r="G19" s="21" cm="1">
        <f t="array" ref="G19">_xlfn.LET(_xlpm.id,mets27[[#This Row],[name w/o location]],IF(IsElementOfSet_DIY(_xlpm.id,{"atp","adp","h","pi","h2o"}),SIGN(mets27[[#This Row],[raw (GSM) coefficient]])*(ABS(mets27[[#This Row],[raw (GSM) coefficient]])-$J$2),mets27[[#This Row],[raw (GSM) coefficient]]))</f>
        <v>-1.11087632830457E-4</v>
      </c>
      <c r="H19" s="21">
        <f>mets27[[#This Row],[coeff. w/o GAM]]</f>
        <v>-1.11087632830457E-4</v>
      </c>
      <c r="I19" s="161">
        <f t="shared" si="2"/>
        <v>-1.104034492964286E-4</v>
      </c>
      <c r="J19" s="21" cm="1">
        <f t="array" ref="J19">_xlfn.LET(_xlpm.id,mets27[[#This Row],[name w/o location]],_xlpm.oldcoeff,mets27[[#This Row],[normalized coeffs]],_xlpm.gam,$J$2-$G$2,_xlfn.IFS(IFERROR(MATCH(_xlpm.id,{"atp","h2o"},0),0)&gt;0,_xlpm.oldcoeff-_xlpm.gam,IFERROR(MATCH(_xlpm.id,{"adp","h","pi"},0),0)&gt;0,_xlpm.oldcoeff+_xlpm.gam,TRUE,_xlpm.oldcoeff))</f>
        <v>-1.104034492964286E-4</v>
      </c>
      <c r="K19" t="str" cm="1">
        <f t="array" ref="K19">"BIOSYN-"&amp;_xlfn.IFS(IFERROR(MATCH(mets27[[#This Row],[category]],{0,"0",""},0),0)&gt;0,mets27[[#This Row],[name]],TRUE,mets27[[#This Row],[category]]&amp;"-"&amp;mets27[[#This Row],[name]])</f>
        <v>BIOSYN-METAL-cu2_c</v>
      </c>
      <c r="L19" s="149" t="str" cm="1">
        <f t="array" ref="L19">IF(IsElementOfSet_DIY(mets27[[#This Row],[category]],{"ignore","PROT"}),"",_xlfn.LET(_xlpm.mw,mets27[[#This Row],[MW for biomass normalization (g/mol)]],"MET-"&amp;mets27[[#This Row],[name]]&amp;" --&gt; "&amp;IF((mets27[[#This Row],[category]]="DNA")+(mets27[[#This Row],[category]]="RNA"),"MET-ppi_c + ","")&amp;ROUND(ABS(_xlpm.mw/1000),6)&amp;" BIO-"&amp;mets27[[#This Row],[name]]))</f>
        <v>MET-cu2_c --&gt; 0.063546 BIO-cu2_c</v>
      </c>
      <c r="M19" s="149" cm="1">
        <f t="array" ref="M1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-1.1108763283045703E-4</v>
      </c>
      <c r="N19" s="149"/>
      <c r="O19" s="149"/>
      <c r="P19" s="175" t="s">
        <v>762</v>
      </c>
      <c r="Q19" s="175" t="s">
        <v>753</v>
      </c>
      <c r="R19" s="175" t="s">
        <v>627</v>
      </c>
      <c r="S19" s="149"/>
      <c r="T19" s="149"/>
      <c r="U19" s="149"/>
      <c r="V19" s="149">
        <f>SUM(U20:U29)</f>
        <v>0.58717494220823685</v>
      </c>
      <c r="X19" s="154"/>
      <c r="Y19" s="152" t="s">
        <v>1424</v>
      </c>
      <c r="Z19" s="152" t="s">
        <v>1421</v>
      </c>
      <c r="AB19" t="str">
        <v>BIOSYN-COFACTOR</v>
      </c>
      <c r="AC19" t="str">
        <v>0.614705 BIO-nadph_c --&gt; BIO-cofactor + 1.000836 MET-coa_c + 0.613869 MET-nadp_c</v>
      </c>
    </row>
    <row r="20" spans="1:29" ht="16" x14ac:dyDescent="0.2">
      <c r="A20" s="144" t="s">
        <v>1478</v>
      </c>
      <c r="B20" t="str">
        <f>SUBSTITUTE(_xlfn.TEXTBEFORE(mets27[[#This Row],[pasted JSON metabolite keys and values from GSM biomass rxn]],":"),CHAR(34),"")</f>
        <v>cystrna_c</v>
      </c>
      <c r="C20" t="str">
        <f>_xlfn.TEXTBEFORE(mets27[[#This Row],[name]],"_",-1)</f>
        <v>cystrna</v>
      </c>
      <c r="D20" t="str">
        <f>_xlfn.XLOOKUP(mets27[[#This Row],[name w/o location]],metaboliteInfo[name w/o location],metaboliteInfo[suggested category],"")</f>
        <v>PROT</v>
      </c>
      <c r="E20" s="21">
        <f>_xlfn.XLOOKUP(mets27[[#This Row],[name w/o location]],metaboliteInfo[name w/o location],metaboliteInfo[MW for biomass normalization (g/mol)],0)</f>
        <v>104.15084</v>
      </c>
      <c r="F20" s="21">
        <f>_xlfn.NUMBERVALUE(SUBSTITUTE(_xlfn.TEXTAFTER(mets27[[#This Row],[pasted JSON metabolite keys and values from GSM biomass rxn]],":"),",",""))</f>
        <v>-3.9394864851221102E-2</v>
      </c>
      <c r="G20" s="21" cm="1">
        <f t="array" ref="G20">_xlfn.LET(_xlpm.id,mets27[[#This Row],[name w/o location]],IF(IsElementOfSet_DIY(_xlpm.id,{"atp","adp","h","pi","h2o"}),SIGN(mets27[[#This Row],[raw (GSM) coefficient]])*(ABS(mets27[[#This Row],[raw (GSM) coefficient]])-$J$2),mets27[[#This Row],[raw (GSM) coefficient]]))</f>
        <v>-3.9394864851221102E-2</v>
      </c>
      <c r="H20" s="21">
        <f>mets27[[#This Row],[coeff. w/o GAM]]</f>
        <v>-3.9394864851221102E-2</v>
      </c>
      <c r="I20" s="161">
        <f t="shared" si="2"/>
        <v>-3.9152233721456944E-2</v>
      </c>
      <c r="J20" s="21" cm="1">
        <f t="array" ref="J20">_xlfn.LET(_xlpm.id,mets27[[#This Row],[name w/o location]],_xlpm.oldcoeff,mets27[[#This Row],[normalized coeffs]],_xlpm.gam,$J$2-$G$2,_xlfn.IFS(IFERROR(MATCH(_xlpm.id,{"atp","h2o"},0),0)&gt;0,_xlpm.oldcoeff-_xlpm.gam,IFERROR(MATCH(_xlpm.id,{"adp","h","pi"},0),0)&gt;0,_xlpm.oldcoeff+_xlpm.gam,TRUE,_xlpm.oldcoeff))</f>
        <v>-3.9152233721456944E-2</v>
      </c>
      <c r="K20" t="str" cm="1">
        <f t="array" ref="K20">"BIOSYN-"&amp;_xlfn.IFS(IFERROR(MATCH(mets27[[#This Row],[category]],{0,"0",""},0),0)&gt;0,mets27[[#This Row],[name]],TRUE,mets27[[#This Row],[category]]&amp;"-"&amp;mets27[[#This Row],[name]])</f>
        <v>BIOSYN-PROT-cystrna_c</v>
      </c>
      <c r="L20" s="149" t="str" cm="1">
        <f t="array" ref="L20">IF(IsElementOfSet_DIY(mets27[[#This Row],[category]],{"ignore","PROT"}),"",_xlfn.LET(_xlpm.mw,mets27[[#This Row],[MW for biomass normalization (g/mol)]],"MET-"&amp;mets27[[#This Row],[name]]&amp;" --&gt; "&amp;IF((mets27[[#This Row],[category]]="DNA")+(mets27[[#This Row],[category]]="RNA"),"MET-ppi_c + ","")&amp;ROUND(ABS(_xlpm.mw/1000),6)&amp;" BIO-"&amp;mets27[[#This Row],[name]]))</f>
        <v/>
      </c>
      <c r="M20" s="149" cm="1">
        <f t="array" ref="M2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-3.9411689138301613E-2</v>
      </c>
      <c r="N20" s="149"/>
      <c r="O20" s="149"/>
      <c r="P20" s="176" t="s">
        <v>64</v>
      </c>
      <c r="Q20" s="176" t="s">
        <v>274</v>
      </c>
      <c r="R20" s="177">
        <v>0.47399999999999998</v>
      </c>
      <c r="S20" s="149"/>
      <c r="T20" s="149"/>
      <c r="U20" s="149">
        <v>0</v>
      </c>
      <c r="V20" s="149" cm="1">
        <f t="array" ref="V20:V29">U20:U29/V19</f>
        <v>0</v>
      </c>
      <c r="AB20" t="str">
        <v>BIOSYN-DNA</v>
      </c>
      <c r="AC20" t="str">
        <v>0.197916 BIO-datp_c + 0.28514 BIO-dctp_c + 0.324743 BIO-dgtp_c + 0.192202 BIO-dttp_c --&gt; BIO-dna</v>
      </c>
    </row>
    <row r="21" spans="1:29" ht="16" customHeight="1" x14ac:dyDescent="0.2">
      <c r="A21" s="142" t="s">
        <v>1435</v>
      </c>
      <c r="B21" t="str">
        <f>SUBSTITUTE(_xlfn.TEXTBEFORE(mets27[[#This Row],[pasted JSON metabolite keys and values from GSM biomass rxn]],":"),CHAR(34),"")</f>
        <v>dag_c</v>
      </c>
      <c r="C21" t="str">
        <f>_xlfn.TEXTBEFORE(mets27[[#This Row],[name]],"_",-1)</f>
        <v>dag</v>
      </c>
      <c r="D21" t="str">
        <f>_xlfn.XLOOKUP(mets27[[#This Row],[name w/o location]],metaboliteInfo[name w/o location],metaboliteInfo[suggested category],"")</f>
        <v>LIPID</v>
      </c>
      <c r="E21" s="21">
        <f>_xlfn.XLOOKUP(mets27[[#This Row],[name w/o location]],metaboliteInfo[name w/o location],metaboliteInfo[MW for biomass normalization (g/mol)],0)</f>
        <v>317.07794000000001</v>
      </c>
      <c r="F21" s="21">
        <f>_xlfn.NUMBERVALUE(SUBSTITUTE(_xlfn.TEXTAFTER(mets27[[#This Row],[pasted JSON metabolite keys and values from GSM biomass rxn]],":"),",",""))</f>
        <v>1.9489058391308201E-3</v>
      </c>
      <c r="G21" s="21" cm="1">
        <f t="array" ref="G21">_xlfn.LET(_xlpm.id,mets27[[#This Row],[name w/o location]],IF(IsElementOfSet_DIY(_xlpm.id,{"atp","adp","h","pi","h2o"}),SIGN(mets27[[#This Row],[raw (GSM) coefficient]])*(ABS(mets27[[#This Row],[raw (GSM) coefficient]])-$J$2),mets27[[#This Row],[raw (GSM) coefficient]]))</f>
        <v>1.9489058391308201E-3</v>
      </c>
      <c r="H21" s="21">
        <f>mets27[[#This Row],[coeff. w/o GAM]]</f>
        <v>1.9489058391308201E-3</v>
      </c>
      <c r="I21" s="161">
        <f t="shared" si="2"/>
        <v>1.936902619235585E-3</v>
      </c>
      <c r="J21" s="21" cm="1">
        <f t="array" ref="J21">_xlfn.LET(_xlpm.id,mets27[[#This Row],[name w/o location]],_xlpm.oldcoeff,mets27[[#This Row],[normalized coeffs]],_xlpm.gam,$J$2-$G$2,_xlfn.IFS(IFERROR(MATCH(_xlpm.id,{"atp","h2o"},0),0)&gt;0,_xlpm.oldcoeff-_xlpm.gam,IFERROR(MATCH(_xlpm.id,{"adp","h","pi"},0),0)&gt;0,_xlpm.oldcoeff+_xlpm.gam,TRUE,_xlpm.oldcoeff))</f>
        <v>1.936902619235585E-3</v>
      </c>
      <c r="K21" t="str" cm="1">
        <f t="array" ref="K21">"BIOSYN-"&amp;_xlfn.IFS(IFERROR(MATCH(mets27[[#This Row],[category]],{0,"0",""},0),0)&gt;0,mets27[[#This Row],[name]],TRUE,mets27[[#This Row],[category]]&amp;"-"&amp;mets27[[#This Row],[name]])</f>
        <v>BIOSYN-LIPID-dag_c</v>
      </c>
      <c r="L21" s="149" t="str" cm="1">
        <f t="array" ref="L21">IF(IsElementOfSet_DIY(mets27[[#This Row],[category]],{"ignore","PROT"}),"",_xlfn.LET(_xlpm.mw,mets27[[#This Row],[MW for biomass normalization (g/mol)]],"MET-"&amp;mets27[[#This Row],[name]]&amp;" --&gt; "&amp;IF((mets27[[#This Row],[category]]="DNA")+(mets27[[#This Row],[category]]="RNA"),"MET-ppi_c + ","")&amp;ROUND(ABS(_xlpm.mw/1000),6)&amp;" BIO-"&amp;mets27[[#This Row],[name]]))</f>
        <v>MET-dag_c --&gt; 0.317078 BIO-dag_c</v>
      </c>
      <c r="M21" s="149" cm="1">
        <f t="array" ref="M2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1.9489058391308201E-3</v>
      </c>
      <c r="N21" s="149"/>
      <c r="O21" s="149"/>
      <c r="P21" s="176" t="s">
        <v>164</v>
      </c>
      <c r="Q21" s="176" t="s">
        <v>28</v>
      </c>
      <c r="R21" s="177"/>
      <c r="S21" s="149"/>
      <c r="T21" s="149"/>
      <c r="U21" s="149">
        <v>0.18248193945823896</v>
      </c>
      <c r="V21" s="149">
        <v>0.31077950767443208</v>
      </c>
      <c r="AB21" t="str">
        <v>BIOSYN-LIPID</v>
      </c>
      <c r="AC21" t="str">
        <v>-0.007957 MET-dag_c + 0.00019 BIO-docoscoa_c + 0.213353 BIO-ergst_c + 0.088078 BIO-ergstest_c + 0.014332 BIO-hxccoa_c + 0.003402 BIO-linocoa_c + 0.000836 BIO-linolncoa_c + 0.001985 BIO-odecoa_c + 0.105347 BIO-pail_c + 0.283936 BIO-pc_c + 0.072079 BIO-pe_c + 0.026726 BIO-pmtcoa_c + 0.065524 BIO-ps_c + 0.001083 BIO-stcoa_c + 0.116602 BIO-tag_c + 0.014485 BIO-ttccoa_c --&gt; BIO-lipid</v>
      </c>
    </row>
    <row r="22" spans="1:29" ht="16" customHeight="1" x14ac:dyDescent="0.2">
      <c r="A22" s="142" t="s">
        <v>1436</v>
      </c>
      <c r="B22" t="str">
        <f>SUBSTITUTE(_xlfn.TEXTBEFORE(mets27[[#This Row],[pasted JSON metabolite keys and values from GSM biomass rxn]],":"),CHAR(34),"")</f>
        <v>datp_c</v>
      </c>
      <c r="C22" t="str">
        <f>_xlfn.TEXTBEFORE(mets27[[#This Row],[name]],"_",-1)</f>
        <v>datp</v>
      </c>
      <c r="D22" t="str">
        <f>_xlfn.XLOOKUP(mets27[[#This Row],[name w/o location]],metaboliteInfo[name w/o location],metaboliteInfo[suggested category],"")</f>
        <v>DNA</v>
      </c>
      <c r="E22" s="21">
        <f>_xlfn.XLOOKUP(mets27[[#This Row],[name w/o location]],metaboliteInfo[name w/o location],metaboliteInfo[MW for biomass normalization (g/mol)],0)</f>
        <v>312.19860099999994</v>
      </c>
      <c r="F22" s="21">
        <f>_xlfn.NUMBERVALUE(SUBSTITUTE(_xlfn.TEXTAFTER(mets27[[#This Row],[pasted JSON metabolite keys and values from GSM biomass rxn]],":"),",",""))</f>
        <v>-5.85548759366856E-3</v>
      </c>
      <c r="G22" s="21" cm="1">
        <f t="array" ref="G22">_xlfn.LET(_xlpm.id,mets27[[#This Row],[name w/o location]],IF(IsElementOfSet_DIY(_xlpm.id,{"atp","adp","h","pi","h2o"}),SIGN(mets27[[#This Row],[raw (GSM) coefficient]])*(ABS(mets27[[#This Row],[raw (GSM) coefficient]])-$J$2),mets27[[#This Row],[raw (GSM) coefficient]]))</f>
        <v>-5.85548759366856E-3</v>
      </c>
      <c r="H22" s="21">
        <f>mets27[[#This Row],[coeff. w/o GAM]]</f>
        <v>-5.85548759366856E-3</v>
      </c>
      <c r="I22" s="161">
        <f t="shared" si="2"/>
        <v>-5.8194239194933259E-3</v>
      </c>
      <c r="J22" s="21" cm="1">
        <f t="array" ref="J22">_xlfn.LET(_xlpm.id,mets27[[#This Row],[name w/o location]],_xlpm.oldcoeff,mets27[[#This Row],[normalized coeffs]],_xlpm.gam,$J$2-$G$2,_xlfn.IFS(IFERROR(MATCH(_xlpm.id,{"atp","h2o"},0),0)&gt;0,_xlpm.oldcoeff-_xlpm.gam,IFERROR(MATCH(_xlpm.id,{"adp","h","pi"},0),0)&gt;0,_xlpm.oldcoeff+_xlpm.gam,TRUE,_xlpm.oldcoeff))</f>
        <v>-5.8194239194933259E-3</v>
      </c>
      <c r="K22" t="str" cm="1">
        <f t="array" ref="K22">"BIOSYN-"&amp;_xlfn.IFS(IFERROR(MATCH(mets27[[#This Row],[category]],{0,"0",""},0),0)&gt;0,mets27[[#This Row],[name]],TRUE,mets27[[#This Row],[category]]&amp;"-"&amp;mets27[[#This Row],[name]])</f>
        <v>BIOSYN-DNA-datp_c</v>
      </c>
      <c r="L22" s="149" t="str" cm="1">
        <f t="array" ref="L22">IF(IsElementOfSet_DIY(mets27[[#This Row],[category]],{"ignore","PROT"}),"",_xlfn.LET(_xlpm.mw,mets27[[#This Row],[MW for biomass normalization (g/mol)]],"MET-"&amp;mets27[[#This Row],[name]]&amp;" --&gt; "&amp;IF((mets27[[#This Row],[category]]="DNA")+(mets27[[#This Row],[category]]="RNA"),"MET-ppi_c + ","")&amp;ROUND(ABS(_xlpm.mw/1000),6)&amp;" BIO-"&amp;mets27[[#This Row],[name]]))</f>
        <v>MET-datp_c --&gt; MET-ppi_c + 0.312199 BIO-datp_c</v>
      </c>
      <c r="M22" s="149" cm="1">
        <f t="array" ref="M2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-5.8554875936685626E-3</v>
      </c>
      <c r="N22" s="149"/>
      <c r="O22" s="149"/>
      <c r="P22" s="176" t="s">
        <v>128</v>
      </c>
      <c r="Q22" s="176" t="s">
        <v>24</v>
      </c>
      <c r="R22" s="177">
        <v>8.0000000000000002E-3</v>
      </c>
      <c r="S22" s="149"/>
      <c r="T22" s="149"/>
      <c r="U22" s="149">
        <v>5.6127957785683785E-3</v>
      </c>
      <c r="V22" s="149">
        <v>9.5589838310536183E-3</v>
      </c>
      <c r="AB22" t="str">
        <v>BIOSYN-METAL</v>
      </c>
      <c r="AC22" t="str">
        <v>0.002033 BIO-ca2_c + 0.000286 BIO-cu2_c + 0.001463 BIO-fe2_c + 0.93097 BIO-k_c + 0.060981 BIO-mg2_c + 0.000204 BIO-mn2_c + 0.004064 BIO-zn2_c --&gt; BIO-metal</v>
      </c>
    </row>
    <row r="23" spans="1:29" ht="16" customHeight="1" x14ac:dyDescent="0.2">
      <c r="A23" s="142" t="s">
        <v>1437</v>
      </c>
      <c r="B23" t="str">
        <f>SUBSTITUTE(_xlfn.TEXTBEFORE(mets27[[#This Row],[pasted JSON metabolite keys and values from GSM biomass rxn]],":"),CHAR(34),"")</f>
        <v>dctp_c</v>
      </c>
      <c r="C23" t="str">
        <f>_xlfn.TEXTBEFORE(mets27[[#This Row],[name]],"_",-1)</f>
        <v>dctp</v>
      </c>
      <c r="D23" t="str">
        <f>_xlfn.XLOOKUP(mets27[[#This Row],[name w/o location]],metaboliteInfo[name w/o location],metaboliteInfo[suggested category],"")</f>
        <v>DNA</v>
      </c>
      <c r="E23" s="21">
        <f>_xlfn.XLOOKUP(mets27[[#This Row],[name w/o location]],metaboliteInfo[name w/o location],metaboliteInfo[MW for biomass normalization (g/mol)],0)</f>
        <v>288.173901</v>
      </c>
      <c r="F23" s="21">
        <f>_xlfn.NUMBERVALUE(SUBSTITUTE(_xlfn.TEXTAFTER(mets27[[#This Row],[pasted JSON metabolite keys and values from GSM biomass rxn]],":"),",",""))</f>
        <v>-9.1393939326040001E-3</v>
      </c>
      <c r="G23" s="21" cm="1">
        <f t="array" ref="G23">_xlfn.LET(_xlpm.id,mets27[[#This Row],[name w/o location]],IF(IsElementOfSet_DIY(_xlpm.id,{"atp","adp","h","pi","h2o"}),SIGN(mets27[[#This Row],[raw (GSM) coefficient]])*(ABS(mets27[[#This Row],[raw (GSM) coefficient]])-$J$2),mets27[[#This Row],[raw (GSM) coefficient]]))</f>
        <v>-9.1393939326040001E-3</v>
      </c>
      <c r="H23" s="21">
        <f>mets27[[#This Row],[coeff. w/o GAM]]</f>
        <v>-9.1393939326040001E-3</v>
      </c>
      <c r="I23" s="161">
        <f t="shared" si="2"/>
        <v>-9.0831048329052949E-3</v>
      </c>
      <c r="J23" s="21" cm="1">
        <f t="array" ref="J23">_xlfn.LET(_xlpm.id,mets27[[#This Row],[name w/o location]],_xlpm.oldcoeff,mets27[[#This Row],[normalized coeffs]],_xlpm.gam,$J$2-$G$2,_xlfn.IFS(IFERROR(MATCH(_xlpm.id,{"atp","h2o"},0),0)&gt;0,_xlpm.oldcoeff-_xlpm.gam,IFERROR(MATCH(_xlpm.id,{"adp","h","pi"},0),0)&gt;0,_xlpm.oldcoeff+_xlpm.gam,TRUE,_xlpm.oldcoeff))</f>
        <v>-9.0831048329052949E-3</v>
      </c>
      <c r="K23" t="str" cm="1">
        <f t="array" ref="K23">"BIOSYN-"&amp;_xlfn.IFS(IFERROR(MATCH(mets27[[#This Row],[category]],{0,"0",""},0),0)&gt;0,mets27[[#This Row],[name]],TRUE,mets27[[#This Row],[category]]&amp;"-"&amp;mets27[[#This Row],[name]])</f>
        <v>BIOSYN-DNA-dctp_c</v>
      </c>
      <c r="L23" s="149" t="str" cm="1">
        <f t="array" ref="L23">IF(IsElementOfSet_DIY(mets27[[#This Row],[category]],{"ignore","PROT"}),"",_xlfn.LET(_xlpm.mw,mets27[[#This Row],[MW for biomass normalization (g/mol)]],"MET-"&amp;mets27[[#This Row],[name]]&amp;" --&gt; "&amp;IF((mets27[[#This Row],[category]]="DNA")+(mets27[[#This Row],[category]]="RNA"),"MET-ppi_c + ","")&amp;ROUND(ABS(_xlpm.mw/1000),6)&amp;" BIO-"&amp;mets27[[#This Row],[name]]))</f>
        <v>MET-dctp_c --&gt; MET-ppi_c + 0.288174 BIO-dctp_c</v>
      </c>
      <c r="M23" s="149" cm="1">
        <f t="array" ref="M2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-9.1393939326040036E-3</v>
      </c>
      <c r="N23" s="149"/>
      <c r="O23" s="149"/>
      <c r="P23" s="176" t="s">
        <v>99</v>
      </c>
      <c r="Q23" s="176" t="s">
        <v>22</v>
      </c>
      <c r="R23" s="177">
        <v>9.0999999999999998E-2</v>
      </c>
      <c r="S23" s="149"/>
      <c r="T23" s="149"/>
      <c r="U23" s="149">
        <v>3.941387565385928E-2</v>
      </c>
      <c r="V23" s="149">
        <v>6.7124587274845715E-2</v>
      </c>
      <c r="AB23" t="str">
        <v>BIOSYN-other</v>
      </c>
      <c r="AC23" t="str">
        <v>0.571201 BIO-o2_c --&gt; BIO-other + 1.571201 MET-co2_c</v>
      </c>
    </row>
    <row r="24" spans="1:29" ht="16" customHeight="1" x14ac:dyDescent="0.2">
      <c r="A24" s="142" t="s">
        <v>1438</v>
      </c>
      <c r="B24" t="str">
        <f>SUBSTITUTE(_xlfn.TEXTBEFORE(mets27[[#This Row],[pasted JSON metabolite keys and values from GSM biomass rxn]],":"),CHAR(34),"")</f>
        <v>dgtp_c</v>
      </c>
      <c r="C24" t="str">
        <f>_xlfn.TEXTBEFORE(mets27[[#This Row],[name]],"_",-1)</f>
        <v>dgtp</v>
      </c>
      <c r="D24" t="str">
        <f>_xlfn.XLOOKUP(mets27[[#This Row],[name w/o location]],metaboliteInfo[name w/o location],metaboliteInfo[suggested category],"")</f>
        <v>DNA</v>
      </c>
      <c r="E24" s="21">
        <f>_xlfn.XLOOKUP(mets27[[#This Row],[name w/o location]],metaboliteInfo[name w/o location],metaboliteInfo[MW for biomass normalization (g/mol)],0)</f>
        <v>328.19800099999998</v>
      </c>
      <c r="F24" s="21">
        <f>_xlfn.NUMBERVALUE(SUBSTITUTE(_xlfn.TEXTAFTER(mets27[[#This Row],[pasted JSON metabolite keys and values from GSM biomass rxn]],":"),",",""))</f>
        <v>-9.1393939326040001E-3</v>
      </c>
      <c r="G24" s="21" cm="1">
        <f t="array" ref="G24">_xlfn.LET(_xlpm.id,mets27[[#This Row],[name w/o location]],IF(IsElementOfSet_DIY(_xlpm.id,{"atp","adp","h","pi","h2o"}),SIGN(mets27[[#This Row],[raw (GSM) coefficient]])*(ABS(mets27[[#This Row],[raw (GSM) coefficient]])-$J$2),mets27[[#This Row],[raw (GSM) coefficient]]))</f>
        <v>-9.1393939326040001E-3</v>
      </c>
      <c r="H24" s="21">
        <f>mets27[[#This Row],[coeff. w/o GAM]]</f>
        <v>-9.1393939326040001E-3</v>
      </c>
      <c r="I24" s="161">
        <f t="shared" si="2"/>
        <v>-9.0831048329052949E-3</v>
      </c>
      <c r="J24" s="21" cm="1">
        <f t="array" ref="J24">_xlfn.LET(_xlpm.id,mets27[[#This Row],[name w/o location]],_xlpm.oldcoeff,mets27[[#This Row],[normalized coeffs]],_xlpm.gam,$J$2-$G$2,_xlfn.IFS(IFERROR(MATCH(_xlpm.id,{"atp","h2o"},0),0)&gt;0,_xlpm.oldcoeff-_xlpm.gam,IFERROR(MATCH(_xlpm.id,{"adp","h","pi"},0),0)&gt;0,_xlpm.oldcoeff+_xlpm.gam,TRUE,_xlpm.oldcoeff))</f>
        <v>-9.0831048329052949E-3</v>
      </c>
      <c r="K24" t="str" cm="1">
        <f t="array" ref="K24">"BIOSYN-"&amp;_xlfn.IFS(IFERROR(MATCH(mets27[[#This Row],[category]],{0,"0",""},0),0)&gt;0,mets27[[#This Row],[name]],TRUE,mets27[[#This Row],[category]]&amp;"-"&amp;mets27[[#This Row],[name]])</f>
        <v>BIOSYN-DNA-dgtp_c</v>
      </c>
      <c r="L24" s="149" t="str" cm="1">
        <f t="array" ref="L24">IF(IsElementOfSet_DIY(mets27[[#This Row],[category]],{"ignore","PROT"}),"",_xlfn.LET(_xlpm.mw,mets27[[#This Row],[MW for biomass normalization (g/mol)]],"MET-"&amp;mets27[[#This Row],[name]]&amp;" --&gt; "&amp;IF((mets27[[#This Row],[category]]="DNA")+(mets27[[#This Row],[category]]="RNA"),"MET-ppi_c + ","")&amp;ROUND(ABS(_xlpm.mw/1000),6)&amp;" BIO-"&amp;mets27[[#This Row],[name]]))</f>
        <v>MET-dgtp_c --&gt; MET-ppi_c + 0.328198 BIO-dgtp_c</v>
      </c>
      <c r="M24" s="149" cm="1">
        <f t="array" ref="M2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-9.1393939326040036E-3</v>
      </c>
      <c r="N24" s="149"/>
      <c r="O24" s="149"/>
      <c r="P24" s="176" t="s">
        <v>141</v>
      </c>
      <c r="Q24" s="176" t="s">
        <v>26</v>
      </c>
      <c r="R24" s="177"/>
      <c r="S24" s="149"/>
      <c r="T24" s="149"/>
      <c r="U24" s="149">
        <v>1.5011832191139624E-2</v>
      </c>
      <c r="V24" s="149">
        <v>2.5566200312777992E-2</v>
      </c>
      <c r="AB24" t="str">
        <v>BIOSYN-PI</v>
      </c>
      <c r="AC24" t="str">
        <v>1 BIO-pi_c --&gt; BIO-pi</v>
      </c>
    </row>
    <row r="25" spans="1:29" ht="16" customHeight="1" x14ac:dyDescent="0.2">
      <c r="A25" s="142" t="s">
        <v>1439</v>
      </c>
      <c r="B25" t="str">
        <f>SUBSTITUTE(_xlfn.TEXTBEFORE(mets27[[#This Row],[pasted JSON metabolite keys and values from GSM biomass rxn]],":"),CHAR(34),"")</f>
        <v>docoscoa_c</v>
      </c>
      <c r="C25" t="str">
        <f>_xlfn.TEXTBEFORE(mets27[[#This Row],[name]],"_",-1)</f>
        <v>docoscoa</v>
      </c>
      <c r="D25" t="str">
        <f>_xlfn.XLOOKUP(mets27[[#This Row],[name w/o location]],metaboliteInfo[name w/o location],metaboliteInfo[suggested category],"")</f>
        <v>LIPID</v>
      </c>
      <c r="E25" s="21">
        <f>_xlfn.XLOOKUP(mets27[[#This Row],[name w/o location]],metaboliteInfo[name w/o location],metaboliteInfo[MW for biomass normalization (g/mol)],0)</f>
        <v>1086.070643</v>
      </c>
      <c r="F25" s="21">
        <f>_xlfn.NUMBERVALUE(SUBSTITUTE(_xlfn.TEXTAFTER(mets27[[#This Row],[pasted JSON metabolite keys and values from GSM biomass rxn]],":"),",",""))</f>
        <v>-1.35753472356956E-5</v>
      </c>
      <c r="G25" s="21" cm="1">
        <f t="array" ref="G25">_xlfn.LET(_xlpm.id,mets27[[#This Row],[name w/o location]],IF(IsElementOfSet_DIY(_xlpm.id,{"atp","adp","h","pi","h2o"}),SIGN(mets27[[#This Row],[raw (GSM) coefficient]])*(ABS(mets27[[#This Row],[raw (GSM) coefficient]])-$J$2),mets27[[#This Row],[raw (GSM) coefficient]]))</f>
        <v>-1.35753472356956E-5</v>
      </c>
      <c r="H25" s="21">
        <f>mets27[[#This Row],[coeff. w/o GAM]]</f>
        <v>-1.35753472356956E-5</v>
      </c>
      <c r="I25" s="161">
        <f t="shared" si="2"/>
        <v>-1.3491737307112853E-5</v>
      </c>
      <c r="J25" s="21" cm="1">
        <f t="array" ref="J25">_xlfn.LET(_xlpm.id,mets27[[#This Row],[name w/o location]],_xlpm.oldcoeff,mets27[[#This Row],[normalized coeffs]],_xlpm.gam,$J$2-$G$2,_xlfn.IFS(IFERROR(MATCH(_xlpm.id,{"atp","h2o"},0),0)&gt;0,_xlpm.oldcoeff-_xlpm.gam,IFERROR(MATCH(_xlpm.id,{"adp","h","pi"},0),0)&gt;0,_xlpm.oldcoeff+_xlpm.gam,TRUE,_xlpm.oldcoeff))</f>
        <v>-1.3491737307112853E-5</v>
      </c>
      <c r="K25" t="str" cm="1">
        <f t="array" ref="K25">"BIOSYN-"&amp;_xlfn.IFS(IFERROR(MATCH(mets27[[#This Row],[category]],{0,"0",""},0),0)&gt;0,mets27[[#This Row],[name]],TRUE,mets27[[#This Row],[category]]&amp;"-"&amp;mets27[[#This Row],[name]])</f>
        <v>BIOSYN-LIPID-docoscoa_c</v>
      </c>
      <c r="L25" s="149" t="str" cm="1">
        <f t="array" ref="L25">IF(IsElementOfSet_DIY(mets27[[#This Row],[category]],{"ignore","PROT"}),"",_xlfn.LET(_xlpm.mw,mets27[[#This Row],[MW for biomass normalization (g/mol)]],"MET-"&amp;mets27[[#This Row],[name]]&amp;" --&gt; "&amp;IF((mets27[[#This Row],[category]]="DNA")+(mets27[[#This Row],[category]]="RNA"),"MET-ppi_c + ","")&amp;ROUND(ABS(_xlpm.mw/1000),6)&amp;" BIO-"&amp;mets27[[#This Row],[name]]))</f>
        <v>MET-docoscoa_c --&gt; 1.086071 BIO-docoscoa_c</v>
      </c>
      <c r="M25" s="149" cm="1">
        <f t="array" ref="M2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-1.35753472356956E-5</v>
      </c>
      <c r="N25" s="149"/>
      <c r="O25" s="149"/>
      <c r="P25" s="176" t="s">
        <v>192</v>
      </c>
      <c r="Q25" s="176" t="s">
        <v>32</v>
      </c>
      <c r="R25" s="177"/>
      <c r="S25" s="149"/>
      <c r="T25" s="149"/>
      <c r="U25" s="149"/>
      <c r="V25" s="149">
        <v>0</v>
      </c>
      <c r="AB25" t="str">
        <v>BIOSYN-RNA</v>
      </c>
      <c r="AC25" t="str">
        <v>0.15 BIO-trna + 0.05 BIO-mrna + 0.80 BIO-rrna --&gt; BIO-rna</v>
      </c>
    </row>
    <row r="26" spans="1:29" ht="16" customHeight="1" x14ac:dyDescent="0.2">
      <c r="A26" s="142" t="s">
        <v>1440</v>
      </c>
      <c r="B26" t="str">
        <f>SUBSTITUTE(_xlfn.TEXTBEFORE(mets27[[#This Row],[pasted JSON metabolite keys and values from GSM biomass rxn]],":"),CHAR(34),"")</f>
        <v>dttp_c</v>
      </c>
      <c r="C26" t="str">
        <f>_xlfn.TEXTBEFORE(mets27[[#This Row],[name]],"_",-1)</f>
        <v>dttp</v>
      </c>
      <c r="D26" t="str">
        <f>_xlfn.XLOOKUP(mets27[[#This Row],[name w/o location]],metaboliteInfo[name w/o location],metaboliteInfo[suggested category],"")</f>
        <v>DNA</v>
      </c>
      <c r="E26" s="21">
        <f>_xlfn.XLOOKUP(mets27[[#This Row],[name w/o location]],metaboliteInfo[name w/o location],metaboliteInfo[MW for biomass normalization (g/mol)],0)</f>
        <v>303.18524100000002</v>
      </c>
      <c r="F26" s="21">
        <f>_xlfn.NUMBERVALUE(SUBSTITUTE(_xlfn.TEXTAFTER(mets27[[#This Row],[pasted JSON metabolite keys and values from GSM biomass rxn]],":"),",",""))</f>
        <v>-5.85548759366856E-3</v>
      </c>
      <c r="G26" s="21" cm="1">
        <f t="array" ref="G26">_xlfn.LET(_xlpm.id,mets27[[#This Row],[name w/o location]],IF(IsElementOfSet_DIY(_xlpm.id,{"atp","adp","h","pi","h2o"}),SIGN(mets27[[#This Row],[raw (GSM) coefficient]])*(ABS(mets27[[#This Row],[raw (GSM) coefficient]])-$J$2),mets27[[#This Row],[raw (GSM) coefficient]]))</f>
        <v>-5.85548759366856E-3</v>
      </c>
      <c r="H26" s="21">
        <f>mets27[[#This Row],[coeff. w/o GAM]]</f>
        <v>-5.85548759366856E-3</v>
      </c>
      <c r="I26" s="161">
        <f t="shared" si="2"/>
        <v>-5.8194239194933259E-3</v>
      </c>
      <c r="J26" s="21" cm="1">
        <f t="array" ref="J26">_xlfn.LET(_xlpm.id,mets27[[#This Row],[name w/o location]],_xlpm.oldcoeff,mets27[[#This Row],[normalized coeffs]],_xlpm.gam,$J$2-$G$2,_xlfn.IFS(IFERROR(MATCH(_xlpm.id,{"atp","h2o"},0),0)&gt;0,_xlpm.oldcoeff-_xlpm.gam,IFERROR(MATCH(_xlpm.id,{"adp","h","pi"},0),0)&gt;0,_xlpm.oldcoeff+_xlpm.gam,TRUE,_xlpm.oldcoeff))</f>
        <v>-5.8194239194933259E-3</v>
      </c>
      <c r="K26" t="str" cm="1">
        <f t="array" ref="K26">"BIOSYN-"&amp;_xlfn.IFS(IFERROR(MATCH(mets27[[#This Row],[category]],{0,"0",""},0),0)&gt;0,mets27[[#This Row],[name]],TRUE,mets27[[#This Row],[category]]&amp;"-"&amp;mets27[[#This Row],[name]])</f>
        <v>BIOSYN-DNA-dttp_c</v>
      </c>
      <c r="L26" s="149" t="str" cm="1">
        <f t="array" ref="L26">IF(IsElementOfSet_DIY(mets27[[#This Row],[category]],{"ignore","PROT"}),"",_xlfn.LET(_xlpm.mw,mets27[[#This Row],[MW for biomass normalization (g/mol)]],"MET-"&amp;mets27[[#This Row],[name]]&amp;" --&gt; "&amp;IF((mets27[[#This Row],[category]]="DNA")+(mets27[[#This Row],[category]]="RNA"),"MET-ppi_c + ","")&amp;ROUND(ABS(_xlpm.mw/1000),6)&amp;" BIO-"&amp;mets27[[#This Row],[name]]))</f>
        <v>MET-dttp_c --&gt; MET-ppi_c + 0.303185 BIO-dttp_c</v>
      </c>
      <c r="M26" s="149" cm="1">
        <f t="array" ref="M2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-5.8554875936685626E-3</v>
      </c>
      <c r="N26" s="149"/>
      <c r="O26" s="149"/>
      <c r="P26" s="176" t="s">
        <v>298</v>
      </c>
      <c r="Q26" s="176" t="s">
        <v>21</v>
      </c>
      <c r="R26" s="177">
        <v>0.36899999999999999</v>
      </c>
      <c r="S26" s="149"/>
      <c r="T26" s="149"/>
      <c r="U26" s="149">
        <v>6.0047345343965048E-3</v>
      </c>
      <c r="V26" s="149">
        <v>1.0226482948700107E-2</v>
      </c>
      <c r="AB26" t="str">
        <v>BIOSYN-SO4</v>
      </c>
      <c r="AC26" t="str">
        <v>1 BIO-so4_c --&gt; BIO-so4</v>
      </c>
    </row>
    <row r="27" spans="1:29" ht="16" customHeight="1" x14ac:dyDescent="0.2">
      <c r="A27" s="142" t="s">
        <v>1441</v>
      </c>
      <c r="B27" t="str">
        <f>SUBSTITUTE(_xlfn.TEXTBEFORE(mets27[[#This Row],[pasted JSON metabolite keys and values from GSM biomass rxn]],":"),CHAR(34),"")</f>
        <v>ergst_c</v>
      </c>
      <c r="C27" t="str">
        <f>_xlfn.TEXTBEFORE(mets27[[#This Row],[name]],"_",-1)</f>
        <v>ergst</v>
      </c>
      <c r="D27" t="str">
        <f>_xlfn.XLOOKUP(mets27[[#This Row],[name w/o location]],metaboliteInfo[name w/o location],metaboliteInfo[suggested category],"")</f>
        <v>LIPID</v>
      </c>
      <c r="E27" s="21">
        <f>_xlfn.XLOOKUP(mets27[[#This Row],[name w/o location]],metaboliteInfo[name w/o location],metaboliteInfo[MW for biomass normalization (g/mol)],0)</f>
        <v>396.648359999999</v>
      </c>
      <c r="F27" s="21">
        <f>_xlfn.NUMBERVALUE(SUBSTITUTE(_xlfn.TEXTAFTER(mets27[[#This Row],[pasted JSON metabolite keys and values from GSM biomass rxn]],":"),",",""))</f>
        <v>-4.17718733030105E-2</v>
      </c>
      <c r="G27" s="21" cm="1">
        <f t="array" ref="G27">_xlfn.LET(_xlpm.id,mets27[[#This Row],[name w/o location]],IF(IsElementOfSet_DIY(_xlpm.id,{"atp","adp","h","pi","h2o"}),SIGN(mets27[[#This Row],[raw (GSM) coefficient]])*(ABS(mets27[[#This Row],[raw (GSM) coefficient]])-$J$2),mets27[[#This Row],[raw (GSM) coefficient]]))</f>
        <v>-4.17718733030105E-2</v>
      </c>
      <c r="H27" s="21">
        <f>mets27[[#This Row],[coeff. w/o GAM]]</f>
        <v>-4.17718733030105E-2</v>
      </c>
      <c r="I27" s="161">
        <f t="shared" si="2"/>
        <v>-4.1514602289385978E-2</v>
      </c>
      <c r="J27" s="21" cm="1">
        <f t="array" ref="J27">_xlfn.LET(_xlpm.id,mets27[[#This Row],[name w/o location]],_xlpm.oldcoeff,mets27[[#This Row],[normalized coeffs]],_xlpm.gam,$J$2-$G$2,_xlfn.IFS(IFERROR(MATCH(_xlpm.id,{"atp","h2o"},0),0)&gt;0,_xlpm.oldcoeff-_xlpm.gam,IFERROR(MATCH(_xlpm.id,{"adp","h","pi"},0),0)&gt;0,_xlpm.oldcoeff+_xlpm.gam,TRUE,_xlpm.oldcoeff))</f>
        <v>-4.1514602289385978E-2</v>
      </c>
      <c r="K27" t="str" cm="1">
        <f t="array" ref="K27">"BIOSYN-"&amp;_xlfn.IFS(IFERROR(MATCH(mets27[[#This Row],[category]],{0,"0",""},0),0)&gt;0,mets27[[#This Row],[name]],TRUE,mets27[[#This Row],[category]]&amp;"-"&amp;mets27[[#This Row],[name]])</f>
        <v>BIOSYN-LIPID-ergst_c</v>
      </c>
      <c r="L27" s="149" t="str" cm="1">
        <f t="array" ref="L27">IF(IsElementOfSet_DIY(mets27[[#This Row],[category]],{"ignore","PROT"}),"",_xlfn.LET(_xlpm.mw,mets27[[#This Row],[MW for biomass normalization (g/mol)]],"MET-"&amp;mets27[[#This Row],[name]]&amp;" --&gt; "&amp;IF((mets27[[#This Row],[category]]="DNA")+(mets27[[#This Row],[category]]="RNA"),"MET-ppi_c + ","")&amp;ROUND(ABS(_xlpm.mw/1000),6)&amp;" BIO-"&amp;mets27[[#This Row],[name]]))</f>
        <v>MET-ergst_c --&gt; 0.396648 BIO-ergst_c</v>
      </c>
      <c r="M27" s="149" cm="1">
        <f t="array" ref="M2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-4.17718733030105E-2</v>
      </c>
      <c r="N27" s="149"/>
      <c r="O27" s="149"/>
      <c r="P27" s="176" t="s">
        <v>80</v>
      </c>
      <c r="Q27" s="176" t="s">
        <v>273</v>
      </c>
      <c r="R27" s="177">
        <v>5.8000000000000003E-2</v>
      </c>
      <c r="S27" s="149"/>
      <c r="T27" s="149"/>
      <c r="U27" s="149">
        <v>0.26949748058189982</v>
      </c>
      <c r="V27" s="149">
        <v>0.4589730610239916</v>
      </c>
      <c r="AB27" t="str">
        <v>BIOSYN-CARB-13BDglucan_c</v>
      </c>
      <c r="AC27" t="str">
        <v>MET-13BDglucan_c --&gt; 0.162141 BIO-13BDglucan_c</v>
      </c>
    </row>
    <row r="28" spans="1:29" ht="16" customHeight="1" x14ac:dyDescent="0.2">
      <c r="A28" s="142" t="s">
        <v>1442</v>
      </c>
      <c r="B28" t="str">
        <f>SUBSTITUTE(_xlfn.TEXTBEFORE(mets27[[#This Row],[pasted JSON metabolite keys and values from GSM biomass rxn]],":"),CHAR(34),"")</f>
        <v>ergstest_c</v>
      </c>
      <c r="C28" t="str">
        <f>_xlfn.TEXTBEFORE(mets27[[#This Row],[name]],"_",-1)</f>
        <v>ergstest</v>
      </c>
      <c r="D28" t="str">
        <f>_xlfn.XLOOKUP(mets27[[#This Row],[name w/o location]],metaboliteInfo[name w/o location],metaboliteInfo[suggested category],"")</f>
        <v>LIPID</v>
      </c>
      <c r="E28" s="21">
        <f>_xlfn.XLOOKUP(mets27[[#This Row],[name w/o location]],metaboliteInfo[name w/o location],metaboliteInfo[MW for biomass normalization (g/mol)],0)</f>
        <v>660.083753333299</v>
      </c>
      <c r="F28" s="21">
        <f>_xlfn.NUMBERVALUE(SUBSTITUTE(_xlfn.TEXTAFTER(mets27[[#This Row],[pasted JSON metabolite keys and values from GSM biomass rxn]],":"),",",""))</f>
        <v>-1.03623323466586E-2</v>
      </c>
      <c r="G28" s="21" cm="1">
        <f t="array" ref="G28">_xlfn.LET(_xlpm.id,mets27[[#This Row],[name w/o location]],IF(IsElementOfSet_DIY(_xlpm.id,{"atp","adp","h","pi","h2o"}),SIGN(mets27[[#This Row],[raw (GSM) coefficient]])*(ABS(mets27[[#This Row],[raw (GSM) coefficient]])-$J$2),mets27[[#This Row],[raw (GSM) coefficient]]))</f>
        <v>-1.03623323466586E-2</v>
      </c>
      <c r="H28" s="21">
        <f>mets27[[#This Row],[coeff. w/o GAM]]</f>
        <v>-1.03623323466586E-2</v>
      </c>
      <c r="I28" s="161">
        <f t="shared" si="2"/>
        <v>-1.0298511226475635E-2</v>
      </c>
      <c r="J28" s="21" cm="1">
        <f t="array" ref="J28">_xlfn.LET(_xlpm.id,mets27[[#This Row],[name w/o location]],_xlpm.oldcoeff,mets27[[#This Row],[normalized coeffs]],_xlpm.gam,$J$2-$G$2,_xlfn.IFS(IFERROR(MATCH(_xlpm.id,{"atp","h2o"},0),0)&gt;0,_xlpm.oldcoeff-_xlpm.gam,IFERROR(MATCH(_xlpm.id,{"adp","h","pi"},0),0)&gt;0,_xlpm.oldcoeff+_xlpm.gam,TRUE,_xlpm.oldcoeff))</f>
        <v>-1.0298511226475635E-2</v>
      </c>
      <c r="K28" t="str" cm="1">
        <f t="array" ref="K28">"BIOSYN-"&amp;_xlfn.IFS(IFERROR(MATCH(mets27[[#This Row],[category]],{0,"0",""},0),0)&gt;0,mets27[[#This Row],[name]],TRUE,mets27[[#This Row],[category]]&amp;"-"&amp;mets27[[#This Row],[name]])</f>
        <v>BIOSYN-LIPID-ergstest_c</v>
      </c>
      <c r="L28" s="149" t="str" cm="1">
        <f t="array" ref="L28">IF(IsElementOfSet_DIY(mets27[[#This Row],[category]],{"ignore","PROT"}),"",_xlfn.LET(_xlpm.mw,mets27[[#This Row],[MW for biomass normalization (g/mol)]],"MET-"&amp;mets27[[#This Row],[name]]&amp;" --&gt; "&amp;IF((mets27[[#This Row],[category]]="DNA")+(mets27[[#This Row],[category]]="RNA"),"MET-ppi_c + ","")&amp;ROUND(ABS(_xlpm.mw/1000),6)&amp;" BIO-"&amp;mets27[[#This Row],[name]]))</f>
        <v>MET-ergstest_c --&gt; 0.660084 BIO-ergstest_c</v>
      </c>
      <c r="M28" s="149" cm="1">
        <f t="array" ref="M2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-1.03623323466586E-2</v>
      </c>
      <c r="N28" s="149"/>
      <c r="O28" s="149"/>
      <c r="P28" s="176" t="s">
        <v>188</v>
      </c>
      <c r="Q28" s="176" t="s">
        <v>30</v>
      </c>
      <c r="R28" s="177"/>
      <c r="S28" s="149"/>
      <c r="T28" s="149"/>
      <c r="U28" s="149">
        <v>6.7376234201678889E-2</v>
      </c>
      <c r="V28" s="149">
        <v>0.11474643987410561</v>
      </c>
      <c r="AB28" t="str">
        <v>BIOSYN-CARB-16BDglucan_en</v>
      </c>
      <c r="AC28" t="str">
        <v>MET-16BDglucan_en --&gt; 0.162141 BIO-16BDglucan_en</v>
      </c>
    </row>
    <row r="29" spans="1:29" ht="16" customHeight="1" x14ac:dyDescent="0.2">
      <c r="A29" s="142" t="s">
        <v>1443</v>
      </c>
      <c r="B29" t="str">
        <f>SUBSTITUTE(_xlfn.TEXTBEFORE(mets27[[#This Row],[pasted JSON metabolite keys and values from GSM biomass rxn]],":"),CHAR(34),"")</f>
        <v>fe2_c</v>
      </c>
      <c r="C29" t="str">
        <f>_xlfn.TEXTBEFORE(mets27[[#This Row],[name]],"_",-1)</f>
        <v>fe2</v>
      </c>
      <c r="D29" t="str">
        <f>_xlfn.XLOOKUP(mets27[[#This Row],[name w/o location]],metaboliteInfo[name w/o location],metaboliteInfo[suggested category],"")</f>
        <v>METAL</v>
      </c>
      <c r="E29" s="21">
        <f>_xlfn.XLOOKUP(mets27[[#This Row],[name w/o location]],metaboliteInfo[name w/o location],metaboliteInfo[MW for biomass normalization (g/mol)],0)</f>
        <v>55.844999999999999</v>
      </c>
      <c r="F29" s="21">
        <f>_xlfn.NUMBERVALUE(SUBSTITUTE(_xlfn.TEXTAFTER(mets27[[#This Row],[pasted JSON metabolite keys and values from GSM biomass rxn]],":"),",",""))</f>
        <v>-6.4703673859143403E-4</v>
      </c>
      <c r="G29" s="21" cm="1">
        <f t="array" ref="G29">_xlfn.LET(_xlpm.id,mets27[[#This Row],[name w/o location]],IF(IsElementOfSet_DIY(_xlpm.id,{"atp","adp","h","pi","h2o"}),SIGN(mets27[[#This Row],[raw (GSM) coefficient]])*(ABS(mets27[[#This Row],[raw (GSM) coefficient]])-$J$2),mets27[[#This Row],[raw (GSM) coefficient]]))</f>
        <v>-6.4703673859143403E-4</v>
      </c>
      <c r="H29" s="21">
        <f>mets27[[#This Row],[coeff. w/o GAM]]</f>
        <v>-6.4703673859143403E-4</v>
      </c>
      <c r="I29" s="161">
        <f t="shared" si="2"/>
        <v>-6.4305166958621596E-4</v>
      </c>
      <c r="J29" s="21" cm="1">
        <f t="array" ref="J29">_xlfn.LET(_xlpm.id,mets27[[#This Row],[name w/o location]],_xlpm.oldcoeff,mets27[[#This Row],[normalized coeffs]],_xlpm.gam,$J$2-$G$2,_xlfn.IFS(IFERROR(MATCH(_xlpm.id,{"atp","h2o"},0),0)&gt;0,_xlpm.oldcoeff-_xlpm.gam,IFERROR(MATCH(_xlpm.id,{"adp","h","pi"},0),0)&gt;0,_xlpm.oldcoeff+_xlpm.gam,TRUE,_xlpm.oldcoeff))</f>
        <v>-6.4305166958621596E-4</v>
      </c>
      <c r="K29" t="str" cm="1">
        <f t="array" ref="K29">"BIOSYN-"&amp;_xlfn.IFS(IFERROR(MATCH(mets27[[#This Row],[category]],{0,"0",""},0),0)&gt;0,mets27[[#This Row],[name]],TRUE,mets27[[#This Row],[category]]&amp;"-"&amp;mets27[[#This Row],[name]])</f>
        <v>BIOSYN-METAL-fe2_c</v>
      </c>
      <c r="L29" s="149" t="str" cm="1">
        <f t="array" ref="L29">IF(IsElementOfSet_DIY(mets27[[#This Row],[category]],{"ignore","PROT"}),"",_xlfn.LET(_xlpm.mw,mets27[[#This Row],[MW for biomass normalization (g/mol)]],"MET-"&amp;mets27[[#This Row],[name]]&amp;" --&gt; "&amp;IF((mets27[[#This Row],[category]]="DNA")+(mets27[[#This Row],[category]]="RNA"),"MET-ppi_c + ","")&amp;ROUND(ABS(_xlpm.mw/1000),6)&amp;" BIO-"&amp;mets27[[#This Row],[name]]))</f>
        <v>MET-fe2_c --&gt; 0.055845 BIO-fe2_c</v>
      </c>
      <c r="M29" s="149" cm="1">
        <f t="array" ref="M2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-6.4703673859143414E-4</v>
      </c>
      <c r="N29" s="149"/>
      <c r="O29" s="149"/>
      <c r="P29" s="149"/>
      <c r="Q29" s="149"/>
      <c r="R29" s="149"/>
      <c r="S29" s="149"/>
      <c r="T29" s="149"/>
      <c r="U29" s="149">
        <v>1.7760498084554112E-3</v>
      </c>
      <c r="V29" s="149">
        <v>3.0247370600933266E-3</v>
      </c>
      <c r="AB29" t="str">
        <v>BIOSYN-CARB-chtn_c</v>
      </c>
      <c r="AC29" t="str">
        <v>MET-chtn_c --&gt; 0.203193 BIO-chtn_c</v>
      </c>
    </row>
    <row r="30" spans="1:29" ht="16" x14ac:dyDescent="0.2">
      <c r="A30" s="144" t="s">
        <v>1479</v>
      </c>
      <c r="B30" t="str">
        <f>SUBSTITUTE(_xlfn.TEXTBEFORE(mets27[[#This Row],[pasted JSON metabolite keys and values from GSM biomass rxn]],":"),CHAR(34),"")</f>
        <v>glntrna_c</v>
      </c>
      <c r="C30" t="str">
        <f>_xlfn.TEXTBEFORE(mets27[[#This Row],[name]],"_",-1)</f>
        <v>glntrna</v>
      </c>
      <c r="D30" t="str">
        <f>_xlfn.XLOOKUP(mets27[[#This Row],[name w/o location]],metaboliteInfo[name w/o location],metaboliteInfo[suggested category],"")</f>
        <v>PROT</v>
      </c>
      <c r="E30" s="21">
        <f>_xlfn.XLOOKUP(mets27[[#This Row],[name w/o location]],metaboliteInfo[name w/o location],metaboliteInfo[MW for biomass normalization (g/mol)],0)</f>
        <v>129.13715999999999</v>
      </c>
      <c r="F30" s="21">
        <f>_xlfn.NUMBERVALUE(SUBSTITUTE(_xlfn.TEXTAFTER(mets27[[#This Row],[pasted JSON metabolite keys and values from GSM biomass rxn]],":"),",",""))</f>
        <v>-0.158674386056184</v>
      </c>
      <c r="G30" s="21" cm="1">
        <f t="array" ref="G30">_xlfn.LET(_xlpm.id,mets27[[#This Row],[name w/o location]],IF(IsElementOfSet_DIY(_xlpm.id,{"atp","adp","h","pi","h2o"}),SIGN(mets27[[#This Row],[raw (GSM) coefficient]])*(ABS(mets27[[#This Row],[raw (GSM) coefficient]])-$J$2),mets27[[#This Row],[raw (GSM) coefficient]]))</f>
        <v>-0.158674386056184</v>
      </c>
      <c r="H30" s="21">
        <f>mets27[[#This Row],[coeff. w/o GAM]]</f>
        <v>-0.158674386056184</v>
      </c>
      <c r="I30" s="161">
        <f t="shared" si="2"/>
        <v>-0.15769711793510166</v>
      </c>
      <c r="J30" s="21" cm="1">
        <f t="array" ref="J30">_xlfn.LET(_xlpm.id,mets27[[#This Row],[name w/o location]],_xlpm.oldcoeff,mets27[[#This Row],[normalized coeffs]],_xlpm.gam,$J$2-$G$2,_xlfn.IFS(IFERROR(MATCH(_xlpm.id,{"atp","h2o"},0),0)&gt;0,_xlpm.oldcoeff-_xlpm.gam,IFERROR(MATCH(_xlpm.id,{"adp","h","pi"},0),0)&gt;0,_xlpm.oldcoeff+_xlpm.gam,TRUE,_xlpm.oldcoeff))</f>
        <v>-0.15769711793510166</v>
      </c>
      <c r="K30" t="str" cm="1">
        <f t="array" ref="K30">"BIOSYN-"&amp;_xlfn.IFS(IFERROR(MATCH(mets27[[#This Row],[category]],{0,"0",""},0),0)&gt;0,mets27[[#This Row],[name]],TRUE,mets27[[#This Row],[category]]&amp;"-"&amp;mets27[[#This Row],[name]])</f>
        <v>BIOSYN-PROT-glntrna_c</v>
      </c>
      <c r="L30" s="149" t="str" cm="1">
        <f t="array" ref="L30">IF(IsElementOfSet_DIY(mets27[[#This Row],[category]],{"ignore","PROT"}),"",_xlfn.LET(_xlpm.mw,mets27[[#This Row],[MW for biomass normalization (g/mol)]],"MET-"&amp;mets27[[#This Row],[name]]&amp;" --&gt; "&amp;IF((mets27[[#This Row],[category]]="DNA")+(mets27[[#This Row],[category]]="RNA"),"MET-ppi_c + ","")&amp;ROUND(ABS(_xlpm.mw/1000),6)&amp;" BIO-"&amp;mets27[[#This Row],[name]]))</f>
        <v/>
      </c>
      <c r="M30" s="149" cm="1">
        <f t="array" ref="M3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-0.15874215081266727</v>
      </c>
      <c r="N30" s="149"/>
      <c r="O30" s="149"/>
      <c r="P30" s="149" t="s">
        <v>1312</v>
      </c>
      <c r="Q30" s="95" t="s">
        <v>1313</v>
      </c>
      <c r="R30" s="149"/>
      <c r="S30" s="149"/>
      <c r="T30" s="95" t="s">
        <v>1366</v>
      </c>
      <c r="U30" s="149"/>
      <c r="V30" s="149"/>
      <c r="AB30" t="str">
        <v>BIOSYN-CARB-glycogen_c</v>
      </c>
      <c r="AC30" t="str">
        <v>MET-glycogen_c --&gt; 0.162141 BIO-glycogen_c</v>
      </c>
    </row>
    <row r="31" spans="1:29" ht="16" x14ac:dyDescent="0.2">
      <c r="A31" s="144" t="s">
        <v>1480</v>
      </c>
      <c r="B31" t="str">
        <f>SUBSTITUTE(_xlfn.TEXTBEFORE(mets27[[#This Row],[pasted JSON metabolite keys and values from GSM biomass rxn]],":"),CHAR(34),"")</f>
        <v>glutrna_c</v>
      </c>
      <c r="C31" t="str">
        <f>_xlfn.TEXTBEFORE(mets27[[#This Row],[name]],"_",-1)</f>
        <v>glutrna</v>
      </c>
      <c r="D31" t="str">
        <f>_xlfn.XLOOKUP(mets27[[#This Row],[name w/o location]],metaboliteInfo[name w/o location],metaboliteInfo[suggested category],"")</f>
        <v>PROT</v>
      </c>
      <c r="E31" s="21">
        <f>_xlfn.XLOOKUP(mets27[[#This Row],[name w/o location]],metaboliteInfo[name w/o location],metaboliteInfo[MW for biomass normalization (g/mol)],0)</f>
        <v>129.11398</v>
      </c>
      <c r="F31" s="21">
        <f>_xlfn.NUMBERVALUE(SUBSTITUTE(_xlfn.TEXTAFTER(mets27[[#This Row],[pasted JSON metabolite keys and values from GSM biomass rxn]],":"),",",""))</f>
        <v>-0.27526935974782701</v>
      </c>
      <c r="G31" s="21" cm="1">
        <f t="array" ref="G31">_xlfn.LET(_xlpm.id,mets27[[#This Row],[name w/o location]],IF(IsElementOfSet_DIY(_xlpm.id,{"atp","adp","h","pi","h2o"}),SIGN(mets27[[#This Row],[raw (GSM) coefficient]])*(ABS(mets27[[#This Row],[raw (GSM) coefficient]])-$J$2),mets27[[#This Row],[raw (GSM) coefficient]]))</f>
        <v>-0.27526935974782701</v>
      </c>
      <c r="H31" s="21">
        <f>mets27[[#This Row],[coeff. w/o GAM]]</f>
        <v>-0.27526935974782701</v>
      </c>
      <c r="I31" s="161">
        <f t="shared" si="2"/>
        <v>-0.27357398863798044</v>
      </c>
      <c r="J31" s="21" cm="1">
        <f t="array" ref="J31">_xlfn.LET(_xlpm.id,mets27[[#This Row],[name w/o location]],_xlpm.oldcoeff,mets27[[#This Row],[normalized coeffs]],_xlpm.gam,$J$2-$G$2,_xlfn.IFS(IFERROR(MATCH(_xlpm.id,{"atp","h2o"},0),0)&gt;0,_xlpm.oldcoeff-_xlpm.gam,IFERROR(MATCH(_xlpm.id,{"adp","h","pi"},0),0)&gt;0,_xlpm.oldcoeff+_xlpm.gam,TRUE,_xlpm.oldcoeff))</f>
        <v>-0.27357398863798044</v>
      </c>
      <c r="K31" t="str" cm="1">
        <f t="array" ref="K31">"BIOSYN-"&amp;_xlfn.IFS(IFERROR(MATCH(mets27[[#This Row],[category]],{0,"0",""},0),0)&gt;0,mets27[[#This Row],[name]],TRUE,mets27[[#This Row],[category]]&amp;"-"&amp;mets27[[#This Row],[name]])</f>
        <v>BIOSYN-PROT-glutrna_c</v>
      </c>
      <c r="L31" s="149" t="str" cm="1">
        <f t="array" ref="L31">IF(IsElementOfSet_DIY(mets27[[#This Row],[category]],{"ignore","PROT"}),"",_xlfn.LET(_xlpm.mw,mets27[[#This Row],[MW for biomass normalization (g/mol)]],"MET-"&amp;mets27[[#This Row],[name]]&amp;" --&gt; "&amp;IF((mets27[[#This Row],[category]]="DNA")+(mets27[[#This Row],[category]]="RNA"),"MET-ppi_c + ","")&amp;ROUND(ABS(_xlpm.mw/1000),6)&amp;" BIO-"&amp;mets27[[#This Row],[name]]))</f>
        <v/>
      </c>
      <c r="M31" s="149" cm="1">
        <f t="array" ref="M3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-0.27538691848931163</v>
      </c>
      <c r="N31" s="149"/>
      <c r="O31" s="149"/>
      <c r="P31" s="95" t="s">
        <v>1311</v>
      </c>
      <c r="Q31" s="149"/>
      <c r="R31" s="149"/>
      <c r="S31" s="149"/>
      <c r="T31" t="s">
        <v>1365</v>
      </c>
      <c r="U31" s="149"/>
      <c r="V31" s="149"/>
      <c r="AB31" t="str">
        <v>BIOSYN-CARB-mannan_c</v>
      </c>
      <c r="AC31" t="str">
        <v>MET-mannan_c --&gt; 0.162141 BIO-mannan_c</v>
      </c>
    </row>
    <row r="32" spans="1:29" ht="16" x14ac:dyDescent="0.2">
      <c r="A32" s="144" t="s">
        <v>1481</v>
      </c>
      <c r="B32" t="str">
        <f>SUBSTITUTE(_xlfn.TEXTBEFORE(mets27[[#This Row],[pasted JSON metabolite keys and values from GSM biomass rxn]],":"),CHAR(34),"")</f>
        <v>glytrna_c</v>
      </c>
      <c r="C32" t="str">
        <f>_xlfn.TEXTBEFORE(mets27[[#This Row],[name]],"_",-1)</f>
        <v>glytrna</v>
      </c>
      <c r="D32" t="str">
        <f>_xlfn.XLOOKUP(mets27[[#This Row],[name w/o location]],metaboliteInfo[name w/o location],metaboliteInfo[suggested category],"")</f>
        <v>PROT</v>
      </c>
      <c r="E32" s="21">
        <f>_xlfn.XLOOKUP(mets27[[#This Row],[name w/o location]],metaboliteInfo[name w/o location],metaboliteInfo[MW for biomass normalization (g/mol)],0)</f>
        <v>58.059260000000002</v>
      </c>
      <c r="F32" s="21">
        <f>_xlfn.NUMBERVALUE(SUBSTITUTE(_xlfn.TEXTAFTER(mets27[[#This Row],[pasted JSON metabolite keys and values from GSM biomass rxn]],":"),",",""))</f>
        <v>-0.33115548309618598</v>
      </c>
      <c r="G32" s="21" cm="1">
        <f t="array" ref="G32">_xlfn.LET(_xlpm.id,mets27[[#This Row],[name w/o location]],IF(IsElementOfSet_DIY(_xlpm.id,{"atp","adp","h","pi","h2o"}),SIGN(mets27[[#This Row],[raw (GSM) coefficient]])*(ABS(mets27[[#This Row],[raw (GSM) coefficient]])-$J$2),mets27[[#This Row],[raw (GSM) coefficient]]))</f>
        <v>-0.33115548309618598</v>
      </c>
      <c r="H32" s="21">
        <f>mets27[[#This Row],[coeff. w/o GAM]]</f>
        <v>-0.33115548309618598</v>
      </c>
      <c r="I32" s="161">
        <f t="shared" si="2"/>
        <v>-0.32911591196693685</v>
      </c>
      <c r="J32" s="21" cm="1">
        <f t="array" ref="J32">_xlfn.LET(_xlpm.id,mets27[[#This Row],[name w/o location]],_xlpm.oldcoeff,mets27[[#This Row],[normalized coeffs]],_xlpm.gam,$J$2-$G$2,_xlfn.IFS(IFERROR(MATCH(_xlpm.id,{"atp","h2o"},0),0)&gt;0,_xlpm.oldcoeff-_xlpm.gam,IFERROR(MATCH(_xlpm.id,{"adp","h","pi"},0),0)&gt;0,_xlpm.oldcoeff+_xlpm.gam,TRUE,_xlpm.oldcoeff))</f>
        <v>-0.32911591196693685</v>
      </c>
      <c r="K32" t="str" cm="1">
        <f t="array" ref="K32">"BIOSYN-"&amp;_xlfn.IFS(IFERROR(MATCH(mets27[[#This Row],[category]],{0,"0",""},0),0)&gt;0,mets27[[#This Row],[name]],TRUE,mets27[[#This Row],[category]]&amp;"-"&amp;mets27[[#This Row],[name]])</f>
        <v>BIOSYN-PROT-glytrna_c</v>
      </c>
      <c r="L32" s="149" t="str" cm="1">
        <f t="array" ref="L32">IF(IsElementOfSet_DIY(mets27[[#This Row],[category]],{"ignore","PROT"}),"",_xlfn.LET(_xlpm.mw,mets27[[#This Row],[MW for biomass normalization (g/mol)]],"MET-"&amp;mets27[[#This Row],[name]]&amp;" --&gt; "&amp;IF((mets27[[#This Row],[category]]="DNA")+(mets27[[#This Row],[category]]="RNA"),"MET-ppi_c + ","")&amp;ROUND(ABS(_xlpm.mw/1000),6)&amp;" BIO-"&amp;mets27[[#This Row],[name]]))</f>
        <v/>
      </c>
      <c r="M32" s="149" cm="1">
        <f t="array" ref="M3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-0.33129690901392772</v>
      </c>
      <c r="N32" s="149"/>
      <c r="O32" s="149"/>
      <c r="P32" t="s">
        <v>1362</v>
      </c>
      <c r="R32" t="s">
        <v>1361</v>
      </c>
      <c r="S32" s="149"/>
      <c r="U32" s="149"/>
      <c r="V32" s="149"/>
      <c r="AB32" t="str">
        <v>BIOSYN-CARB-tre_c</v>
      </c>
      <c r="AC32" t="str">
        <v>MET-tre_c --&gt; 0.342296 BIO-tre_c</v>
      </c>
    </row>
    <row r="33" spans="1:29" ht="16" customHeight="1" x14ac:dyDescent="0.2">
      <c r="A33" s="142" t="s">
        <v>1444</v>
      </c>
      <c r="B33" t="str">
        <f>SUBSTITUTE(_xlfn.TEXTBEFORE(mets27[[#This Row],[pasted JSON metabolite keys and values from GSM biomass rxn]],":"),CHAR(34),"")</f>
        <v>glycogen_c</v>
      </c>
      <c r="C33" t="str">
        <f>_xlfn.TEXTBEFORE(mets27[[#This Row],[name]],"_",-1)</f>
        <v>glycogen</v>
      </c>
      <c r="D33" t="str">
        <f>_xlfn.XLOOKUP(mets27[[#This Row],[name w/o location]],metaboliteInfo[name w/o location],metaboliteInfo[suggested category],"")</f>
        <v>CARB</v>
      </c>
      <c r="E33" s="21">
        <f>_xlfn.XLOOKUP(mets27[[#This Row],[name w/o location]],metaboliteInfo[name w/o location],metaboliteInfo[MW for biomass normalization (g/mol)],0)</f>
        <v>162.14060000000001</v>
      </c>
      <c r="F33" s="21">
        <f>_xlfn.NUMBERVALUE(SUBSTITUTE(_xlfn.TEXTAFTER(mets27[[#This Row],[pasted JSON metabolite keys and values from GSM biomass rxn]],":"),",",""))</f>
        <v>-0.228812264496074</v>
      </c>
      <c r="G33" s="21" cm="1">
        <f t="array" ref="G33">_xlfn.LET(_xlpm.id,mets27[[#This Row],[name w/o location]],IF(IsElementOfSet_DIY(_xlpm.id,{"atp","adp","h","pi","h2o"}),SIGN(mets27[[#This Row],[raw (GSM) coefficient]])*(ABS(mets27[[#This Row],[raw (GSM) coefficient]])-$J$2),mets27[[#This Row],[raw (GSM) coefficient]]))</f>
        <v>-0.228812264496074</v>
      </c>
      <c r="H33" s="21">
        <f>mets27[[#This Row],[coeff. w/o GAM]]</f>
        <v>-0.228812264496074</v>
      </c>
      <c r="I33" s="161">
        <f t="shared" si="2"/>
        <v>-0.22740302046266397</v>
      </c>
      <c r="J33" s="21" cm="1">
        <f t="array" ref="J33">_xlfn.LET(_xlpm.id,mets27[[#This Row],[name w/o location]],_xlpm.oldcoeff,mets27[[#This Row],[normalized coeffs]],_xlpm.gam,$J$2-$G$2,_xlfn.IFS(IFERROR(MATCH(_xlpm.id,{"atp","h2o"},0),0)&gt;0,_xlpm.oldcoeff-_xlpm.gam,IFERROR(MATCH(_xlpm.id,{"adp","h","pi"},0),0)&gt;0,_xlpm.oldcoeff+_xlpm.gam,TRUE,_xlpm.oldcoeff))</f>
        <v>-0.22740302046266397</v>
      </c>
      <c r="K33" t="str" cm="1">
        <f t="array" ref="K33">"BIOSYN-"&amp;_xlfn.IFS(IFERROR(MATCH(mets27[[#This Row],[category]],{0,"0",""},0),0)&gt;0,mets27[[#This Row],[name]],TRUE,mets27[[#This Row],[category]]&amp;"-"&amp;mets27[[#This Row],[name]])</f>
        <v>BIOSYN-CARB-glycogen_c</v>
      </c>
      <c r="L33" s="149" t="str" cm="1">
        <f t="array" ref="L33">IF(IsElementOfSet_DIY(mets27[[#This Row],[category]],{"ignore","PROT"}),"",_xlfn.LET(_xlpm.mw,mets27[[#This Row],[MW for biomass normalization (g/mol)]],"MET-"&amp;mets27[[#This Row],[name]]&amp;" --&gt; "&amp;IF((mets27[[#This Row],[category]]="DNA")+(mets27[[#This Row],[category]]="RNA"),"MET-ppi_c + ","")&amp;ROUND(ABS(_xlpm.mw/1000),6)&amp;" BIO-"&amp;mets27[[#This Row],[name]]))</f>
        <v>MET-glycogen_c --&gt; 0.162141 BIO-glycogen_c</v>
      </c>
      <c r="M33" s="149" cm="1">
        <f t="array" ref="M3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-0.228812264496074</v>
      </c>
      <c r="N33" s="149"/>
      <c r="O33" s="149"/>
      <c r="P33" s="149" t="str" cm="1">
        <f t="array" ref="P33:P88">_xlfn.LET(_xlpm.rxn,_xlfn.TEXTSPLIT(SUBSTITUTE(SUBSTITUTE(P31," --&gt; ","+")," + ","+")," ","+"),_xlpm.rxnWithTRNA,_xlfn.VSTACK(_xlpm.rxn,_xlfn._xlws.FILTER(_xlpm.rxn,ISNUMBER(FIND("__L_c",_xlfn.CHOOSECOLS(_xlpm.rxn,2))))),CHAR(34)&amp;_xlfn.CHOOSECOLS(_xlpm.rxn,2)&amp;CHAR(34)&amp;":"&amp;_xlfn.CHOOSECOLS(_xlpm.rxn,1))</f>
        <v>"13BDglucan_c":0.684548</v>
      </c>
      <c r="R33" s="149" t="str" cm="1">
        <f t="array" ref="R33:R107">_xlfn.UNIQUE(_xlfn.VSTACK(SUBSTITUTE(SUBSTITUTE(_xlfn.ANCHORARRAY(P33),"__L_c","trna_c"),":",":-"),SUBSTITUTE(SUBSTITUTE("trna"&amp;_xlfn._xlws.FILTER(_xlfn.ANCHORARRAY(P33),ISNUMBER(FIND("__L_c",_xlfn.ANCHORARRAY(P33))),""),"trna"&amp;CHAR(34),CHAR(34)&amp;"trna"),"__L","")))</f>
        <v>"13BDglucan_c":-0.684548</v>
      </c>
      <c r="S33" s="149"/>
      <c r="T33" s="149" t="str" cm="1">
        <f t="array" ref="T33:U43">_xlfn.LET(_xlpm.rxn,_xlfn.TEXTSPLIT(SUBSTITUTE(SUBSTITUTE(T31," --&gt; ","+")," + ","+")," ","+"),_xlpm.rxnWithTRNA,_xlfn.VSTACK(_xlpm.rxn,_xlfn._xlws.FILTER(_xlpm.rxn,ISNUMBER(FIND("__L_c",_xlfn.CHOOSECOLS(_xlpm.rxn,2))))),_xlpm.new,CHAR(34)&amp;_xlfn.CHOOSECOLS(_xlpm.rxn,2)&amp;CHAR(34)&amp;":"&amp;_xlfn.CHOOSECOLS(_xlpm.rxn,1),_xlpm.rxn)</f>
        <v>0.01875</v>
      </c>
      <c r="U33" s="149" t="str">
        <v>docoscoa_c</v>
      </c>
      <c r="V33" s="149"/>
      <c r="AB33" t="str">
        <v>BIOSYN-COFACTOR-coa_c</v>
      </c>
      <c r="AC33" t="str">
        <v>MET-coa_c --&gt; 0.763502 BIO-coa_c</v>
      </c>
    </row>
    <row r="34" spans="1:29" ht="16" customHeight="1" x14ac:dyDescent="0.2">
      <c r="A34" s="142" t="s">
        <v>1445</v>
      </c>
      <c r="B34" t="str">
        <f>SUBSTITUTE(_xlfn.TEXTBEFORE(mets27[[#This Row],[pasted JSON metabolite keys and values from GSM biomass rxn]],":"),CHAR(34),"")</f>
        <v>gtp_c</v>
      </c>
      <c r="C34" t="str">
        <f>_xlfn.TEXTBEFORE(mets27[[#This Row],[name]],"_",-1)</f>
        <v>gtp</v>
      </c>
      <c r="D34" t="str">
        <f>_xlfn.XLOOKUP(mets27[[#This Row],[name w/o location]],metaboliteInfo[name w/o location],metaboliteInfo[suggested category],"")</f>
        <v>RNA</v>
      </c>
      <c r="E34" s="21">
        <f>_xlfn.XLOOKUP(mets27[[#This Row],[name w/o location]],metaboliteInfo[name w/o location],metaboliteInfo[MW for biomass normalization (g/mol)],0)</f>
        <v>344.19740100000001</v>
      </c>
      <c r="F34" s="21">
        <f>_xlfn.NUMBERVALUE(SUBSTITUTE(_xlfn.TEXTAFTER(mets27[[#This Row],[pasted JSON metabolite keys and values from GSM biomass rxn]],":"),",",""))</f>
        <v>-0.101863461493851</v>
      </c>
      <c r="G34" s="21" cm="1">
        <f t="array" ref="G34">_xlfn.LET(_xlpm.id,mets27[[#This Row],[name w/o location]],IF(IsElementOfSet_DIY(_xlpm.id,{"atp","adp","h","pi","h2o"}),SIGN(mets27[[#This Row],[raw (GSM) coefficient]])*(ABS(mets27[[#This Row],[raw (GSM) coefficient]])-$J$2),mets27[[#This Row],[raw (GSM) coefficient]]))</f>
        <v>-0.101863461493851</v>
      </c>
      <c r="H34" s="21">
        <f>mets27[[#This Row],[coeff. w/o GAM]]</f>
        <v>-0.101863461493851</v>
      </c>
      <c r="I34" s="161">
        <f t="shared" si="2"/>
        <v>-0.10123608919958675</v>
      </c>
      <c r="J34" s="21" cm="1">
        <f t="array" ref="J34">_xlfn.LET(_xlpm.id,mets27[[#This Row],[name w/o location]],_xlpm.oldcoeff,mets27[[#This Row],[normalized coeffs]],_xlpm.gam,$J$2-$G$2,_xlfn.IFS(IFERROR(MATCH(_xlpm.id,{"atp","h2o"},0),0)&gt;0,_xlpm.oldcoeff-_xlpm.gam,IFERROR(MATCH(_xlpm.id,{"adp","h","pi"},0),0)&gt;0,_xlpm.oldcoeff+_xlpm.gam,TRUE,_xlpm.oldcoeff))</f>
        <v>-0.10123608919958675</v>
      </c>
      <c r="K34" t="str" cm="1">
        <f t="array" ref="K34">"BIOSYN-"&amp;_xlfn.IFS(IFERROR(MATCH(mets27[[#This Row],[category]],{0,"0",""},0),0)&gt;0,mets27[[#This Row],[name]],TRUE,mets27[[#This Row],[category]]&amp;"-"&amp;mets27[[#This Row],[name]])</f>
        <v>BIOSYN-RNA-gtp_c</v>
      </c>
      <c r="L34" s="149" t="str" cm="1">
        <f t="array" ref="L34">IF(IsElementOfSet_DIY(mets27[[#This Row],[category]],{"ignore","PROT"}),"",_xlfn.LET(_xlpm.mw,mets27[[#This Row],[MW for biomass normalization (g/mol)]],"MET-"&amp;mets27[[#This Row],[name]]&amp;" --&gt; "&amp;IF((mets27[[#This Row],[category]]="DNA")+(mets27[[#This Row],[category]]="RNA"),"MET-ppi_c + ","")&amp;ROUND(ABS(_xlpm.mw/1000),6)&amp;" BIO-"&amp;mets27[[#This Row],[name]]))</f>
        <v>MET-gtp_c --&gt; MET-ppi_c + 0.344197 BIO-gtp_c</v>
      </c>
      <c r="M34" s="149" cm="1">
        <f t="array" ref="M3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-0.10186346149371078</v>
      </c>
      <c r="N34" s="149"/>
      <c r="O34" s="149"/>
      <c r="P34" s="149" t="str">
        <v>"16BDglucan_c":0.180144</v>
      </c>
      <c r="R34" s="149" t="str">
        <v>"16BDglucan_c":-0.180144</v>
      </c>
      <c r="S34" s="149"/>
      <c r="T34" s="149" t="str">
        <v>1</v>
      </c>
      <c r="U34" s="149" t="str">
        <v>h2o_c</v>
      </c>
      <c r="V34" s="149"/>
      <c r="AB34" t="str">
        <v>BIOSYN-COFACTOR-nadp_c</v>
      </c>
      <c r="AC34" t="str">
        <v>MET-nadp_c --&gt; 0.740381 BIO-nadp_c</v>
      </c>
    </row>
    <row r="35" spans="1:29" ht="16" customHeight="1" x14ac:dyDescent="0.2">
      <c r="A35" s="142" t="s">
        <v>1446</v>
      </c>
      <c r="B35" t="str">
        <f>SUBSTITUTE(_xlfn.TEXTBEFORE(mets27[[#This Row],[pasted JSON metabolite keys and values from GSM biomass rxn]],":"),CHAR(34),"")</f>
        <v>h_c</v>
      </c>
      <c r="C35" t="str">
        <f>_xlfn.TEXTBEFORE(mets27[[#This Row],[name]],"_",-1)</f>
        <v>h</v>
      </c>
      <c r="D35" t="str">
        <f>_xlfn.XLOOKUP(mets27[[#This Row],[name w/o location]],metaboliteInfo[name w/o location],metaboliteInfo[suggested category],"")</f>
        <v>GAM</v>
      </c>
      <c r="E35" s="21">
        <f>_xlfn.XLOOKUP(mets27[[#This Row],[name w/o location]],metaboliteInfo[name w/o location],metaboliteInfo[MW for biomass normalization (g/mol)],0)</f>
        <v>1.0079400000000001</v>
      </c>
      <c r="F35" s="21">
        <f>_xlfn.NUMBERVALUE(SUBSTITUTE(_xlfn.TEXTAFTER(mets27[[#This Row],[pasted JSON metabolite keys and values from GSM biomass rxn]],":"),",",""))</f>
        <v>190.580719491151</v>
      </c>
      <c r="G35" s="21" cm="1">
        <f t="array" ref="G35">_xlfn.LET(_xlpm.id,mets27[[#This Row],[name w/o location]],IF(IsElementOfSet_DIY(_xlpm.id,{"atp","adp","h","pi","h2o"}),SIGN(mets27[[#This Row],[raw (GSM) coefficient]])*(ABS(mets27[[#This Row],[raw (GSM) coefficient]])-$J$2),mets27[[#This Row],[raw (GSM) coefficient]]))</f>
        <v>1.7294911509964095E-3</v>
      </c>
      <c r="H35" s="21">
        <f>mets27[[#This Row],[coeff. w/o GAM]]</f>
        <v>1.7294911509964095E-3</v>
      </c>
      <c r="I35" s="161">
        <f t="shared" si="2"/>
        <v>1.7188392959013826E-3</v>
      </c>
      <c r="J35" s="21" cm="1">
        <f t="array" ref="J35">_xlfn.LET(_xlpm.id,mets27[[#This Row],[name w/o location]],_xlpm.oldcoeff,mets27[[#This Row],[normalized coeffs]],_xlpm.gam,$J$2-$G$2,_xlfn.IFS(IFERROR(MATCH(_xlpm.id,{"atp","h2o"},0),0)&gt;0,_xlpm.oldcoeff-_xlpm.gam,IFERROR(MATCH(_xlpm.id,{"adp","h","pi"},0),0)&gt;0,_xlpm.oldcoeff+_xlpm.gam,TRUE,_xlpm.oldcoeff))</f>
        <v>182.08070883929591</v>
      </c>
      <c r="K35" t="str" cm="1">
        <f t="array" ref="K35">"BIOSYN-"&amp;_xlfn.IFS(IFERROR(MATCH(mets27[[#This Row],[category]],{0,"0",""},0),0)&gt;0,mets27[[#This Row],[name]],TRUE,mets27[[#This Row],[category]]&amp;"-"&amp;mets27[[#This Row],[name]])</f>
        <v>BIOSYN-GAM-h_c</v>
      </c>
      <c r="L35" s="149" t="str" cm="1">
        <f t="array" ref="L35">IF(IsElementOfSet_DIY(mets27[[#This Row],[category]],{"ignore","PROT"}),"",_xlfn.LET(_xlpm.mw,mets27[[#This Row],[MW for biomass normalization (g/mol)]],"MET-"&amp;mets27[[#This Row],[name]]&amp;" --&gt; "&amp;IF((mets27[[#This Row],[category]]="DNA")+(mets27[[#This Row],[category]]="RNA"),"MET-ppi_c + ","")&amp;ROUND(ABS(_xlpm.mw/1000),6)&amp;" BIO-"&amp;mets27[[#This Row],[name]]))</f>
        <v>MET-h_c --&gt; 0.001008 BIO-h_c</v>
      </c>
      <c r="M35" s="149" cm="1">
        <f t="array" ref="M3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190.58070883929591</v>
      </c>
      <c r="N35" s="149"/>
      <c r="O35" s="149"/>
      <c r="P35" s="149" t="str">
        <v>"ala__L_c":0.405893</v>
      </c>
      <c r="R35" s="149" t="str">
        <v>"alatrna_c":-0.405893</v>
      </c>
      <c r="S35" s="149"/>
      <c r="T35" s="149" t="str">
        <v>0.355664</v>
      </c>
      <c r="U35" s="149" t="str">
        <v>linocoa_c</v>
      </c>
      <c r="V35" s="149"/>
      <c r="AB35" t="str">
        <v>BIOSYN-COFACTOR-nadph_c</v>
      </c>
      <c r="AC35" t="str">
        <v>MET-nadph_c --&gt; 0.741389 BIO-nadph_c</v>
      </c>
    </row>
    <row r="36" spans="1:29" ht="16" customHeight="1" x14ac:dyDescent="0.2">
      <c r="A36" s="142" t="s">
        <v>1447</v>
      </c>
      <c r="B36" t="str">
        <f>SUBSTITUTE(_xlfn.TEXTBEFORE(mets27[[#This Row],[pasted JSON metabolite keys and values from GSM biomass rxn]],":"),CHAR(34),"")</f>
        <v>h2o_c</v>
      </c>
      <c r="C36" t="str">
        <f>_xlfn.TEXTBEFORE(mets27[[#This Row],[name]],"_",-1)</f>
        <v>h2o</v>
      </c>
      <c r="D36" t="str">
        <f>_xlfn.XLOOKUP(mets27[[#This Row],[name w/o location]],metaboliteInfo[name w/o location],metaboliteInfo[suggested category],"")</f>
        <v>GAM</v>
      </c>
      <c r="E36" s="21">
        <f>_xlfn.XLOOKUP(mets27[[#This Row],[name w/o location]],metaboliteInfo[name w/o location],metaboliteInfo[MW for biomass normalization (g/mol)],0)</f>
        <v>18.015280000000001</v>
      </c>
      <c r="F36" s="21">
        <f>_xlfn.NUMBERVALUE(SUBSTITUTE(_xlfn.TEXTAFTER(mets27[[#This Row],[pasted JSON metabolite keys and values from GSM biomass rxn]],":"),",",""))</f>
        <v>-186.46551982458999</v>
      </c>
      <c r="G36" s="21" cm="1">
        <f t="array" ref="G36">_xlfn.LET(_xlpm.id,mets27[[#This Row],[name w/o location]],IF(IsElementOfSet_DIY(_xlpm.id,{"atp","adp","h","pi","h2o"}),SIGN(mets27[[#This Row],[raw (GSM) coefficient]])*(ABS(mets27[[#This Row],[raw (GSM) coefficient]])-$J$2),mets27[[#This Row],[raw (GSM) coefficient]]))</f>
        <v>4.1134701754100149</v>
      </c>
      <c r="H36" s="21">
        <f>mets27[[#This Row],[coeff. w/o GAM]]</f>
        <v>4.1134701754100149</v>
      </c>
      <c r="I36" s="161">
        <f t="shared" si="2"/>
        <v>4.0881355050239083</v>
      </c>
      <c r="J36" s="21" cm="1">
        <f t="array" ref="J36">_xlfn.LET(_xlpm.id,mets27[[#This Row],[name w/o location]],_xlpm.oldcoeff,mets27[[#This Row],[normalized coeffs]],_xlpm.gam,$J$2-$G$2,_xlfn.IFS(IFERROR(MATCH(_xlpm.id,{"atp","h2o"},0),0)&gt;0,_xlpm.oldcoeff-_xlpm.gam,IFERROR(MATCH(_xlpm.id,{"adp","h","pi"},0),0)&gt;0,_xlpm.oldcoeff+_xlpm.gam,TRUE,_xlpm.oldcoeff))</f>
        <v>-177.99085449497611</v>
      </c>
      <c r="K36" t="str" cm="1">
        <f t="array" ref="K36">"BIOSYN-"&amp;_xlfn.IFS(IFERROR(MATCH(mets27[[#This Row],[category]],{0,"0",""},0),0)&gt;0,mets27[[#This Row],[name]],TRUE,mets27[[#This Row],[category]]&amp;"-"&amp;mets27[[#This Row],[name]])</f>
        <v>BIOSYN-GAM-h2o_c</v>
      </c>
      <c r="L36" s="149" t="str" cm="1">
        <f t="array" ref="L36">IF(IsElementOfSet_DIY(mets27[[#This Row],[category]],{"ignore","PROT"}),"",_xlfn.LET(_xlpm.mw,mets27[[#This Row],[MW for biomass normalization (g/mol)]],"MET-"&amp;mets27[[#This Row],[name]]&amp;" --&gt; "&amp;IF((mets27[[#This Row],[category]]="DNA")+(mets27[[#This Row],[category]]="RNA"),"MET-ppi_c + ","")&amp;ROUND(ABS(_xlpm.mw/1000),6)&amp;" BIO-"&amp;mets27[[#This Row],[name]]))</f>
        <v>MET-h2o_c --&gt; 0.018015 BIO-h2o_c</v>
      </c>
      <c r="M36" s="149" cm="1">
        <f t="array" ref="M3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-186.49085449497611</v>
      </c>
      <c r="N36" s="149"/>
      <c r="O36" s="149"/>
      <c r="P36" s="149" t="str">
        <v>"arg__L_c":0.160363</v>
      </c>
      <c r="R36" s="149" t="str">
        <v>"argtrna_c":-0.160363</v>
      </c>
      <c r="S36" s="149"/>
      <c r="T36" s="149" t="str">
        <v>0.087612</v>
      </c>
      <c r="U36" s="149" t="str">
        <v>linolncoa_c</v>
      </c>
      <c r="V36" s="149"/>
      <c r="AB36" t="str">
        <v>BIOSYN-DNA-datp_c</v>
      </c>
      <c r="AC36" t="str">
        <v>MET-datp_c --&gt; MET-ppi_c + 0.312199 BIO-datp_c</v>
      </c>
    </row>
    <row r="37" spans="1:29" ht="16" x14ac:dyDescent="0.2">
      <c r="A37" s="144" t="s">
        <v>1482</v>
      </c>
      <c r="B37" t="str">
        <f>SUBSTITUTE(_xlfn.TEXTBEFORE(mets27[[#This Row],[pasted JSON metabolite keys and values from GSM biomass rxn]],":"),CHAR(34),"")</f>
        <v>histrna_c</v>
      </c>
      <c r="C37" t="str">
        <f>_xlfn.TEXTBEFORE(mets27[[#This Row],[name]],"_",-1)</f>
        <v>histrna</v>
      </c>
      <c r="D37" t="str">
        <f>_xlfn.XLOOKUP(mets27[[#This Row],[name w/o location]],metaboliteInfo[name w/o location],metaboliteInfo[suggested category],"")</f>
        <v>PROT</v>
      </c>
      <c r="E37" s="21">
        <f>_xlfn.XLOOKUP(mets27[[#This Row],[name w/o location]],metaboliteInfo[name w/o location],metaboliteInfo[MW for biomass normalization (g/mol)],0)</f>
        <v>138.14722</v>
      </c>
      <c r="F37" s="21">
        <f>_xlfn.NUMBERVALUE(SUBSTITUTE(_xlfn.TEXTAFTER(mets27[[#This Row],[pasted JSON metabolite keys and values from GSM biomass rxn]],":"),",",""))</f>
        <v>-8.5455330021343798E-2</v>
      </c>
      <c r="G37" s="21" cm="1">
        <f t="array" ref="G37">_xlfn.LET(_xlpm.id,mets27[[#This Row],[name w/o location]],IF(IsElementOfSet_DIY(_xlpm.id,{"atp","adp","h","pi","h2o"}),SIGN(mets27[[#This Row],[raw (GSM) coefficient]])*(ABS(mets27[[#This Row],[raw (GSM) coefficient]])-$J$2),mets27[[#This Row],[raw (GSM) coefficient]]))</f>
        <v>-8.5455330021343798E-2</v>
      </c>
      <c r="H37" s="21">
        <f>mets27[[#This Row],[coeff. w/o GAM]]</f>
        <v>-8.5455330021343798E-2</v>
      </c>
      <c r="I37" s="161">
        <f t="shared" si="2"/>
        <v>-8.4929014641261846E-2</v>
      </c>
      <c r="J37" s="21" cm="1">
        <f t="array" ref="J37">_xlfn.LET(_xlpm.id,mets27[[#This Row],[name w/o location]],_xlpm.oldcoeff,mets27[[#This Row],[normalized coeffs]],_xlpm.gam,$J$2-$G$2,_xlfn.IFS(IFERROR(MATCH(_xlpm.id,{"atp","h2o"},0),0)&gt;0,_xlpm.oldcoeff-_xlpm.gam,IFERROR(MATCH(_xlpm.id,{"adp","h","pi"},0),0)&gt;0,_xlpm.oldcoeff+_xlpm.gam,TRUE,_xlpm.oldcoeff))</f>
        <v>-8.4929014641261846E-2</v>
      </c>
      <c r="K37" t="str" cm="1">
        <f t="array" ref="K37">"BIOSYN-"&amp;_xlfn.IFS(IFERROR(MATCH(mets27[[#This Row],[category]],{0,"0",""},0),0)&gt;0,mets27[[#This Row],[name]],TRUE,mets27[[#This Row],[category]]&amp;"-"&amp;mets27[[#This Row],[name]])</f>
        <v>BIOSYN-PROT-histrna_c</v>
      </c>
      <c r="L37" s="149" t="str" cm="1">
        <f t="array" ref="L37">IF(IsElementOfSet_DIY(mets27[[#This Row],[category]],{"ignore","PROT"}),"",_xlfn.LET(_xlpm.mw,mets27[[#This Row],[MW for biomass normalization (g/mol)]],"MET-"&amp;mets27[[#This Row],[name]]&amp;" --&gt; "&amp;IF((mets27[[#This Row],[category]]="DNA")+(mets27[[#This Row],[category]]="RNA"),"MET-ppi_c + ","")&amp;ROUND(ABS(_xlpm.mw/1000),6)&amp;" BIO-"&amp;mets27[[#This Row],[name]]))</f>
        <v/>
      </c>
      <c r="M37" s="149" cm="1">
        <f t="array" ref="M3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-8.5491825260260557E-2</v>
      </c>
      <c r="N37" s="149"/>
      <c r="O37" s="149"/>
      <c r="P37" s="149" t="str">
        <v>"asn__L_c":0.192768</v>
      </c>
      <c r="R37" s="149" t="str">
        <v>"asntrna_c":-0.192768</v>
      </c>
      <c r="S37" s="149"/>
      <c r="T37" s="149" t="str">
        <v>0.207129</v>
      </c>
      <c r="U37" s="149" t="str">
        <v>odecoa_c</v>
      </c>
      <c r="V37" s="149"/>
      <c r="AB37" t="str">
        <v>BIOSYN-DNA-dctp_c</v>
      </c>
      <c r="AC37" t="str">
        <v>MET-dctp_c --&gt; MET-ppi_c + 0.288174 BIO-dctp_c</v>
      </c>
    </row>
    <row r="38" spans="1:29" ht="16" customHeight="1" x14ac:dyDescent="0.2">
      <c r="A38" s="142" t="s">
        <v>1448</v>
      </c>
      <c r="B38" t="str">
        <f>SUBSTITUTE(_xlfn.TEXTBEFORE(mets27[[#This Row],[pasted JSON metabolite keys and values from GSM biomass rxn]],":"),CHAR(34),"")</f>
        <v>hxccoa_c</v>
      </c>
      <c r="C38" t="str">
        <f>_xlfn.TEXTBEFORE(mets27[[#This Row],[name]],"_",-1)</f>
        <v>hxccoa</v>
      </c>
      <c r="D38" t="str">
        <f>_xlfn.XLOOKUP(mets27[[#This Row],[name w/o location]],metaboliteInfo[name w/o location],metaboliteInfo[suggested category],"")</f>
        <v>LIPID</v>
      </c>
      <c r="E38" s="21">
        <f>_xlfn.XLOOKUP(mets27[[#This Row],[name w/o location]],metaboliteInfo[name w/o location],metaboliteInfo[MW for biomass normalization (g/mol)],0)</f>
        <v>1142.1769629999999</v>
      </c>
      <c r="F38" s="21">
        <f>_xlfn.NUMBERVALUE(SUBSTITUTE(_xlfn.TEXTAFTER(mets27[[#This Row],[pasted JSON metabolite keys and values from GSM biomass rxn]],":"),",",""))</f>
        <v>-9.7445291956541199E-4</v>
      </c>
      <c r="G38" s="21" cm="1">
        <f t="array" ref="G38">_xlfn.LET(_xlpm.id,mets27[[#This Row],[name w/o location]],IF(IsElementOfSet_DIY(_xlpm.id,{"atp","adp","h","pi","h2o"}),SIGN(mets27[[#This Row],[raw (GSM) coefficient]])*(ABS(mets27[[#This Row],[raw (GSM) coefficient]])-$J$2),mets27[[#This Row],[raw (GSM) coefficient]]))</f>
        <v>-9.7445291956541199E-4</v>
      </c>
      <c r="H38" s="21">
        <f>mets27[[#This Row],[coeff. w/o GAM]]</f>
        <v>-9.7445291956541199E-4</v>
      </c>
      <c r="I38" s="161">
        <f t="shared" si="2"/>
        <v>-9.6845130961779446E-4</v>
      </c>
      <c r="J38" s="21" cm="1">
        <f t="array" ref="J38">_xlfn.LET(_xlpm.id,mets27[[#This Row],[name w/o location]],_xlpm.oldcoeff,mets27[[#This Row],[normalized coeffs]],_xlpm.gam,$J$2-$G$2,_xlfn.IFS(IFERROR(MATCH(_xlpm.id,{"atp","h2o"},0),0)&gt;0,_xlpm.oldcoeff-_xlpm.gam,IFERROR(MATCH(_xlpm.id,{"adp","h","pi"},0),0)&gt;0,_xlpm.oldcoeff+_xlpm.gam,TRUE,_xlpm.oldcoeff))</f>
        <v>-9.6845130961779446E-4</v>
      </c>
      <c r="K38" t="str" cm="1">
        <f t="array" ref="K38">"BIOSYN-"&amp;_xlfn.IFS(IFERROR(MATCH(mets27[[#This Row],[category]],{0,"0",""},0),0)&gt;0,mets27[[#This Row],[name]],TRUE,mets27[[#This Row],[category]]&amp;"-"&amp;mets27[[#This Row],[name]])</f>
        <v>BIOSYN-LIPID-hxccoa_c</v>
      </c>
      <c r="L38" s="149" t="str" cm="1">
        <f t="array" ref="L38">IF(IsElementOfSet_DIY(mets27[[#This Row],[category]],{"ignore","PROT"}),"",_xlfn.LET(_xlpm.mw,mets27[[#This Row],[MW for biomass normalization (g/mol)]],"MET-"&amp;mets27[[#This Row],[name]]&amp;" --&gt; "&amp;IF((mets27[[#This Row],[category]]="DNA")+(mets27[[#This Row],[category]]="RNA"),"MET-ppi_c + ","")&amp;ROUND(ABS(_xlpm.mw/1000),6)&amp;" BIO-"&amp;mets27[[#This Row],[name]]))</f>
        <v>MET-hxccoa_c --&gt; 1.142177 BIO-hxccoa_c</v>
      </c>
      <c r="M38" s="149" cm="1">
        <f t="array" ref="M3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-9.7445291956541199E-4</v>
      </c>
      <c r="N38" s="149"/>
      <c r="O38" s="149"/>
      <c r="P38" s="149" t="str">
        <v>"asp__L_c":0.192768</v>
      </c>
      <c r="R38" s="149" t="str">
        <v>"asptrna_c":-0.192768</v>
      </c>
      <c r="S38" s="149"/>
      <c r="T38" s="149" t="str">
        <v>0.1694</v>
      </c>
      <c r="U38" s="149" t="str">
        <v>pmtcoa_c</v>
      </c>
      <c r="V38" s="149"/>
      <c r="AB38" t="str">
        <v>BIOSYN-DNA-dgtp_c</v>
      </c>
      <c r="AC38" t="str">
        <v>MET-dgtp_c --&gt; MET-ppi_c + 0.328198 BIO-dgtp_c</v>
      </c>
    </row>
    <row r="39" spans="1:29" ht="16" x14ac:dyDescent="0.2">
      <c r="A39" s="144" t="s">
        <v>1483</v>
      </c>
      <c r="B39" t="str">
        <f>SUBSTITUTE(_xlfn.TEXTBEFORE(mets27[[#This Row],[pasted JSON metabolite keys and values from GSM biomass rxn]],":"),CHAR(34),"")</f>
        <v>iletrna_c</v>
      </c>
      <c r="C39" t="str">
        <f>_xlfn.TEXTBEFORE(mets27[[#This Row],[name]],"_",-1)</f>
        <v>iletrna</v>
      </c>
      <c r="D39" t="str">
        <f>_xlfn.XLOOKUP(mets27[[#This Row],[name w/o location]],metaboliteInfo[name w/o location],metaboliteInfo[suggested category],"")</f>
        <v>PROT</v>
      </c>
      <c r="E39" s="21">
        <f>_xlfn.XLOOKUP(mets27[[#This Row],[name w/o location]],metaboliteInfo[name w/o location],metaboliteInfo[MW for biomass normalization (g/mol)],0)</f>
        <v>114.16558000000001</v>
      </c>
      <c r="F39" s="21">
        <f>_xlfn.NUMBERVALUE(SUBSTITUTE(_xlfn.TEXTAFTER(mets27[[#This Row],[pasted JSON metabolite keys and values from GSM biomass rxn]],":"),",",""))</f>
        <v>-0.19760655547032999</v>
      </c>
      <c r="G39" s="21" cm="1">
        <f t="array" ref="G39">_xlfn.LET(_xlpm.id,mets27[[#This Row],[name w/o location]],IF(IsElementOfSet_DIY(_xlpm.id,{"atp","adp","h","pi","h2o"}),SIGN(mets27[[#This Row],[raw (GSM) coefficient]])*(ABS(mets27[[#This Row],[raw (GSM) coefficient]])-$J$2),mets27[[#This Row],[raw (GSM) coefficient]]))</f>
        <v>-0.19760655547032999</v>
      </c>
      <c r="H39" s="21">
        <f>mets27[[#This Row],[coeff. w/o GAM]]</f>
        <v>-0.19760655547032999</v>
      </c>
      <c r="I39" s="161">
        <f t="shared" si="2"/>
        <v>-0.19638950593903598</v>
      </c>
      <c r="J39" s="21" cm="1">
        <f t="array" ref="J39">_xlfn.LET(_xlpm.id,mets27[[#This Row],[name w/o location]],_xlpm.oldcoeff,mets27[[#This Row],[normalized coeffs]],_xlpm.gam,$J$2-$G$2,_xlfn.IFS(IFERROR(MATCH(_xlpm.id,{"atp","h2o"},0),0)&gt;0,_xlpm.oldcoeff-_xlpm.gam,IFERROR(MATCH(_xlpm.id,{"adp","h","pi"},0),0)&gt;0,_xlpm.oldcoeff+_xlpm.gam,TRUE,_xlpm.oldcoeff))</f>
        <v>-0.19638950593903598</v>
      </c>
      <c r="K39" t="str" cm="1">
        <f t="array" ref="K39">"BIOSYN-"&amp;_xlfn.IFS(IFERROR(MATCH(mets27[[#This Row],[category]],{0,"0",""},0),0)&gt;0,mets27[[#This Row],[name]],TRUE,mets27[[#This Row],[category]]&amp;"-"&amp;mets27[[#This Row],[name]])</f>
        <v>BIOSYN-PROT-iletrna_c</v>
      </c>
      <c r="L39" s="149" t="str" cm="1">
        <f t="array" ref="L39">IF(IsElementOfSet_DIY(mets27[[#This Row],[category]],{"ignore","PROT"}),"",_xlfn.LET(_xlpm.mw,mets27[[#This Row],[MW for biomass normalization (g/mol)]],"MET-"&amp;mets27[[#This Row],[name]]&amp;" --&gt; "&amp;IF((mets27[[#This Row],[category]]="DNA")+(mets27[[#This Row],[category]]="RNA"),"MET-ppi_c + ","")&amp;ROUND(ABS(_xlpm.mw/1000),6)&amp;" BIO-"&amp;mets27[[#This Row],[name]]))</f>
        <v/>
      </c>
      <c r="M39" s="149" cm="1">
        <f t="array" ref="M3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-0.1976909469114678</v>
      </c>
      <c r="N39" s="149"/>
      <c r="O39" s="149"/>
      <c r="P39" s="149" t="str">
        <v>"atp_c":190.647337</v>
      </c>
      <c r="R39" s="149" t="str">
        <v>"atp_c":-190.647337</v>
      </c>
      <c r="S39" s="149"/>
      <c r="T39" s="149" t="str">
        <v>0.112806</v>
      </c>
      <c r="U39" s="149" t="str">
        <v>stcoa_c</v>
      </c>
      <c r="V39" s="149"/>
      <c r="AB39" t="str">
        <v>BIOSYN-DNA-dttp_c</v>
      </c>
      <c r="AC39" t="str">
        <v>MET-dttp_c --&gt; MET-ppi_c + 0.303185 BIO-dttp_c</v>
      </c>
    </row>
    <row r="40" spans="1:29" ht="16" customHeight="1" x14ac:dyDescent="0.2">
      <c r="A40" s="142" t="s">
        <v>1449</v>
      </c>
      <c r="B40" t="str">
        <f>SUBSTITUTE(_xlfn.TEXTBEFORE(mets27[[#This Row],[pasted JSON metabolite keys and values from GSM biomass rxn]],":"),CHAR(34),"")</f>
        <v>k_c</v>
      </c>
      <c r="C40" t="str">
        <f>_xlfn.TEXTBEFORE(mets27[[#This Row],[name]],"_",-1)</f>
        <v>k</v>
      </c>
      <c r="D40" t="str">
        <f>_xlfn.XLOOKUP(mets27[[#This Row],[name w/o location]],metaboliteInfo[name w/o location],metaboliteInfo[suggested category],"")</f>
        <v>METAL</v>
      </c>
      <c r="E40" s="21">
        <f>_xlfn.XLOOKUP(mets27[[#This Row],[name w/o location]],metaboliteInfo[name w/o location],metaboliteInfo[MW for biomass normalization (g/mol)],0)</f>
        <v>39.098300000000002</v>
      </c>
      <c r="F40" s="21">
        <f>_xlfn.NUMBERVALUE(SUBSTITUTE(_xlfn.TEXTAFTER(mets27[[#This Row],[pasted JSON metabolite keys and values from GSM biomass rxn]],":"),",",""))</f>
        <v>-0.58822850489566103</v>
      </c>
      <c r="G40" s="21" cm="1">
        <f t="array" ref="G40">_xlfn.LET(_xlpm.id,mets27[[#This Row],[name w/o location]],IF(IsElementOfSet_DIY(_xlpm.id,{"atp","adp","h","pi","h2o"}),SIGN(mets27[[#This Row],[raw (GSM) coefficient]])*(ABS(mets27[[#This Row],[raw (GSM) coefficient]])-$J$2),mets27[[#This Row],[raw (GSM) coefficient]]))</f>
        <v>-0.58822850489566103</v>
      </c>
      <c r="H40" s="21">
        <f>mets27[[#This Row],[coeff. w/o GAM]]</f>
        <v>-0.58822850489566103</v>
      </c>
      <c r="I40" s="161">
        <f t="shared" si="2"/>
        <v>-0.58460563305078173</v>
      </c>
      <c r="J40" s="21" cm="1">
        <f t="array" ref="J40">_xlfn.LET(_xlpm.id,mets27[[#This Row],[name w/o location]],_xlpm.oldcoeff,mets27[[#This Row],[normalized coeffs]],_xlpm.gam,$J$2-$G$2,_xlfn.IFS(IFERROR(MATCH(_xlpm.id,{"atp","h2o"},0),0)&gt;0,_xlpm.oldcoeff-_xlpm.gam,IFERROR(MATCH(_xlpm.id,{"adp","h","pi"},0),0)&gt;0,_xlpm.oldcoeff+_xlpm.gam,TRUE,_xlpm.oldcoeff))</f>
        <v>-0.58460563305078173</v>
      </c>
      <c r="K40" t="str" cm="1">
        <f t="array" ref="K40">"BIOSYN-"&amp;_xlfn.IFS(IFERROR(MATCH(mets27[[#This Row],[category]],{0,"0",""},0),0)&gt;0,mets27[[#This Row],[name]],TRUE,mets27[[#This Row],[category]]&amp;"-"&amp;mets27[[#This Row],[name]])</f>
        <v>BIOSYN-METAL-k_c</v>
      </c>
      <c r="L40" s="149" t="str" cm="1">
        <f t="array" ref="L40">IF(IsElementOfSet_DIY(mets27[[#This Row],[category]],{"ignore","PROT"}),"",_xlfn.LET(_xlpm.mw,mets27[[#This Row],[MW for biomass normalization (g/mol)]],"MET-"&amp;mets27[[#This Row],[name]]&amp;" --&gt; "&amp;IF((mets27[[#This Row],[category]]="DNA")+(mets27[[#This Row],[category]]="RNA"),"MET-ppi_c + ","")&amp;ROUND(ABS(_xlpm.mw/1000),6)&amp;" BIO-"&amp;mets27[[#This Row],[name]]))</f>
        <v>MET-k_c --&gt; 0.039098 BIO-k_c</v>
      </c>
      <c r="M40" s="149" cm="1">
        <f t="array" ref="M4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-0.58822850489566114</v>
      </c>
      <c r="N40" s="149"/>
      <c r="O40" s="149"/>
      <c r="P40" s="149" t="str">
        <v>"ca2_c":0.001286</v>
      </c>
      <c r="R40" s="149" t="str">
        <v>"ca2_c":-0.001286</v>
      </c>
      <c r="S40" s="149"/>
      <c r="T40" s="149" t="str">
        <v>0.048639</v>
      </c>
      <c r="U40" s="149" t="str">
        <v>ttccoa_c</v>
      </c>
      <c r="V40" s="149"/>
      <c r="AB40" t="str">
        <v>BIOSYN-LIPID-dag_c</v>
      </c>
      <c r="AC40" t="str">
        <v>MET-dag_c --&gt; 0.317078 BIO-dag_c</v>
      </c>
    </row>
    <row r="41" spans="1:29" ht="16" x14ac:dyDescent="0.2">
      <c r="A41" s="144" t="s">
        <v>1484</v>
      </c>
      <c r="B41" t="str">
        <f>SUBSTITUTE(_xlfn.TEXTBEFORE(mets27[[#This Row],[pasted JSON metabolite keys and values from GSM biomass rxn]],":"),CHAR(34),"")</f>
        <v>leutrna_c</v>
      </c>
      <c r="C41" t="str">
        <f>_xlfn.TEXTBEFORE(mets27[[#This Row],[name]],"_",-1)</f>
        <v>leutrna</v>
      </c>
      <c r="D41" t="str">
        <f>_xlfn.XLOOKUP(mets27[[#This Row],[name w/o location]],metaboliteInfo[name w/o location],metaboliteInfo[suggested category],"")</f>
        <v>PROT</v>
      </c>
      <c r="E41" s="21">
        <f>_xlfn.XLOOKUP(mets27[[#This Row],[name w/o location]],metaboliteInfo[name w/o location],metaboliteInfo[MW for biomass normalization (g/mol)],0)</f>
        <v>114.16558000000001</v>
      </c>
      <c r="F41" s="21">
        <f>_xlfn.NUMBERVALUE(SUBSTITUTE(_xlfn.TEXTAFTER(mets27[[#This Row],[pasted JSON metabolite keys and values from GSM biomass rxn]],":"),",",""))</f>
        <v>-0.369919580722333</v>
      </c>
      <c r="G41" s="21" cm="1">
        <f t="array" ref="G41">_xlfn.LET(_xlpm.id,mets27[[#This Row],[name w/o location]],IF(IsElementOfSet_DIY(_xlpm.id,{"atp","adp","h","pi","h2o"}),SIGN(mets27[[#This Row],[raw (GSM) coefficient]])*(ABS(mets27[[#This Row],[raw (GSM) coefficient]])-$J$2),mets27[[#This Row],[raw (GSM) coefficient]]))</f>
        <v>-0.369919580722333</v>
      </c>
      <c r="H41" s="21">
        <f>mets27[[#This Row],[coeff. w/o GAM]]</f>
        <v>-0.369919580722333</v>
      </c>
      <c r="I41" s="161">
        <f t="shared" ref="I41:I72" si="3">H41/($H$3)</f>
        <v>-0.3676412633291522</v>
      </c>
      <c r="J41" s="21" cm="1">
        <f t="array" ref="J41">_xlfn.LET(_xlpm.id,mets27[[#This Row],[name w/o location]],_xlpm.oldcoeff,mets27[[#This Row],[normalized coeffs]],_xlpm.gam,$J$2-$G$2,_xlfn.IFS(IFERROR(MATCH(_xlpm.id,{"atp","h2o"},0),0)&gt;0,_xlpm.oldcoeff-_xlpm.gam,IFERROR(MATCH(_xlpm.id,{"adp","h","pi"},0),0)&gt;0,_xlpm.oldcoeff+_xlpm.gam,TRUE,_xlpm.oldcoeff))</f>
        <v>-0.3676412633291522</v>
      </c>
      <c r="K41" t="str" cm="1">
        <f t="array" ref="K41">"BIOSYN-"&amp;_xlfn.IFS(IFERROR(MATCH(mets27[[#This Row],[category]],{0,"0",""},0),0)&gt;0,mets27[[#This Row],[name]],TRUE,mets27[[#This Row],[category]]&amp;"-"&amp;mets27[[#This Row],[name]])</f>
        <v>BIOSYN-PROT-leutrna_c</v>
      </c>
      <c r="L41" s="149" t="str" cm="1">
        <f t="array" ref="L41">IF(IsElementOfSet_DIY(mets27[[#This Row],[category]],{"ignore","PROT"}),"",_xlfn.LET(_xlpm.mw,mets27[[#This Row],[MW for biomass normalization (g/mol)]],"MET-"&amp;mets27[[#This Row],[name]]&amp;" --&gt; "&amp;IF((mets27[[#This Row],[category]]="DNA")+(mets27[[#This Row],[category]]="RNA"),"MET-ppi_c + ","")&amp;ROUND(ABS(_xlpm.mw/1000),6)&amp;" BIO-"&amp;mets27[[#This Row],[name]]))</f>
        <v/>
      </c>
      <c r="M41" s="149" cm="1">
        <f t="array" ref="M4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-0.37007756154664295</v>
      </c>
      <c r="N41" s="149"/>
      <c r="O41" s="149"/>
      <c r="P41" s="149" t="str">
        <v>"chtn_c":0.016184</v>
      </c>
      <c r="R41" s="149" t="str">
        <v>"chtn_c":-0.016184</v>
      </c>
      <c r="S41" s="149"/>
      <c r="T41" s="149" t="str">
        <v>1</v>
      </c>
      <c r="U41" s="149" t="str">
        <v>coa_c</v>
      </c>
      <c r="V41" s="149"/>
      <c r="AB41" t="str">
        <v>BIOSYN-LIPID-docoscoa_c</v>
      </c>
      <c r="AC41" t="str">
        <v>MET-docoscoa_c --&gt; 1.086071 BIO-docoscoa_c</v>
      </c>
    </row>
    <row r="42" spans="1:29" ht="16" customHeight="1" x14ac:dyDescent="0.2">
      <c r="A42" s="142" t="s">
        <v>1450</v>
      </c>
      <c r="B42" t="str">
        <f>SUBSTITUTE(_xlfn.TEXTBEFORE(mets27[[#This Row],[pasted JSON metabolite keys and values from GSM biomass rxn]],":"),CHAR(34),"")</f>
        <v>linocoa_c</v>
      </c>
      <c r="C42" t="str">
        <f>_xlfn.TEXTBEFORE(mets27[[#This Row],[name]],"_",-1)</f>
        <v>linocoa</v>
      </c>
      <c r="D42" t="str">
        <f>_xlfn.XLOOKUP(mets27[[#This Row],[name w/o location]],metaboliteInfo[name w/o location],metaboliteInfo[suggested category],"")</f>
        <v>LIPID</v>
      </c>
      <c r="E42" s="21">
        <f>_xlfn.XLOOKUP(mets27[[#This Row],[name w/o location]],metaboliteInfo[name w/o location],metaboliteInfo[MW for biomass normalization (g/mol)],0)</f>
        <v>1025.9325630000001</v>
      </c>
      <c r="F42" s="21">
        <f>_xlfn.NUMBERVALUE(SUBSTITUTE(_xlfn.TEXTAFTER(mets27[[#This Row],[pasted JSON metabolite keys and values from GSM biomass rxn]],":"),",",""))</f>
        <v>-2.57507322625944E-4</v>
      </c>
      <c r="G42" s="21" cm="1">
        <f t="array" ref="G42">_xlfn.LET(_xlpm.id,mets27[[#This Row],[name w/o location]],IF(IsElementOfSet_DIY(_xlpm.id,{"atp","adp","h","pi","h2o"}),SIGN(mets27[[#This Row],[raw (GSM) coefficient]])*(ABS(mets27[[#This Row],[raw (GSM) coefficient]])-$J$2),mets27[[#This Row],[raw (GSM) coefficient]]))</f>
        <v>-2.57507322625944E-4</v>
      </c>
      <c r="H42" s="21">
        <f>mets27[[#This Row],[coeff. w/o GAM]]</f>
        <v>-2.57507322625944E-4</v>
      </c>
      <c r="I42" s="161">
        <f t="shared" si="3"/>
        <v>-2.5592134707183979E-4</v>
      </c>
      <c r="J42" s="21" cm="1">
        <f t="array" ref="J42">_xlfn.LET(_xlpm.id,mets27[[#This Row],[name w/o location]],_xlpm.oldcoeff,mets27[[#This Row],[normalized coeffs]],_xlpm.gam,$J$2-$G$2,_xlfn.IFS(IFERROR(MATCH(_xlpm.id,{"atp","h2o"},0),0)&gt;0,_xlpm.oldcoeff-_xlpm.gam,IFERROR(MATCH(_xlpm.id,{"adp","h","pi"},0),0)&gt;0,_xlpm.oldcoeff+_xlpm.gam,TRUE,_xlpm.oldcoeff))</f>
        <v>-2.5592134707183979E-4</v>
      </c>
      <c r="K42" t="str" cm="1">
        <f t="array" ref="K42">"BIOSYN-"&amp;_xlfn.IFS(IFERROR(MATCH(mets27[[#This Row],[category]],{0,"0",""},0),0)&gt;0,mets27[[#This Row],[name]],TRUE,mets27[[#This Row],[category]]&amp;"-"&amp;mets27[[#This Row],[name]])</f>
        <v>BIOSYN-LIPID-linocoa_c</v>
      </c>
      <c r="L42" s="149" t="str" cm="1">
        <f t="array" ref="L42">IF(IsElementOfSet_DIY(mets27[[#This Row],[category]],{"ignore","PROT"}),"",_xlfn.LET(_xlpm.mw,mets27[[#This Row],[MW for biomass normalization (g/mol)]],"MET-"&amp;mets27[[#This Row],[name]]&amp;" --&gt; "&amp;IF((mets27[[#This Row],[category]]="DNA")+(mets27[[#This Row],[category]]="RNA"),"MET-ppi_c + ","")&amp;ROUND(ABS(_xlpm.mw/1000),6)&amp;" BIO-"&amp;mets27[[#This Row],[name]]))</f>
        <v>MET-linocoa_c --&gt; 1.025933 BIO-linocoa_c</v>
      </c>
      <c r="M42" s="149" cm="1">
        <f t="array" ref="M4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-2.57507322625944E-4</v>
      </c>
      <c r="N42" s="149"/>
      <c r="O42" s="149"/>
      <c r="P42" s="149" t="str">
        <v>"ctp_c":0.119302</v>
      </c>
      <c r="R42" s="149" t="str">
        <v>"ctp_c":-0.119302</v>
      </c>
      <c r="S42" s="149"/>
      <c r="T42" s="149" t="str">
        <v>1</v>
      </c>
      <c r="U42" s="149" t="str">
        <v>ffabiom_c</v>
      </c>
      <c r="V42" s="149"/>
      <c r="AB42" t="str">
        <v>BIOSYN-LIPID-ergst_c</v>
      </c>
      <c r="AC42" t="str">
        <v>MET-ergst_c --&gt; 0.396648 BIO-ergst_c</v>
      </c>
    </row>
    <row r="43" spans="1:29" ht="16" customHeight="1" x14ac:dyDescent="0.2">
      <c r="A43" s="142" t="s">
        <v>1451</v>
      </c>
      <c r="B43" t="str">
        <f>SUBSTITUTE(_xlfn.TEXTBEFORE(mets27[[#This Row],[pasted JSON metabolite keys and values from GSM biomass rxn]],":"),CHAR(34),"")</f>
        <v>linolncoa_c</v>
      </c>
      <c r="C43" t="str">
        <f>_xlfn.TEXTBEFORE(mets27[[#This Row],[name]],"_",-1)</f>
        <v>linolncoa</v>
      </c>
      <c r="D43" t="str">
        <f>_xlfn.XLOOKUP(mets27[[#This Row],[name w/o location]],metaboliteInfo[name w/o location],metaboliteInfo[suggested category],"")</f>
        <v>LIPID</v>
      </c>
      <c r="E43" s="21">
        <f>_xlfn.XLOOKUP(mets27[[#This Row],[name w/o location]],metaboliteInfo[name w/o location],metaboliteInfo[MW for biomass normalization (g/mol)],0)</f>
        <v>1023.91668299999</v>
      </c>
      <c r="F43" s="21">
        <f>_xlfn.NUMBERVALUE(SUBSTITUTE(_xlfn.TEXTAFTER(mets27[[#This Row],[pasted JSON metabolite keys and values from GSM biomass rxn]],":"),",",""))</f>
        <v>-6.3432710507400905E-5</v>
      </c>
      <c r="G43" s="21" cm="1">
        <f t="array" ref="G43">_xlfn.LET(_xlpm.id,mets27[[#This Row],[name w/o location]],IF(IsElementOfSet_DIY(_xlpm.id,{"atp","adp","h","pi","h2o"}),SIGN(mets27[[#This Row],[raw (GSM) coefficient]])*(ABS(mets27[[#This Row],[raw (GSM) coefficient]])-$J$2),mets27[[#This Row],[raw (GSM) coefficient]]))</f>
        <v>-6.3432710507400905E-5</v>
      </c>
      <c r="H43" s="21">
        <f>mets27[[#This Row],[coeff. w/o GAM]]</f>
        <v>-6.3432710507400905E-5</v>
      </c>
      <c r="I43" s="161">
        <f t="shared" si="3"/>
        <v>-6.3042031410708016E-5</v>
      </c>
      <c r="J43" s="21" cm="1">
        <f t="array" ref="J43">_xlfn.LET(_xlpm.id,mets27[[#This Row],[name w/o location]],_xlpm.oldcoeff,mets27[[#This Row],[normalized coeffs]],_xlpm.gam,$J$2-$G$2,_xlfn.IFS(IFERROR(MATCH(_xlpm.id,{"atp","h2o"},0),0)&gt;0,_xlpm.oldcoeff-_xlpm.gam,IFERROR(MATCH(_xlpm.id,{"adp","h","pi"},0),0)&gt;0,_xlpm.oldcoeff+_xlpm.gam,TRUE,_xlpm.oldcoeff))</f>
        <v>-6.3042031410708016E-5</v>
      </c>
      <c r="K43" t="str" cm="1">
        <f t="array" ref="K43">"BIOSYN-"&amp;_xlfn.IFS(IFERROR(MATCH(mets27[[#This Row],[category]],{0,"0",""},0),0)&gt;0,mets27[[#This Row],[name]],TRUE,mets27[[#This Row],[category]]&amp;"-"&amp;mets27[[#This Row],[name]])</f>
        <v>BIOSYN-LIPID-linolncoa_c</v>
      </c>
      <c r="L43" s="149" t="str" cm="1">
        <f t="array" ref="L43">IF(IsElementOfSet_DIY(mets27[[#This Row],[category]],{"ignore","PROT"}),"",_xlfn.LET(_xlpm.mw,mets27[[#This Row],[MW for biomass normalization (g/mol)]],"MET-"&amp;mets27[[#This Row],[name]]&amp;" --&gt; "&amp;IF((mets27[[#This Row],[category]]="DNA")+(mets27[[#This Row],[category]]="RNA"),"MET-ppi_c + ","")&amp;ROUND(ABS(_xlpm.mw/1000),6)&amp;" BIO-"&amp;mets27[[#This Row],[name]]))</f>
        <v>MET-linolncoa_c --&gt; 1.023917 BIO-linolncoa_c</v>
      </c>
      <c r="M43" s="149" cm="1">
        <f t="array" ref="M4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-6.3432710507400905E-5</v>
      </c>
      <c r="N43" s="149"/>
      <c r="O43" s="149"/>
      <c r="P43" s="149" t="str">
        <v>"cu2_c":0.000114</v>
      </c>
      <c r="R43" s="149" t="str">
        <v>"cu2_c":-0.000114</v>
      </c>
      <c r="S43" s="149"/>
      <c r="T43" s="149" t="str">
        <v>1</v>
      </c>
      <c r="U43" s="149" t="str">
        <v>h_c</v>
      </c>
      <c r="V43" s="149"/>
      <c r="AB43" t="str">
        <v>BIOSYN-LIPID-ergstest_c</v>
      </c>
      <c r="AC43" t="str">
        <v>MET-ergstest_c --&gt; 0.660084 BIO-ergstest_c</v>
      </c>
    </row>
    <row r="44" spans="1:29" ht="16" x14ac:dyDescent="0.2">
      <c r="A44" s="144" t="s">
        <v>1485</v>
      </c>
      <c r="B44" t="str">
        <f>SUBSTITUTE(_xlfn.TEXTBEFORE(mets27[[#This Row],[pasted JSON metabolite keys and values from GSM biomass rxn]],":"),CHAR(34),"")</f>
        <v>lystrna_c</v>
      </c>
      <c r="C44" t="str">
        <f>_xlfn.TEXTBEFORE(mets27[[#This Row],[name]],"_",-1)</f>
        <v>lystrna</v>
      </c>
      <c r="D44" t="str">
        <f>_xlfn.XLOOKUP(mets27[[#This Row],[name w/o location]],metaboliteInfo[name w/o location],metaboliteInfo[suggested category],"")</f>
        <v>PROT</v>
      </c>
      <c r="E44" s="21">
        <f>_xlfn.XLOOKUP(mets27[[#This Row],[name w/o location]],metaboliteInfo[name w/o location],metaboliteInfo[MW for biomass normalization (g/mol)],0)</f>
        <v>130.18816000000001</v>
      </c>
      <c r="F44" s="21">
        <f>_xlfn.NUMBERVALUE(SUBSTITUTE(_xlfn.TEXTAFTER(mets27[[#This Row],[pasted JSON metabolite keys and values from GSM biomass rxn]],":"),",",""))</f>
        <v>-0.26928506541805902</v>
      </c>
      <c r="G44" s="21" cm="1">
        <f t="array" ref="G44">_xlfn.LET(_xlpm.id,mets27[[#This Row],[name w/o location]],IF(IsElementOfSet_DIY(_xlpm.id,{"atp","adp","h","pi","h2o"}),SIGN(mets27[[#This Row],[raw (GSM) coefficient]])*(ABS(mets27[[#This Row],[raw (GSM) coefficient]])-$J$2),mets27[[#This Row],[raw (GSM) coefficient]]))</f>
        <v>-0.26928506541805902</v>
      </c>
      <c r="H44" s="21">
        <f>mets27[[#This Row],[coeff. w/o GAM]]</f>
        <v>-0.26928506541805902</v>
      </c>
      <c r="I44" s="161">
        <f t="shared" si="3"/>
        <v>-0.26762655129704982</v>
      </c>
      <c r="J44" s="21" cm="1">
        <f t="array" ref="J44">_xlfn.LET(_xlpm.id,mets27[[#This Row],[name w/o location]],_xlpm.oldcoeff,mets27[[#This Row],[normalized coeffs]],_xlpm.gam,$J$2-$G$2,_xlfn.IFS(IFERROR(MATCH(_xlpm.id,{"atp","h2o"},0),0)&gt;0,_xlpm.oldcoeff-_xlpm.gam,IFERROR(MATCH(_xlpm.id,{"adp","h","pi"},0),0)&gt;0,_xlpm.oldcoeff+_xlpm.gam,TRUE,_xlpm.oldcoeff))</f>
        <v>-0.26762655129704982</v>
      </c>
      <c r="K44" t="str" cm="1">
        <f t="array" ref="K44">"BIOSYN-"&amp;_xlfn.IFS(IFERROR(MATCH(mets27[[#This Row],[category]],{0,"0",""},0),0)&gt;0,mets27[[#This Row],[name]],TRUE,mets27[[#This Row],[category]]&amp;"-"&amp;mets27[[#This Row],[name]])</f>
        <v>BIOSYN-PROT-lystrna_c</v>
      </c>
      <c r="L44" s="149" t="str" cm="1">
        <f t="array" ref="L44">IF(IsElementOfSet_DIY(mets27[[#This Row],[category]],{"ignore","PROT"}),"",_xlfn.LET(_xlpm.mw,mets27[[#This Row],[MW for biomass normalization (g/mol)]],"MET-"&amp;mets27[[#This Row],[name]]&amp;" --&gt; "&amp;IF((mets27[[#This Row],[category]]="DNA")+(mets27[[#This Row],[category]]="RNA"),"MET-ppi_c + ","")&amp;ROUND(ABS(_xlpm.mw/1000),6)&amp;" BIO-"&amp;mets27[[#This Row],[name]]))</f>
        <v/>
      </c>
      <c r="M44" s="149" cm="1">
        <f t="array" ref="M4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-0.26940006845879028</v>
      </c>
      <c r="N44" s="149"/>
      <c r="O44" s="149"/>
      <c r="P44" s="149" t="str">
        <v>"cys__L_c":0.005816</v>
      </c>
      <c r="R44" s="149" t="str">
        <v>"cystrna_c":-0.005816</v>
      </c>
      <c r="S44" s="149"/>
      <c r="T44" s="149"/>
      <c r="U44" s="149"/>
      <c r="V44" s="149"/>
      <c r="AB44" t="str">
        <v>BIOSYN-LIPID-hxccoa_c</v>
      </c>
      <c r="AC44" t="str">
        <v>MET-hxccoa_c --&gt; 1.142177 BIO-hxccoa_c</v>
      </c>
    </row>
    <row r="45" spans="1:29" ht="16" customHeight="1" x14ac:dyDescent="0.2">
      <c r="A45" s="142" t="s">
        <v>1452</v>
      </c>
      <c r="B45" t="str">
        <f>SUBSTITUTE(_xlfn.TEXTBEFORE(mets27[[#This Row],[pasted JSON metabolite keys and values from GSM biomass rxn]],":"),CHAR(34),"")</f>
        <v>mannan_c</v>
      </c>
      <c r="C45" t="str">
        <f>_xlfn.TEXTBEFORE(mets27[[#This Row],[name]],"_",-1)</f>
        <v>mannan</v>
      </c>
      <c r="D45" t="str">
        <f>_xlfn.XLOOKUP(mets27[[#This Row],[name w/o location]],metaboliteInfo[name w/o location],metaboliteInfo[suggested category],"")</f>
        <v>CARB</v>
      </c>
      <c r="E45" s="21">
        <f>_xlfn.XLOOKUP(mets27[[#This Row],[name w/o location]],metaboliteInfo[name w/o location],metaboliteInfo[MW for biomass normalization (g/mol)],0)</f>
        <v>162.14060000000001</v>
      </c>
      <c r="F45" s="21">
        <f>_xlfn.NUMBERVALUE(SUBSTITUTE(_xlfn.TEXTAFTER(mets27[[#This Row],[pasted JSON metabolite keys and values from GSM biomass rxn]],":"),",",""))</f>
        <v>-0.477628098524987</v>
      </c>
      <c r="G45" s="21" cm="1">
        <f t="array" ref="G45">_xlfn.LET(_xlpm.id,mets27[[#This Row],[name w/o location]],IF(IsElementOfSet_DIY(_xlpm.id,{"atp","adp","h","pi","h2o"}),SIGN(mets27[[#This Row],[raw (GSM) coefficient]])*(ABS(mets27[[#This Row],[raw (GSM) coefficient]])-$J$2),mets27[[#This Row],[raw (GSM) coefficient]]))</f>
        <v>-0.477628098524987</v>
      </c>
      <c r="H45" s="21">
        <f>mets27[[#This Row],[coeff. w/o GAM]]</f>
        <v>-0.477628098524987</v>
      </c>
      <c r="I45" s="161">
        <f t="shared" si="3"/>
        <v>-0.47468640940916224</v>
      </c>
      <c r="J45" s="21" cm="1">
        <f t="array" ref="J45">_xlfn.LET(_xlpm.id,mets27[[#This Row],[name w/o location]],_xlpm.oldcoeff,mets27[[#This Row],[normalized coeffs]],_xlpm.gam,$J$2-$G$2,_xlfn.IFS(IFERROR(MATCH(_xlpm.id,{"atp","h2o"},0),0)&gt;0,_xlpm.oldcoeff-_xlpm.gam,IFERROR(MATCH(_xlpm.id,{"adp","h","pi"},0),0)&gt;0,_xlpm.oldcoeff+_xlpm.gam,TRUE,_xlpm.oldcoeff))</f>
        <v>-0.47468640940916224</v>
      </c>
      <c r="K45" t="str" cm="1">
        <f t="array" ref="K45">"BIOSYN-"&amp;_xlfn.IFS(IFERROR(MATCH(mets27[[#This Row],[category]],{0,"0",""},0),0)&gt;0,mets27[[#This Row],[name]],TRUE,mets27[[#This Row],[category]]&amp;"-"&amp;mets27[[#This Row],[name]])</f>
        <v>BIOSYN-CARB-mannan_c</v>
      </c>
      <c r="L45" s="149" t="str" cm="1">
        <f t="array" ref="L45">IF(IsElementOfSet_DIY(mets27[[#This Row],[category]],{"ignore","PROT"}),"",_xlfn.LET(_xlpm.mw,mets27[[#This Row],[MW for biomass normalization (g/mol)]],"MET-"&amp;mets27[[#This Row],[name]]&amp;" --&gt; "&amp;IF((mets27[[#This Row],[category]]="DNA")+(mets27[[#This Row],[category]]="RNA"),"MET-ppi_c + ","")&amp;ROUND(ABS(_xlpm.mw/1000),6)&amp;" BIO-"&amp;mets27[[#This Row],[name]]))</f>
        <v>MET-mannan_c --&gt; 0.162141 BIO-mannan_c</v>
      </c>
      <c r="M45" s="149" cm="1">
        <f t="array" ref="M4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-0.477628098524987</v>
      </c>
      <c r="N45" s="149"/>
      <c r="O45" s="149"/>
      <c r="P45" s="149" t="str">
        <v>"datp_c":0.006009</v>
      </c>
      <c r="R45" s="149" t="str">
        <v>"datp_c":-0.006009</v>
      </c>
      <c r="S45" s="149"/>
      <c r="T45" s="149" cm="1">
        <f t="array" ref="T45:T55">_xlfn.CHOOSECOLS(_xlfn.ANCHORARRAY(T33),1)*0.000743</f>
        <v>1.3931249999999998E-5</v>
      </c>
      <c r="U45" s="149"/>
      <c r="V45" s="149"/>
      <c r="AB45" t="str">
        <v>BIOSYN-LIPID-linocoa_c</v>
      </c>
      <c r="AC45" t="str">
        <v>MET-linocoa_c --&gt; 1.025933 BIO-linocoa_c</v>
      </c>
    </row>
    <row r="46" spans="1:29" ht="16" x14ac:dyDescent="0.2">
      <c r="A46" s="144" t="s">
        <v>1486</v>
      </c>
      <c r="B46" t="str">
        <f>SUBSTITUTE(_xlfn.TEXTBEFORE(mets27[[#This Row],[pasted JSON metabolite keys and values from GSM biomass rxn]],":"),CHAR(34),"")</f>
        <v>mettrna_c</v>
      </c>
      <c r="C46" t="str">
        <f>_xlfn.TEXTBEFORE(mets27[[#This Row],[name]],"_",-1)</f>
        <v>mettrna</v>
      </c>
      <c r="D46" t="str">
        <f>_xlfn.XLOOKUP(mets27[[#This Row],[name w/o location]],metaboliteInfo[name w/o location],metaboliteInfo[suggested category],"")</f>
        <v>PROT</v>
      </c>
      <c r="E46" s="21">
        <f>_xlfn.XLOOKUP(mets27[[#This Row],[name w/o location]],metaboliteInfo[name w/o location],metaboliteInfo[MW for biomass normalization (g/mol)],0)</f>
        <v>132.20400000000001</v>
      </c>
      <c r="F46" s="21">
        <f>_xlfn.NUMBERVALUE(SUBSTITUTE(_xlfn.TEXTAFTER(mets27[[#This Row],[pasted JSON metabolite keys and values from GSM biomass rxn]],":"),",",""))</f>
        <v>-8.4949595682646706E-2</v>
      </c>
      <c r="G46" s="21" cm="1">
        <f t="array" ref="G46">_xlfn.LET(_xlpm.id,mets27[[#This Row],[name w/o location]],IF(IsElementOfSet_DIY(_xlpm.id,{"atp","adp","h","pi","h2o"}),SIGN(mets27[[#This Row],[raw (GSM) coefficient]])*(ABS(mets27[[#This Row],[raw (GSM) coefficient]])-$J$2),mets27[[#This Row],[raw (GSM) coefficient]]))</f>
        <v>-8.4949595682646706E-2</v>
      </c>
      <c r="H46" s="21">
        <f>mets27[[#This Row],[coeff. w/o GAM]]</f>
        <v>-8.4949595682646706E-2</v>
      </c>
      <c r="I46" s="161">
        <f t="shared" si="3"/>
        <v>-8.4426395096699011E-2</v>
      </c>
      <c r="J46" s="21" cm="1">
        <f t="array" ref="J46">_xlfn.LET(_xlpm.id,mets27[[#This Row],[name w/o location]],_xlpm.oldcoeff,mets27[[#This Row],[normalized coeffs]],_xlpm.gam,$J$2-$G$2,_xlfn.IFS(IFERROR(MATCH(_xlpm.id,{"atp","h2o"},0),0)&gt;0,_xlpm.oldcoeff-_xlpm.gam,IFERROR(MATCH(_xlpm.id,{"adp","h","pi"},0),0)&gt;0,_xlpm.oldcoeff+_xlpm.gam,TRUE,_xlpm.oldcoeff))</f>
        <v>-8.4426395096699011E-2</v>
      </c>
      <c r="K46" t="str" cm="1">
        <f t="array" ref="K46">"BIOSYN-"&amp;_xlfn.IFS(IFERROR(MATCH(mets27[[#This Row],[category]],{0,"0",""},0),0)&gt;0,mets27[[#This Row],[name]],TRUE,mets27[[#This Row],[category]]&amp;"-"&amp;mets27[[#This Row],[name]])</f>
        <v>BIOSYN-PROT-mettrna_c</v>
      </c>
      <c r="L46" s="149" t="str" cm="1">
        <f t="array" ref="L46">IF(IsElementOfSet_DIY(mets27[[#This Row],[category]],{"ignore","PROT"}),"",_xlfn.LET(_xlpm.mw,mets27[[#This Row],[MW for biomass normalization (g/mol)]],"MET-"&amp;mets27[[#This Row],[name]]&amp;" --&gt; "&amp;IF((mets27[[#This Row],[category]]="DNA")+(mets27[[#This Row],[category]]="RNA"),"MET-ppi_c + ","")&amp;ROUND(ABS(_xlpm.mw/1000),6)&amp;" BIO-"&amp;mets27[[#This Row],[name]]))</f>
        <v/>
      </c>
      <c r="M46" s="149" cm="1">
        <f t="array" ref="M4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-8.4985874938598868E-2</v>
      </c>
      <c r="N46" s="149"/>
      <c r="O46" s="149"/>
      <c r="P46" s="149" t="str">
        <v>"dctp_c":0.009379</v>
      </c>
      <c r="R46" s="149" t="str">
        <v>"dctp_c":-0.009379</v>
      </c>
      <c r="S46" s="149"/>
      <c r="T46" s="149">
        <v>7.4299999999999995E-4</v>
      </c>
      <c r="U46" s="149"/>
      <c r="V46" s="149"/>
      <c r="AB46" t="str">
        <v>BIOSYN-LIPID-linolncoa_c</v>
      </c>
      <c r="AC46" t="str">
        <v>MET-linolncoa_c --&gt; 1.023917 BIO-linolncoa_c</v>
      </c>
    </row>
    <row r="47" spans="1:29" ht="16" customHeight="1" x14ac:dyDescent="0.2">
      <c r="A47" s="142" t="s">
        <v>1453</v>
      </c>
      <c r="B47" t="str">
        <f>SUBSTITUTE(_xlfn.TEXTBEFORE(mets27[[#This Row],[pasted JSON metabolite keys and values from GSM biomass rxn]],":"),CHAR(34),"")</f>
        <v>mg2_c</v>
      </c>
      <c r="C47" t="str">
        <f>_xlfn.TEXTBEFORE(mets27[[#This Row],[name]],"_",-1)</f>
        <v>mg2</v>
      </c>
      <c r="D47" t="str">
        <f>_xlfn.XLOOKUP(mets27[[#This Row],[name w/o location]],metaboliteInfo[name w/o location],metaboliteInfo[suggested category],"")</f>
        <v>METAL</v>
      </c>
      <c r="E47" s="21">
        <f>_xlfn.XLOOKUP(mets27[[#This Row],[name w/o location]],metaboliteInfo[name w/o location],metaboliteInfo[MW for biomass normalization (g/mol)],0)</f>
        <v>24.305</v>
      </c>
      <c r="F47" s="21">
        <f>_xlfn.NUMBERVALUE(SUBSTITUTE(_xlfn.TEXTAFTER(mets27[[#This Row],[pasted JSON metabolite keys and values from GSM biomass rxn]],":"),",",""))</f>
        <v>-6.1982026854797201E-2</v>
      </c>
      <c r="G47" s="21" cm="1">
        <f t="array" ref="G47">_xlfn.LET(_xlpm.id,mets27[[#This Row],[name w/o location]],IF(IsElementOfSet_DIY(_xlpm.id,{"atp","adp","h","pi","h2o"}),SIGN(mets27[[#This Row],[raw (GSM) coefficient]])*(ABS(mets27[[#This Row],[raw (GSM) coefficient]])-$J$2),mets27[[#This Row],[raw (GSM) coefficient]]))</f>
        <v>-6.1982026854797201E-2</v>
      </c>
      <c r="H47" s="21">
        <f>mets27[[#This Row],[coeff. w/o GAM]]</f>
        <v>-6.1982026854797201E-2</v>
      </c>
      <c r="I47" s="161">
        <f t="shared" si="3"/>
        <v>-6.1600282450859092E-2</v>
      </c>
      <c r="J47" s="21" cm="1">
        <f t="array" ref="J47">_xlfn.LET(_xlpm.id,mets27[[#This Row],[name w/o location]],_xlpm.oldcoeff,mets27[[#This Row],[normalized coeffs]],_xlpm.gam,$J$2-$G$2,_xlfn.IFS(IFERROR(MATCH(_xlpm.id,{"atp","h2o"},0),0)&gt;0,_xlpm.oldcoeff-_xlpm.gam,IFERROR(MATCH(_xlpm.id,{"adp","h","pi"},0),0)&gt;0,_xlpm.oldcoeff+_xlpm.gam,TRUE,_xlpm.oldcoeff))</f>
        <v>-6.1600282450859092E-2</v>
      </c>
      <c r="K47" t="str" cm="1">
        <f t="array" ref="K47">"BIOSYN-"&amp;_xlfn.IFS(IFERROR(MATCH(mets27[[#This Row],[category]],{0,"0",""},0),0)&gt;0,mets27[[#This Row],[name]],TRUE,mets27[[#This Row],[category]]&amp;"-"&amp;mets27[[#This Row],[name]])</f>
        <v>BIOSYN-METAL-mg2_c</v>
      </c>
      <c r="L47" s="149" t="str" cm="1">
        <f t="array" ref="L47">IF(IsElementOfSet_DIY(mets27[[#This Row],[category]],{"ignore","PROT"}),"",_xlfn.LET(_xlpm.mw,mets27[[#This Row],[MW for biomass normalization (g/mol)]],"MET-"&amp;mets27[[#This Row],[name]]&amp;" --&gt; "&amp;IF((mets27[[#This Row],[category]]="DNA")+(mets27[[#This Row],[category]]="RNA"),"MET-ppi_c + ","")&amp;ROUND(ABS(_xlpm.mw/1000),6)&amp;" BIO-"&amp;mets27[[#This Row],[name]]))</f>
        <v>MET-mg2_c --&gt; 0.024305 BIO-mg2_c</v>
      </c>
      <c r="M47" s="149" cm="1">
        <f t="array" ref="M4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-6.1982026854797215E-2</v>
      </c>
      <c r="N47" s="149"/>
      <c r="O47" s="149"/>
      <c r="P47" s="149" t="str">
        <v>"dgtp_c":0.009379</v>
      </c>
      <c r="R47" s="149" t="str">
        <v>"dgtp_c":-0.009379</v>
      </c>
      <c r="S47" s="149"/>
      <c r="T47" s="149">
        <v>2.6425835199999997E-4</v>
      </c>
      <c r="U47" s="149"/>
      <c r="V47" s="149"/>
      <c r="AB47" t="str">
        <v>BIOSYN-LIPID-odecoa_c</v>
      </c>
      <c r="AC47" t="str">
        <v>MET-odecoa_c --&gt; 1.027948 BIO-odecoa_c</v>
      </c>
    </row>
    <row r="48" spans="1:29" ht="16" customHeight="1" x14ac:dyDescent="0.2">
      <c r="A48" s="142" t="s">
        <v>1454</v>
      </c>
      <c r="B48" t="str">
        <f>SUBSTITUTE(_xlfn.TEXTBEFORE(mets27[[#This Row],[pasted JSON metabolite keys and values from GSM biomass rxn]],":"),CHAR(34),"")</f>
        <v>mn2_c</v>
      </c>
      <c r="C48" t="str">
        <f>_xlfn.TEXTBEFORE(mets27[[#This Row],[name]],"_",-1)</f>
        <v>mn2</v>
      </c>
      <c r="D48" t="str">
        <f>_xlfn.XLOOKUP(mets27[[#This Row],[name w/o location]],metaboliteInfo[name w/o location],metaboliteInfo[suggested category],"")</f>
        <v>METAL</v>
      </c>
      <c r="E48" s="21">
        <f>_xlfn.XLOOKUP(mets27[[#This Row],[name w/o location]],metaboliteInfo[name w/o location],metaboliteInfo[MW for biomass normalization (g/mol)],0)</f>
        <v>54.938043999999998</v>
      </c>
      <c r="F48" s="21">
        <f>_xlfn.NUMBERVALUE(SUBSTITUTE(_xlfn.TEXTAFTER(mets27[[#This Row],[pasted JSON metabolite keys and values from GSM biomass rxn]],":"),",",""))</f>
        <v>-9.1598574439148795E-5</v>
      </c>
      <c r="G48" s="21" cm="1">
        <f t="array" ref="G48">_xlfn.LET(_xlpm.id,mets27[[#This Row],[name w/o location]],IF(IsElementOfSet_DIY(_xlpm.id,{"atp","adp","h","pi","h2o"}),SIGN(mets27[[#This Row],[raw (GSM) coefficient]])*(ABS(mets27[[#This Row],[raw (GSM) coefficient]])-$J$2),mets27[[#This Row],[raw (GSM) coefficient]]))</f>
        <v>-9.1598574439148795E-5</v>
      </c>
      <c r="H48" s="21">
        <f>mets27[[#This Row],[coeff. w/o GAM]]</f>
        <v>-9.1598574439148795E-5</v>
      </c>
      <c r="I48" s="161">
        <f t="shared" si="3"/>
        <v>-9.1034423104072743E-5</v>
      </c>
      <c r="J48" s="21" cm="1">
        <f t="array" ref="J48">_xlfn.LET(_xlpm.id,mets27[[#This Row],[name w/o location]],_xlpm.oldcoeff,mets27[[#This Row],[normalized coeffs]],_xlpm.gam,$J$2-$G$2,_xlfn.IFS(IFERROR(MATCH(_xlpm.id,{"atp","h2o"},0),0)&gt;0,_xlpm.oldcoeff-_xlpm.gam,IFERROR(MATCH(_xlpm.id,{"adp","h","pi"},0),0)&gt;0,_xlpm.oldcoeff+_xlpm.gam,TRUE,_xlpm.oldcoeff))</f>
        <v>-9.1034423104072743E-5</v>
      </c>
      <c r="K48" t="str" cm="1">
        <f t="array" ref="K48">"BIOSYN-"&amp;_xlfn.IFS(IFERROR(MATCH(mets27[[#This Row],[category]],{0,"0",""},0),0)&gt;0,mets27[[#This Row],[name]],TRUE,mets27[[#This Row],[category]]&amp;"-"&amp;mets27[[#This Row],[name]])</f>
        <v>BIOSYN-METAL-mn2_c</v>
      </c>
      <c r="L48" s="149" t="str" cm="1">
        <f t="array" ref="L48">IF(IsElementOfSet_DIY(mets27[[#This Row],[category]],{"ignore","PROT"}),"",_xlfn.LET(_xlpm.mw,mets27[[#This Row],[MW for biomass normalization (g/mol)]],"MET-"&amp;mets27[[#This Row],[name]]&amp;" --&gt; "&amp;IF((mets27[[#This Row],[category]]="DNA")+(mets27[[#This Row],[category]]="RNA"),"MET-ppi_c + ","")&amp;ROUND(ABS(_xlpm.mw/1000),6)&amp;" BIO-"&amp;mets27[[#This Row],[name]]))</f>
        <v>MET-mn2_c --&gt; 0.054938 BIO-mn2_c</v>
      </c>
      <c r="M48" s="149" cm="1">
        <f t="array" ref="M4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-9.1598574439148809E-5</v>
      </c>
      <c r="N48" s="149"/>
      <c r="O48" s="149"/>
      <c r="P48" s="149" t="str">
        <v>"dttp_c":0.006009</v>
      </c>
      <c r="R48" s="149" t="str">
        <v>"dttp_c":-0.006009</v>
      </c>
      <c r="S48" s="149"/>
      <c r="T48" s="149">
        <v>6.5095715999999998E-5</v>
      </c>
      <c r="U48" s="149"/>
      <c r="V48" s="149"/>
      <c r="AB48" t="str">
        <v>BIOSYN-LIPID-pail_c</v>
      </c>
      <c r="AC48" t="str">
        <v>MET-pail_c --&gt; 0.862149 BIO-pail_c</v>
      </c>
    </row>
    <row r="49" spans="1:29" ht="16" x14ac:dyDescent="0.2">
      <c r="A49" s="142" t="s">
        <v>1455</v>
      </c>
      <c r="B49" t="str">
        <f>SUBSTITUTE(_xlfn.TEXTBEFORE(mets27[[#This Row],[pasted JSON metabolite keys and values from GSM biomass rxn]],":"),CHAR(34),"")</f>
        <v>nadp_c</v>
      </c>
      <c r="C49" t="str">
        <f>_xlfn.TEXTBEFORE(mets27[[#This Row],[name]],"_",-1)</f>
        <v>nadp</v>
      </c>
      <c r="D49" t="str">
        <f>_xlfn.XLOOKUP(mets27[[#This Row],[name w/o location]],metaboliteInfo[name w/o location],metaboliteInfo[suggested category],"")</f>
        <v>COFACTOR</v>
      </c>
      <c r="E49" s="21">
        <f>_xlfn.XLOOKUP(mets27[[#This Row],[name w/o location]],metaboliteInfo[name w/o location],metaboliteInfo[MW for biomass normalization (g/mol)],0)</f>
        <v>740.38118299999996</v>
      </c>
      <c r="F49" s="21">
        <f>_xlfn.NUMBERVALUE(SUBSTITUTE(_xlfn.TEXTAFTER(mets27[[#This Row],[pasted JSON metabolite keys and values from GSM biomass rxn]],":"),",",""))</f>
        <v>2.92335875869624E-3</v>
      </c>
      <c r="G49" s="21" cm="1">
        <f t="array" ref="G49">_xlfn.LET(_xlpm.id,mets27[[#This Row],[name w/o location]],IF(IsElementOfSet_DIY(_xlpm.id,{"atp","adp","h","pi","h2o"}),SIGN(mets27[[#This Row],[raw (GSM) coefficient]])*(ABS(mets27[[#This Row],[raw (GSM) coefficient]])-$J$2),mets27[[#This Row],[raw (GSM) coefficient]]))</f>
        <v>2.92335875869624E-3</v>
      </c>
      <c r="H49" s="21">
        <f>mets27[[#This Row],[coeff. w/o GAM]]</f>
        <v>2.92335875869624E-3</v>
      </c>
      <c r="I49" s="161">
        <f t="shared" si="3"/>
        <v>2.9053539288533873E-3</v>
      </c>
      <c r="J49" s="21" cm="1">
        <f t="array" ref="J49">_xlfn.LET(_xlpm.id,mets27[[#This Row],[name w/o location]],_xlpm.oldcoeff,mets27[[#This Row],[normalized coeffs]],_xlpm.gam,$J$2-$G$2,_xlfn.IFS(IFERROR(MATCH(_xlpm.id,{"atp","h2o"},0),0)&gt;0,_xlpm.oldcoeff-_xlpm.gam,IFERROR(MATCH(_xlpm.id,{"adp","h","pi"},0),0)&gt;0,_xlpm.oldcoeff+_xlpm.gam,TRUE,_xlpm.oldcoeff))</f>
        <v>2.9053539288533873E-3</v>
      </c>
      <c r="K49" t="str" cm="1">
        <f t="array" ref="K49">"BIOSYN-"&amp;_xlfn.IFS(IFERROR(MATCH(mets27[[#This Row],[category]],{0,"0",""},0),0)&gt;0,mets27[[#This Row],[name]],TRUE,mets27[[#This Row],[category]]&amp;"-"&amp;mets27[[#This Row],[name]])</f>
        <v>BIOSYN-COFACTOR-nadp_c</v>
      </c>
      <c r="L49" s="149" t="str" cm="1">
        <f t="array" ref="L49">IF(IsElementOfSet_DIY(mets27[[#This Row],[category]],{"ignore","PROT"}),"",_xlfn.LET(_xlpm.mw,mets27[[#This Row],[MW for biomass normalization (g/mol)]],"MET-"&amp;mets27[[#This Row],[name]]&amp;" --&gt; "&amp;IF((mets27[[#This Row],[category]]="DNA")+(mets27[[#This Row],[category]]="RNA"),"MET-ppi_c + ","")&amp;ROUND(ABS(_xlpm.mw/1000),6)&amp;" BIO-"&amp;mets27[[#This Row],[name]]))</f>
        <v>MET-nadp_c --&gt; 0.740381 BIO-nadp_c</v>
      </c>
      <c r="M49" s="149" cm="1">
        <f t="array" ref="M4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2.92335875869624E-3</v>
      </c>
      <c r="N49" s="149"/>
      <c r="O49" s="149"/>
      <c r="P49" s="149" t="str">
        <v>"ergst_c":0.042867</v>
      </c>
      <c r="R49" s="149" t="str">
        <v>"ergst_c":-0.042867</v>
      </c>
      <c r="S49" s="149"/>
      <c r="T49" s="149">
        <v>1.53896847E-4</v>
      </c>
      <c r="U49" s="149"/>
      <c r="V49" s="149"/>
      <c r="AB49" t="str">
        <v>BIOSYN-LIPID-pc_c</v>
      </c>
      <c r="AC49" t="str">
        <v>MET-pc_c --&gt; 0.786166 BIO-pc_c</v>
      </c>
    </row>
    <row r="50" spans="1:29" ht="16" x14ac:dyDescent="0.2">
      <c r="A50" s="142" t="s">
        <v>1456</v>
      </c>
      <c r="B50" t="str">
        <f>SUBSTITUTE(_xlfn.TEXTBEFORE(mets27[[#This Row],[pasted JSON metabolite keys and values from GSM biomass rxn]],":"),CHAR(34),"")</f>
        <v>nadph_c</v>
      </c>
      <c r="C50" t="str">
        <f>_xlfn.TEXTBEFORE(mets27[[#This Row],[name]],"_",-1)</f>
        <v>nadph</v>
      </c>
      <c r="D50" t="str">
        <f>_xlfn.XLOOKUP(mets27[[#This Row],[name w/o location]],metaboliteInfo[name w/o location],metaboliteInfo[suggested category],"")</f>
        <v>COFACTOR</v>
      </c>
      <c r="E50" s="21">
        <f>_xlfn.XLOOKUP(mets27[[#This Row],[name w/o location]],metaboliteInfo[name w/o location],metaboliteInfo[MW for biomass normalization (g/mol)],0)</f>
        <v>741.38912300000004</v>
      </c>
      <c r="F50" s="21">
        <f>_xlfn.NUMBERVALUE(SUBSTITUTE(_xlfn.TEXTAFTER(mets27[[#This Row],[pasted JSON metabolite keys and values from GSM biomass rxn]],":"),",",""))</f>
        <v>-2.92335875869624E-3</v>
      </c>
      <c r="G50" s="21" cm="1">
        <f t="array" ref="G50">_xlfn.LET(_xlpm.id,mets27[[#This Row],[name w/o location]],IF(IsElementOfSet_DIY(_xlpm.id,{"atp","adp","h","pi","h2o"}),SIGN(mets27[[#This Row],[raw (GSM) coefficient]])*(ABS(mets27[[#This Row],[raw (GSM) coefficient]])-$J$2),mets27[[#This Row],[raw (GSM) coefficient]]))</f>
        <v>-2.92335875869624E-3</v>
      </c>
      <c r="H50" s="21">
        <f>mets27[[#This Row],[coeff. w/o GAM]]</f>
        <v>-2.92335875869624E-3</v>
      </c>
      <c r="I50" s="161">
        <f t="shared" si="3"/>
        <v>-2.9053539288533873E-3</v>
      </c>
      <c r="J50" s="21" cm="1">
        <f t="array" ref="J50">_xlfn.LET(_xlpm.id,mets27[[#This Row],[name w/o location]],_xlpm.oldcoeff,mets27[[#This Row],[normalized coeffs]],_xlpm.gam,$J$2-$G$2,_xlfn.IFS(IFERROR(MATCH(_xlpm.id,{"atp","h2o"},0),0)&gt;0,_xlpm.oldcoeff-_xlpm.gam,IFERROR(MATCH(_xlpm.id,{"adp","h","pi"},0),0)&gt;0,_xlpm.oldcoeff+_xlpm.gam,TRUE,_xlpm.oldcoeff))</f>
        <v>-2.9053539288533873E-3</v>
      </c>
      <c r="K50" t="str" cm="1">
        <f t="array" ref="K50">"BIOSYN-"&amp;_xlfn.IFS(IFERROR(MATCH(mets27[[#This Row],[category]],{0,"0",""},0),0)&gt;0,mets27[[#This Row],[name]],TRUE,mets27[[#This Row],[category]]&amp;"-"&amp;mets27[[#This Row],[name]])</f>
        <v>BIOSYN-COFACTOR-nadph_c</v>
      </c>
      <c r="L50" s="149" t="str" cm="1">
        <f t="array" ref="L50">IF(IsElementOfSet_DIY(mets27[[#This Row],[category]],{"ignore","PROT"}),"",_xlfn.LET(_xlpm.mw,mets27[[#This Row],[MW for biomass normalization (g/mol)]],"MET-"&amp;mets27[[#This Row],[name]]&amp;" --&gt; "&amp;IF((mets27[[#This Row],[category]]="DNA")+(mets27[[#This Row],[category]]="RNA"),"MET-ppi_c + ","")&amp;ROUND(ABS(_xlpm.mw/1000),6)&amp;" BIO-"&amp;mets27[[#This Row],[name]]))</f>
        <v>MET-nadph_c --&gt; 0.741389 BIO-nadph_c</v>
      </c>
      <c r="M50" s="149" cm="1">
        <f t="array" ref="M5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-2.92335875869624E-3</v>
      </c>
      <c r="N50" s="149"/>
      <c r="O50" s="149"/>
      <c r="P50" s="149" t="str">
        <v>"ergstest_c":0.010634</v>
      </c>
      <c r="R50" s="149" t="str">
        <v>"ergstest_c":-0.010634</v>
      </c>
      <c r="S50" s="149"/>
      <c r="T50" s="149">
        <v>1.2586419999999999E-4</v>
      </c>
      <c r="U50" s="149"/>
      <c r="V50" s="149"/>
      <c r="AB50" t="str">
        <v>BIOSYN-LIPID-pe_c</v>
      </c>
      <c r="AC50" t="str">
        <v>MET-pe_c --&gt; 0.744086 BIO-pe_c</v>
      </c>
    </row>
    <row r="51" spans="1:29" ht="16" x14ac:dyDescent="0.2">
      <c r="A51" s="142" t="s">
        <v>1457</v>
      </c>
      <c r="B51" t="str">
        <f>SUBSTITUTE(_xlfn.TEXTBEFORE(mets27[[#This Row],[pasted JSON metabolite keys and values from GSM biomass rxn]],":"),CHAR(34),"")</f>
        <v>o2_c</v>
      </c>
      <c r="C51" t="str">
        <f>_xlfn.TEXTBEFORE(mets27[[#This Row],[name]],"_",-1)</f>
        <v>o2</v>
      </c>
      <c r="D51" t="str">
        <f>_xlfn.XLOOKUP(mets27[[#This Row],[name w/o location]],metaboliteInfo[name w/o location],metaboliteInfo[suggested category],"")</f>
        <v>other</v>
      </c>
      <c r="E51" s="21">
        <f>_xlfn.XLOOKUP(mets27[[#This Row],[name w/o location]],metaboliteInfo[name w/o location],metaboliteInfo[MW for biomass normalization (g/mol)],0)</f>
        <v>31.998799999999999</v>
      </c>
      <c r="F51" s="21">
        <f>_xlfn.NUMBERVALUE(SUBSTITUTE(_xlfn.TEXTAFTER(mets27[[#This Row],[pasted JSON metabolite keys and values from GSM biomass rxn]],":"),",",""))</f>
        <v>-9.7445291956541199E-4</v>
      </c>
      <c r="G51" s="21" cm="1">
        <f t="array" ref="G51">_xlfn.LET(_xlpm.id,mets27[[#This Row],[name w/o location]],IF(IsElementOfSet_DIY(_xlpm.id,{"atp","adp","h","pi","h2o"}),SIGN(mets27[[#This Row],[raw (GSM) coefficient]])*(ABS(mets27[[#This Row],[raw (GSM) coefficient]])-$J$2),mets27[[#This Row],[raw (GSM) coefficient]]))</f>
        <v>-9.7445291956541199E-4</v>
      </c>
      <c r="H51" s="21">
        <f>mets27[[#This Row],[coeff. w/o GAM]]</f>
        <v>-9.7445291956541199E-4</v>
      </c>
      <c r="I51" s="161">
        <f t="shared" si="3"/>
        <v>-9.6845130961779446E-4</v>
      </c>
      <c r="J51" s="21" cm="1">
        <f t="array" ref="J51">_xlfn.LET(_xlpm.id,mets27[[#This Row],[name w/o location]],_xlpm.oldcoeff,mets27[[#This Row],[normalized coeffs]],_xlpm.gam,$J$2-$G$2,_xlfn.IFS(IFERROR(MATCH(_xlpm.id,{"atp","h2o"},0),0)&gt;0,_xlpm.oldcoeff-_xlpm.gam,IFERROR(MATCH(_xlpm.id,{"adp","h","pi"},0),0)&gt;0,_xlpm.oldcoeff+_xlpm.gam,TRUE,_xlpm.oldcoeff))</f>
        <v>-9.6845130961779446E-4</v>
      </c>
      <c r="K51" t="str" cm="1">
        <f t="array" ref="K51">"BIOSYN-"&amp;_xlfn.IFS(IFERROR(MATCH(mets27[[#This Row],[category]],{0,"0",""},0),0)&gt;0,mets27[[#This Row],[name]],TRUE,mets27[[#This Row],[category]]&amp;"-"&amp;mets27[[#This Row],[name]])</f>
        <v>BIOSYN-other-o2_c</v>
      </c>
      <c r="L51" s="149" t="str" cm="1">
        <f t="array" ref="L51">IF(IsElementOfSet_DIY(mets27[[#This Row],[category]],{"ignore","PROT"}),"",_xlfn.LET(_xlpm.mw,mets27[[#This Row],[MW for biomass normalization (g/mol)]],"MET-"&amp;mets27[[#This Row],[name]]&amp;" --&gt; "&amp;IF((mets27[[#This Row],[category]]="DNA")+(mets27[[#This Row],[category]]="RNA"),"MET-ppi_c + ","")&amp;ROUND(ABS(_xlpm.mw/1000),6)&amp;" BIO-"&amp;mets27[[#This Row],[name]]))</f>
        <v>MET-o2_c --&gt; 0.031999 BIO-o2_c</v>
      </c>
      <c r="M51" s="149" cm="1">
        <f t="array" ref="M5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-9.7445291956541568E-4</v>
      </c>
      <c r="N51" s="149"/>
      <c r="O51" s="149"/>
      <c r="P51" s="149" t="str">
        <v>"fe2_c":0.000664</v>
      </c>
      <c r="R51" s="149" t="str">
        <v>"fe2_c":-0.000664</v>
      </c>
      <c r="S51" s="149"/>
      <c r="T51" s="149">
        <v>8.3814857999999994E-5</v>
      </c>
      <c r="U51" s="149"/>
      <c r="V51" s="149"/>
      <c r="AB51" t="str">
        <v>BIOSYN-LIPID-pmtcoa_c</v>
      </c>
      <c r="AC51" t="str">
        <v>MET-pmtcoa_c --&gt; 1.001911 BIO-pmtcoa_c</v>
      </c>
    </row>
    <row r="52" spans="1:29" ht="16" x14ac:dyDescent="0.2">
      <c r="A52" s="142" t="s">
        <v>1458</v>
      </c>
      <c r="B52" t="str">
        <f>SUBSTITUTE(_xlfn.TEXTBEFORE(mets27[[#This Row],[pasted JSON metabolite keys and values from GSM biomass rxn]],":"),CHAR(34),"")</f>
        <v>odecoa_c</v>
      </c>
      <c r="C52" t="str">
        <f>_xlfn.TEXTBEFORE(mets27[[#This Row],[name]],"_",-1)</f>
        <v>odecoa</v>
      </c>
      <c r="D52" t="str">
        <f>_xlfn.XLOOKUP(mets27[[#This Row],[name w/o location]],metaboliteInfo[name w/o location],metaboliteInfo[suggested category],"")</f>
        <v>LIPID</v>
      </c>
      <c r="E52" s="21">
        <f>_xlfn.XLOOKUP(mets27[[#This Row],[name w/o location]],metaboliteInfo[name w/o location],metaboliteInfo[MW for biomass normalization (g/mol)],0)</f>
        <v>1027.948443</v>
      </c>
      <c r="F52" s="21">
        <f>_xlfn.NUMBERVALUE(SUBSTITUTE(_xlfn.TEXTAFTER(mets27[[#This Row],[pasted JSON metabolite keys and values from GSM biomass rxn]],":"),",",""))</f>
        <v>-1.4996523187106199E-4</v>
      </c>
      <c r="G52" s="21" cm="1">
        <f t="array" ref="G52">_xlfn.LET(_xlpm.id,mets27[[#This Row],[name w/o location]],IF(IsElementOfSet_DIY(_xlpm.id,{"atp","adp","h","pi","h2o"}),SIGN(mets27[[#This Row],[raw (GSM) coefficient]])*(ABS(mets27[[#This Row],[raw (GSM) coefficient]])-$J$2),mets27[[#This Row],[raw (GSM) coefficient]]))</f>
        <v>-1.4996523187106199E-4</v>
      </c>
      <c r="H52" s="21">
        <f>mets27[[#This Row],[coeff. w/o GAM]]</f>
        <v>-1.4996523187106199E-4</v>
      </c>
      <c r="I52" s="161">
        <f t="shared" si="3"/>
        <v>-1.490416030231998E-4</v>
      </c>
      <c r="J52" s="21" cm="1">
        <f t="array" ref="J52">_xlfn.LET(_xlpm.id,mets27[[#This Row],[name w/o location]],_xlpm.oldcoeff,mets27[[#This Row],[normalized coeffs]],_xlpm.gam,$J$2-$G$2,_xlfn.IFS(IFERROR(MATCH(_xlpm.id,{"atp","h2o"},0),0)&gt;0,_xlpm.oldcoeff-_xlpm.gam,IFERROR(MATCH(_xlpm.id,{"adp","h","pi"},0),0)&gt;0,_xlpm.oldcoeff+_xlpm.gam,TRUE,_xlpm.oldcoeff))</f>
        <v>-1.490416030231998E-4</v>
      </c>
      <c r="K52" t="str" cm="1">
        <f t="array" ref="K52">"BIOSYN-"&amp;_xlfn.IFS(IFERROR(MATCH(mets27[[#This Row],[category]],{0,"0",""},0),0)&gt;0,mets27[[#This Row],[name]],TRUE,mets27[[#This Row],[category]]&amp;"-"&amp;mets27[[#This Row],[name]])</f>
        <v>BIOSYN-LIPID-odecoa_c</v>
      </c>
      <c r="L52" s="149" t="str" cm="1">
        <f t="array" ref="L52">IF(IsElementOfSet_DIY(mets27[[#This Row],[category]],{"ignore","PROT"}),"",_xlfn.LET(_xlpm.mw,mets27[[#This Row],[MW for biomass normalization (g/mol)]],"MET-"&amp;mets27[[#This Row],[name]]&amp;" --&gt; "&amp;IF((mets27[[#This Row],[category]]="DNA")+(mets27[[#This Row],[category]]="RNA"),"MET-ppi_c + ","")&amp;ROUND(ABS(_xlpm.mw/1000),6)&amp;" BIO-"&amp;mets27[[#This Row],[name]]))</f>
        <v>MET-odecoa_c --&gt; 1.027948 BIO-odecoa_c</v>
      </c>
      <c r="M52" s="149" cm="1">
        <f t="array" ref="M5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-1.4996523187106199E-4</v>
      </c>
      <c r="N52" s="149"/>
      <c r="O52" s="149"/>
      <c r="P52" s="149" t="str">
        <v>"ffabiom_c":0.001922</v>
      </c>
      <c r="R52" s="149" t="str">
        <v>"ffabiom_c":-0.001922</v>
      </c>
      <c r="S52" s="149"/>
      <c r="T52" s="149">
        <v>3.6138776999999997E-5</v>
      </c>
      <c r="U52" s="149"/>
      <c r="V52" s="149"/>
      <c r="AB52" t="str">
        <v>BIOSYN-LIPID-ps_c</v>
      </c>
      <c r="AC52" t="str">
        <v>MET-ps_c --&gt; 0.786079 BIO-ps_c</v>
      </c>
    </row>
    <row r="53" spans="1:29" ht="16" x14ac:dyDescent="0.2">
      <c r="A53" s="142" t="s">
        <v>1459</v>
      </c>
      <c r="B53" t="str">
        <f>SUBSTITUTE(_xlfn.TEXTBEFORE(mets27[[#This Row],[pasted JSON metabolite keys and values from GSM biomass rxn]],":"),CHAR(34),"")</f>
        <v>pail_c</v>
      </c>
      <c r="C53" t="str">
        <f>_xlfn.TEXTBEFORE(mets27[[#This Row],[name]],"_",-1)</f>
        <v>pail</v>
      </c>
      <c r="D53" t="str">
        <f>_xlfn.XLOOKUP(mets27[[#This Row],[name w/o location]],metaboliteInfo[name w/o location],metaboliteInfo[suggested category],"")</f>
        <v>LIPID</v>
      </c>
      <c r="E53" s="21">
        <f>_xlfn.XLOOKUP(mets27[[#This Row],[name w/o location]],metaboliteInfo[name w/o location],metaboliteInfo[MW for biomass normalization (g/mol)],0)</f>
        <v>862.14885442176001</v>
      </c>
      <c r="F53" s="21">
        <f>_xlfn.NUMBERVALUE(SUBSTITUTE(_xlfn.TEXTAFTER(mets27[[#This Row],[pasted JSON metabolite keys and values from GSM biomass rxn]],":"),",",""))</f>
        <v>-9.4892225307279792E-3</v>
      </c>
      <c r="G53" s="21" cm="1">
        <f t="array" ref="G53">_xlfn.LET(_xlpm.id,mets27[[#This Row],[name w/o location]],IF(IsElementOfSet_DIY(_xlpm.id,{"atp","adp","h","pi","h2o"}),SIGN(mets27[[#This Row],[raw (GSM) coefficient]])*(ABS(mets27[[#This Row],[raw (GSM) coefficient]])-$J$2),mets27[[#This Row],[raw (GSM) coefficient]]))</f>
        <v>-9.4892225307279792E-3</v>
      </c>
      <c r="H53" s="21">
        <f>mets27[[#This Row],[coeff. w/o GAM]]</f>
        <v>-9.4892225307279792E-3</v>
      </c>
      <c r="I53" s="161">
        <f t="shared" si="3"/>
        <v>-9.4307788530580798E-3</v>
      </c>
      <c r="J53" s="21" cm="1">
        <f t="array" ref="J53">_xlfn.LET(_xlpm.id,mets27[[#This Row],[name w/o location]],_xlpm.oldcoeff,mets27[[#This Row],[normalized coeffs]],_xlpm.gam,$J$2-$G$2,_xlfn.IFS(IFERROR(MATCH(_xlpm.id,{"atp","h2o"},0),0)&gt;0,_xlpm.oldcoeff-_xlpm.gam,IFERROR(MATCH(_xlpm.id,{"adp","h","pi"},0),0)&gt;0,_xlpm.oldcoeff+_xlpm.gam,TRUE,_xlpm.oldcoeff))</f>
        <v>-9.4307788530580798E-3</v>
      </c>
      <c r="K53" t="str" cm="1">
        <f t="array" ref="K53">"BIOSYN-"&amp;_xlfn.IFS(IFERROR(MATCH(mets27[[#This Row],[category]],{0,"0",""},0),0)&gt;0,mets27[[#This Row],[name]],TRUE,mets27[[#This Row],[category]]&amp;"-"&amp;mets27[[#This Row],[name]])</f>
        <v>BIOSYN-LIPID-pail_c</v>
      </c>
      <c r="L53" s="149" t="str" cm="1">
        <f t="array" ref="L53">IF(IsElementOfSet_DIY(mets27[[#This Row],[category]],{"ignore","PROT"}),"",_xlfn.LET(_xlpm.mw,mets27[[#This Row],[MW for biomass normalization (g/mol)]],"MET-"&amp;mets27[[#This Row],[name]]&amp;" --&gt; "&amp;IF((mets27[[#This Row],[category]]="DNA")+(mets27[[#This Row],[category]]="RNA"),"MET-ppi_c + ","")&amp;ROUND(ABS(_xlpm.mw/1000),6)&amp;" BIO-"&amp;mets27[[#This Row],[name]]))</f>
        <v>MET-pail_c --&gt; 0.862149 BIO-pail_c</v>
      </c>
      <c r="M53" s="149" cm="1">
        <f t="array" ref="M5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-9.4892225307279792E-3</v>
      </c>
      <c r="N53" s="149"/>
      <c r="O53" s="149"/>
      <c r="P53" s="149" t="str">
        <v>"gln__L_c":0.321557</v>
      </c>
      <c r="R53" s="149" t="str">
        <v>"glntrna_c":-0.321557</v>
      </c>
      <c r="S53" s="149"/>
      <c r="T53" s="149">
        <v>7.4299999999999995E-4</v>
      </c>
      <c r="U53" s="149"/>
      <c r="V53" s="149"/>
      <c r="AB53" t="str">
        <v>BIOSYN-LIPID-stcoa_c</v>
      </c>
      <c r="AC53" t="str">
        <v>MET-stcoa_c --&gt; 1.029964 BIO-stcoa_c</v>
      </c>
    </row>
    <row r="54" spans="1:29" ht="16" x14ac:dyDescent="0.2">
      <c r="A54" s="142" t="s">
        <v>1460</v>
      </c>
      <c r="B54" t="str">
        <f>SUBSTITUTE(_xlfn.TEXTBEFORE(mets27[[#This Row],[pasted JSON metabolite keys and values from GSM biomass rxn]],":"),CHAR(34),"")</f>
        <v>pc_c</v>
      </c>
      <c r="C54" t="str">
        <f>_xlfn.TEXTBEFORE(mets27[[#This Row],[name]],"_",-1)</f>
        <v>pc</v>
      </c>
      <c r="D54" t="str">
        <f>_xlfn.XLOOKUP(mets27[[#This Row],[name w/o location]],metaboliteInfo[name w/o location],metaboliteInfo[suggested category],"")</f>
        <v>LIPID</v>
      </c>
      <c r="E54" s="21">
        <f>_xlfn.XLOOKUP(mets27[[#This Row],[name w/o location]],metaboliteInfo[name w/o location],metaboliteInfo[MW for biomass normalization (g/mol)],0)</f>
        <v>786.16573442176002</v>
      </c>
      <c r="F54" s="21">
        <f>_xlfn.NUMBERVALUE(SUBSTITUTE(_xlfn.TEXTAFTER(mets27[[#This Row],[pasted JSON metabolite keys and values from GSM biomass rxn]],":"),",",""))</f>
        <v>-2.8047678383851301E-2</v>
      </c>
      <c r="G54" s="21" cm="1">
        <f t="array" ref="G54">_xlfn.LET(_xlpm.id,mets27[[#This Row],[name w/o location]],IF(IsElementOfSet_DIY(_xlpm.id,{"atp","adp","h","pi","h2o"}),SIGN(mets27[[#This Row],[raw (GSM) coefficient]])*(ABS(mets27[[#This Row],[raw (GSM) coefficient]])-$J$2),mets27[[#This Row],[raw (GSM) coefficient]]))</f>
        <v>-2.8047678383851301E-2</v>
      </c>
      <c r="H54" s="21">
        <f>mets27[[#This Row],[coeff. w/o GAM]]</f>
        <v>-2.8047678383851301E-2</v>
      </c>
      <c r="I54" s="161">
        <f t="shared" si="3"/>
        <v>-2.7874934044729027E-2</v>
      </c>
      <c r="J54" s="21" cm="1">
        <f t="array" ref="J54">_xlfn.LET(_xlpm.id,mets27[[#This Row],[name w/o location]],_xlpm.oldcoeff,mets27[[#This Row],[normalized coeffs]],_xlpm.gam,$J$2-$G$2,_xlfn.IFS(IFERROR(MATCH(_xlpm.id,{"atp","h2o"},0),0)&gt;0,_xlpm.oldcoeff-_xlpm.gam,IFERROR(MATCH(_xlpm.id,{"adp","h","pi"},0),0)&gt;0,_xlpm.oldcoeff+_xlpm.gam,TRUE,_xlpm.oldcoeff))</f>
        <v>-2.7874934044729027E-2</v>
      </c>
      <c r="K54" t="str" cm="1">
        <f t="array" ref="K54">"BIOSYN-"&amp;_xlfn.IFS(IFERROR(MATCH(mets27[[#This Row],[category]],{0,"0",""},0),0)&gt;0,mets27[[#This Row],[name]],TRUE,mets27[[#This Row],[category]]&amp;"-"&amp;mets27[[#This Row],[name]])</f>
        <v>BIOSYN-LIPID-pc_c</v>
      </c>
      <c r="L54" s="149" t="str" cm="1">
        <f t="array" ref="L54">IF(IsElementOfSet_DIY(mets27[[#This Row],[category]],{"ignore","PROT"}),"",_xlfn.LET(_xlpm.mw,mets27[[#This Row],[MW for biomass normalization (g/mol)]],"MET-"&amp;mets27[[#This Row],[name]]&amp;" --&gt; "&amp;IF((mets27[[#This Row],[category]]="DNA")+(mets27[[#This Row],[category]]="RNA"),"MET-ppi_c + ","")&amp;ROUND(ABS(_xlpm.mw/1000),6)&amp;" BIO-"&amp;mets27[[#This Row],[name]]))</f>
        <v>MET-pc_c --&gt; 0.786166 BIO-pc_c</v>
      </c>
      <c r="M54" s="149" cm="1">
        <f t="array" ref="M5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-2.8047678383851301E-2</v>
      </c>
      <c r="N54" s="149"/>
      <c r="O54" s="149"/>
      <c r="P54" s="149" t="str">
        <v>"glu__L_c":0.321557</v>
      </c>
      <c r="R54" s="149" t="str">
        <v>"glutrna_c":-0.321557</v>
      </c>
      <c r="S54" s="149"/>
      <c r="T54" s="149">
        <v>7.4299999999999995E-4</v>
      </c>
      <c r="U54" s="149"/>
      <c r="V54" s="149"/>
      <c r="AB54" t="str">
        <v>BIOSYN-LIPID-tag_c</v>
      </c>
      <c r="AC54" t="str">
        <v>MET-tag_c --&gt; 0.885513 BIO-tag_c</v>
      </c>
    </row>
    <row r="55" spans="1:29" ht="16" x14ac:dyDescent="0.2">
      <c r="A55" s="142" t="s">
        <v>1461</v>
      </c>
      <c r="B55" t="str">
        <f>SUBSTITUTE(_xlfn.TEXTBEFORE(mets27[[#This Row],[pasted JSON metabolite keys and values from GSM biomass rxn]],":"),CHAR(34),"")</f>
        <v>pe_c</v>
      </c>
      <c r="C55" t="str">
        <f>_xlfn.TEXTBEFORE(mets27[[#This Row],[name]],"_",-1)</f>
        <v>pe</v>
      </c>
      <c r="D55" t="str">
        <f>_xlfn.XLOOKUP(mets27[[#This Row],[name w/o location]],metaboliteInfo[name w/o location],metaboliteInfo[suggested category],"")</f>
        <v>LIPID</v>
      </c>
      <c r="E55" s="21">
        <f>_xlfn.XLOOKUP(mets27[[#This Row],[name w/o location]],metaboliteInfo[name w/o location],metaboliteInfo[MW for biomass normalization (g/mol)],0)</f>
        <v>744.08599442176001</v>
      </c>
      <c r="F55" s="21">
        <f>_xlfn.NUMBERVALUE(SUBSTITUTE(_xlfn.TEXTAFTER(mets27[[#This Row],[pasted JSON metabolite keys and values from GSM biomass rxn]],":"),",",""))</f>
        <v>-7.5227765390449798E-3</v>
      </c>
      <c r="G55" s="21" cm="1">
        <f t="array" ref="G55">_xlfn.LET(_xlpm.id,mets27[[#This Row],[name w/o location]],IF(IsElementOfSet_DIY(_xlpm.id,{"atp","adp","h","pi","h2o"}),SIGN(mets27[[#This Row],[raw (GSM) coefficient]])*(ABS(mets27[[#This Row],[raw (GSM) coefficient]])-$J$2),mets27[[#This Row],[raw (GSM) coefficient]]))</f>
        <v>-7.5227765390449798E-3</v>
      </c>
      <c r="H55" s="21">
        <f>mets27[[#This Row],[coeff. w/o GAM]]</f>
        <v>-7.5227765390449798E-3</v>
      </c>
      <c r="I55" s="161">
        <f t="shared" si="3"/>
        <v>-7.4764441102493726E-3</v>
      </c>
      <c r="J55" s="21" cm="1">
        <f t="array" ref="J55">_xlfn.LET(_xlpm.id,mets27[[#This Row],[name w/o location]],_xlpm.oldcoeff,mets27[[#This Row],[normalized coeffs]],_xlpm.gam,$J$2-$G$2,_xlfn.IFS(IFERROR(MATCH(_xlpm.id,{"atp","h2o"},0),0)&gt;0,_xlpm.oldcoeff-_xlpm.gam,IFERROR(MATCH(_xlpm.id,{"adp","h","pi"},0),0)&gt;0,_xlpm.oldcoeff+_xlpm.gam,TRUE,_xlpm.oldcoeff))</f>
        <v>-7.4764441102493726E-3</v>
      </c>
      <c r="K55" t="str" cm="1">
        <f t="array" ref="K55">"BIOSYN-"&amp;_xlfn.IFS(IFERROR(MATCH(mets27[[#This Row],[category]],{0,"0",""},0),0)&gt;0,mets27[[#This Row],[name]],TRUE,mets27[[#This Row],[category]]&amp;"-"&amp;mets27[[#This Row],[name]])</f>
        <v>BIOSYN-LIPID-pe_c</v>
      </c>
      <c r="L55" s="149" t="str" cm="1">
        <f t="array" ref="L55">IF(IsElementOfSet_DIY(mets27[[#This Row],[category]],{"ignore","PROT"}),"",_xlfn.LET(_xlpm.mw,mets27[[#This Row],[MW for biomass normalization (g/mol)]],"MET-"&amp;mets27[[#This Row],[name]]&amp;" --&gt; "&amp;IF((mets27[[#This Row],[category]]="DNA")+(mets27[[#This Row],[category]]="RNA"),"MET-ppi_c + ","")&amp;ROUND(ABS(_xlpm.mw/1000),6)&amp;" BIO-"&amp;mets27[[#This Row],[name]]))</f>
        <v>MET-pe_c --&gt; 0.744086 BIO-pe_c</v>
      </c>
      <c r="M55" s="149" cm="1">
        <f t="array" ref="M5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-7.5227765390449798E-3</v>
      </c>
      <c r="N55" s="149"/>
      <c r="O55" s="149"/>
      <c r="P55" s="149" t="str">
        <v>"gly_c":0.369334</v>
      </c>
      <c r="R55" s="149" t="str">
        <v>"gly_c":-0.369334</v>
      </c>
      <c r="S55" s="149"/>
      <c r="T55" s="149">
        <v>7.4299999999999995E-4</v>
      </c>
      <c r="U55" s="149"/>
      <c r="V55" s="149"/>
      <c r="AB55" t="str">
        <v>BIOSYN-LIPID-ttccoa_c</v>
      </c>
      <c r="AC55" t="str">
        <v>MET-ttccoa_c --&gt; 1.114124 BIO-ttccoa_c</v>
      </c>
    </row>
    <row r="56" spans="1:29" ht="16" x14ac:dyDescent="0.2">
      <c r="A56" s="144" t="s">
        <v>1487</v>
      </c>
      <c r="B56" t="str">
        <f>SUBSTITUTE(_xlfn.TEXTBEFORE(mets27[[#This Row],[pasted JSON metabolite keys and values from GSM biomass rxn]],":"),CHAR(34),"")</f>
        <v>phetrna_c</v>
      </c>
      <c r="C56" t="str">
        <f>_xlfn.TEXTBEFORE(mets27[[#This Row],[name]],"_",-1)</f>
        <v>phetrna</v>
      </c>
      <c r="D56" t="str">
        <f>_xlfn.XLOOKUP(mets27[[#This Row],[name w/o location]],metaboliteInfo[name w/o location],metaboliteInfo[suggested category],"")</f>
        <v>PROT</v>
      </c>
      <c r="E56" s="21">
        <f>_xlfn.XLOOKUP(mets27[[#This Row],[name w/o location]],metaboliteInfo[name w/o location],metaboliteInfo[MW for biomass normalization (g/mol)],0)</f>
        <v>148.18180000000001</v>
      </c>
      <c r="F56" s="21">
        <f>_xlfn.NUMBERVALUE(SUBSTITUTE(_xlfn.TEXTAFTER(mets27[[#This Row],[pasted JSON metabolite keys and values from GSM biomass rxn]],":"),",",""))</f>
        <v>-0.15541095015013501</v>
      </c>
      <c r="G56" s="21" cm="1">
        <f t="array" ref="G56">_xlfn.LET(_xlpm.id,mets27[[#This Row],[name w/o location]],IF(IsElementOfSet_DIY(_xlpm.id,{"atp","adp","h","pi","h2o"}),SIGN(mets27[[#This Row],[raw (GSM) coefficient]])*(ABS(mets27[[#This Row],[raw (GSM) coefficient]])-$J$2),mets27[[#This Row],[raw (GSM) coefficient]]))</f>
        <v>-0.15541095015013501</v>
      </c>
      <c r="H56" s="21">
        <f>mets27[[#This Row],[coeff. w/o GAM]]</f>
        <v>-0.15541095015013501</v>
      </c>
      <c r="I56" s="161">
        <f t="shared" si="3"/>
        <v>-0.15445378137813756</v>
      </c>
      <c r="J56" s="21" cm="1">
        <f t="array" ref="J56">_xlfn.LET(_xlpm.id,mets27[[#This Row],[name w/o location]],_xlpm.oldcoeff,mets27[[#This Row],[normalized coeffs]],_xlpm.gam,$J$2-$G$2,_xlfn.IFS(IFERROR(MATCH(_xlpm.id,{"atp","h2o"},0),0)&gt;0,_xlpm.oldcoeff-_xlpm.gam,IFERROR(MATCH(_xlpm.id,{"adp","h","pi"},0),0)&gt;0,_xlpm.oldcoeff+_xlpm.gam,TRUE,_xlpm.oldcoeff))</f>
        <v>-0.15445378137813756</v>
      </c>
      <c r="K56" t="str" cm="1">
        <f t="array" ref="K56">"BIOSYN-"&amp;_xlfn.IFS(IFERROR(MATCH(mets27[[#This Row],[category]],{0,"0",""},0),0)&gt;0,mets27[[#This Row],[name]],TRUE,mets27[[#This Row],[category]]&amp;"-"&amp;mets27[[#This Row],[name]])</f>
        <v>BIOSYN-PROT-phetrna_c</v>
      </c>
      <c r="L56" s="149" t="str" cm="1">
        <f t="array" ref="L56">IF(IsElementOfSet_DIY(mets27[[#This Row],[category]],{"ignore","PROT"}),"",_xlfn.LET(_xlpm.mw,mets27[[#This Row],[MW for biomass normalization (g/mol)]],"MET-"&amp;mets27[[#This Row],[name]]&amp;" --&gt; "&amp;IF((mets27[[#This Row],[category]]="DNA")+(mets27[[#This Row],[category]]="RNA"),"MET-ppi_c + ","")&amp;ROUND(ABS(_xlpm.mw/1000),6)&amp;" BIO-"&amp;mets27[[#This Row],[name]]))</f>
        <v/>
      </c>
      <c r="M56" s="149" cm="1">
        <f t="array" ref="M5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-0.15547732119749499</v>
      </c>
      <c r="N56" s="149"/>
      <c r="O56" s="149"/>
      <c r="P56" s="149" t="str">
        <v>"glycogen_c":0.234811</v>
      </c>
      <c r="R56" s="149" t="str">
        <v>"glycogen_c":-0.234811</v>
      </c>
      <c r="S56" s="149"/>
      <c r="T56" s="149"/>
      <c r="U56" s="149"/>
      <c r="V56" s="149"/>
      <c r="AB56" t="str">
        <v>BIOSYN-METAL-ca2_c</v>
      </c>
      <c r="AC56" t="str">
        <v>MET-ca2_c --&gt; 0.040078 BIO-ca2_c</v>
      </c>
    </row>
    <row r="57" spans="1:29" ht="16" x14ac:dyDescent="0.2">
      <c r="A57" s="142" t="s">
        <v>1462</v>
      </c>
      <c r="B57" t="str">
        <f>SUBSTITUTE(_xlfn.TEXTBEFORE(mets27[[#This Row],[pasted JSON metabolite keys and values from GSM biomass rxn]],":"),CHAR(34),"")</f>
        <v>pi_c</v>
      </c>
      <c r="C57" t="str">
        <f>_xlfn.TEXTBEFORE(mets27[[#This Row],[name]],"_",-1)</f>
        <v>pi</v>
      </c>
      <c r="D57" t="str">
        <f>_xlfn.XLOOKUP(mets27[[#This Row],[name w/o location]],metaboliteInfo[name w/o location],metaboliteInfo[suggested category],"")</f>
        <v>PI</v>
      </c>
      <c r="E57" s="21">
        <f>_xlfn.XLOOKUP(mets27[[#This Row],[name w/o location]],metaboliteInfo[name w/o location],metaboliteInfo[MW for biomass normalization (g/mol)],0)</f>
        <v>95.979301000000007</v>
      </c>
      <c r="F57" s="21">
        <f>_xlfn.NUMBERVALUE(SUBSTITUTE(_xlfn.TEXTAFTER(mets27[[#This Row],[pasted JSON metabolite keys and values from GSM biomass rxn]],":"),",",""))</f>
        <v>190.476034176783</v>
      </c>
      <c r="G57" s="21" cm="1">
        <f t="array" ref="G57">_xlfn.LET(_xlpm.id,mets27[[#This Row],[name w/o location]],IF(IsElementOfSet_DIY(_xlpm.id,{"atp","adp","h","pi","h2o"}),SIGN(mets27[[#This Row],[raw (GSM) coefficient]])*(ABS(mets27[[#This Row],[raw (GSM) coefficient]])-$J$2),mets27[[#This Row],[raw (GSM) coefficient]]))</f>
        <v>-0.10295582321700181</v>
      </c>
      <c r="H57" s="21">
        <f>mets27[[#This Row],[coeff. w/o GAM]]</f>
        <v>-0.10295582321700181</v>
      </c>
      <c r="I57" s="161">
        <f t="shared" si="3"/>
        <v>-0.10232172311798432</v>
      </c>
      <c r="J57" s="21" cm="1">
        <f t="array" ref="J57">_xlfn.LET(_xlpm.id,mets27[[#This Row],[name w/o location]],_xlpm.oldcoeff,mets27[[#This Row],[normalized coeffs]],_xlpm.gam,$J$2-$G$2,_xlfn.IFS(IFERROR(MATCH(_xlpm.id,{"atp","h2o"},0),0)&gt;0,_xlpm.oldcoeff-_xlpm.gam,IFERROR(MATCH(_xlpm.id,{"adp","h","pi"},0),0)&gt;0,_xlpm.oldcoeff+_xlpm.gam,TRUE,_xlpm.oldcoeff))</f>
        <v>181.97666827688201</v>
      </c>
      <c r="K57" t="str" cm="1">
        <f t="array" ref="K57">"BIOSYN-"&amp;_xlfn.IFS(IFERROR(MATCH(mets27[[#This Row],[category]],{0,"0",""},0),0)&gt;0,mets27[[#This Row],[name]],TRUE,mets27[[#This Row],[category]]&amp;"-"&amp;mets27[[#This Row],[name]])</f>
        <v>BIOSYN-PI-pi_c</v>
      </c>
      <c r="L57" s="149" t="str" cm="1">
        <f t="array" ref="L57">IF(IsElementOfSet_DIY(mets27[[#This Row],[category]],{"ignore","PROT"}),"",_xlfn.LET(_xlpm.mw,mets27[[#This Row],[MW for biomass normalization (g/mol)]],"MET-"&amp;mets27[[#This Row],[name]]&amp;" --&gt; "&amp;IF((mets27[[#This Row],[category]]="DNA")+(mets27[[#This Row],[category]]="RNA"),"MET-ppi_c + ","")&amp;ROUND(ABS(_xlpm.mw/1000),6)&amp;" BIO-"&amp;mets27[[#This Row],[name]]))</f>
        <v>MET-pi_c --&gt; 0.095979 BIO-pi_c</v>
      </c>
      <c r="M57" s="149" cm="1">
        <f t="array" ref="M5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190.47603417678332</v>
      </c>
      <c r="N57" s="149"/>
      <c r="O57" s="149"/>
      <c r="P57" s="149" t="str">
        <v>"gtp_c":0.104534</v>
      </c>
      <c r="R57" s="149" t="str">
        <v>"gtp_c":-0.104534</v>
      </c>
      <c r="S57" s="149"/>
      <c r="T57" s="149"/>
      <c r="U57" s="149"/>
      <c r="V57" s="149"/>
      <c r="AB57" t="str">
        <v>BIOSYN-METAL-cu2_c</v>
      </c>
      <c r="AC57" t="str">
        <v>MET-cu2_c --&gt; 0.063546 BIO-cu2_c</v>
      </c>
    </row>
    <row r="58" spans="1:29" ht="16" x14ac:dyDescent="0.2">
      <c r="A58" s="142" t="s">
        <v>1463</v>
      </c>
      <c r="B58" t="str">
        <f>SUBSTITUTE(_xlfn.TEXTBEFORE(mets27[[#This Row],[pasted JSON metabolite keys and values from GSM biomass rxn]],":"),CHAR(34),"")</f>
        <v>pmtcoa_c</v>
      </c>
      <c r="C58" t="str">
        <f>_xlfn.TEXTBEFORE(mets27[[#This Row],[name]],"_",-1)</f>
        <v>pmtcoa</v>
      </c>
      <c r="D58" t="str">
        <f>_xlfn.XLOOKUP(mets27[[#This Row],[name w/o location]],metaboliteInfo[name w/o location],metaboliteInfo[suggested category],"")</f>
        <v>LIPID</v>
      </c>
      <c r="E58" s="21">
        <f>_xlfn.XLOOKUP(mets27[[#This Row],[name w/o location]],metaboliteInfo[name w/o location],metaboliteInfo[MW for biomass normalization (g/mol)],0)</f>
        <v>1001.911163</v>
      </c>
      <c r="F58" s="21">
        <f>_xlfn.NUMBERVALUE(SUBSTITUTE(_xlfn.TEXTAFTER(mets27[[#This Row],[pasted JSON metabolite keys and values from GSM biomass rxn]],":"),",",""))</f>
        <v>-2.07155457628959E-3</v>
      </c>
      <c r="G58" s="21" cm="1">
        <f t="array" ref="G58">_xlfn.LET(_xlpm.id,mets27[[#This Row],[name w/o location]],IF(IsElementOfSet_DIY(_xlpm.id,{"atp","adp","h","pi","h2o"}),SIGN(mets27[[#This Row],[raw (GSM) coefficient]])*(ABS(mets27[[#This Row],[raw (GSM) coefficient]])-$J$2),mets27[[#This Row],[raw (GSM) coefficient]]))</f>
        <v>-2.07155457628959E-3</v>
      </c>
      <c r="H58" s="21">
        <f>mets27[[#This Row],[coeff. w/o GAM]]</f>
        <v>-2.07155457628959E-3</v>
      </c>
      <c r="I58" s="161">
        <f t="shared" si="3"/>
        <v>-2.0587959685595858E-3</v>
      </c>
      <c r="J58" s="21" cm="1">
        <f t="array" ref="J58">_xlfn.LET(_xlpm.id,mets27[[#This Row],[name w/o location]],_xlpm.oldcoeff,mets27[[#This Row],[normalized coeffs]],_xlpm.gam,$J$2-$G$2,_xlfn.IFS(IFERROR(MATCH(_xlpm.id,{"atp","h2o"},0),0)&gt;0,_xlpm.oldcoeff-_xlpm.gam,IFERROR(MATCH(_xlpm.id,{"adp","h","pi"},0),0)&gt;0,_xlpm.oldcoeff+_xlpm.gam,TRUE,_xlpm.oldcoeff))</f>
        <v>-2.0587959685595858E-3</v>
      </c>
      <c r="K58" t="str" cm="1">
        <f t="array" ref="K58">"BIOSYN-"&amp;_xlfn.IFS(IFERROR(MATCH(mets27[[#This Row],[category]],{0,"0",""},0),0)&gt;0,mets27[[#This Row],[name]],TRUE,mets27[[#This Row],[category]]&amp;"-"&amp;mets27[[#This Row],[name]])</f>
        <v>BIOSYN-LIPID-pmtcoa_c</v>
      </c>
      <c r="L58" s="149" t="str" cm="1">
        <f t="array" ref="L58">IF(IsElementOfSet_DIY(mets27[[#This Row],[category]],{"ignore","PROT"}),"",_xlfn.LET(_xlpm.mw,mets27[[#This Row],[MW for biomass normalization (g/mol)]],"MET-"&amp;mets27[[#This Row],[name]]&amp;" --&gt; "&amp;IF((mets27[[#This Row],[category]]="DNA")+(mets27[[#This Row],[category]]="RNA"),"MET-ppi_c + ","")&amp;ROUND(ABS(_xlpm.mw/1000),6)&amp;" BIO-"&amp;mets27[[#This Row],[name]]))</f>
        <v>MET-pmtcoa_c --&gt; 1.001911 BIO-pmtcoa_c</v>
      </c>
      <c r="M58" s="149" cm="1">
        <f t="array" ref="M5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-2.07155457628959E-3</v>
      </c>
      <c r="N58" s="149"/>
      <c r="O58" s="149"/>
      <c r="P58" s="149" t="str">
        <v>"h2o_c":186.43364699999998</v>
      </c>
      <c r="R58" s="149" t="str">
        <v>"h2o_c":-186.43364699999998</v>
      </c>
      <c r="S58" s="149"/>
      <c r="T58" s="149"/>
      <c r="U58" s="149"/>
      <c r="V58" s="149"/>
      <c r="AB58" t="str">
        <v>BIOSYN-METAL-fe2_c</v>
      </c>
      <c r="AC58" t="str">
        <v>MET-fe2_c --&gt; 0.055845 BIO-fe2_c</v>
      </c>
    </row>
    <row r="59" spans="1:29" ht="16" x14ac:dyDescent="0.2">
      <c r="A59" s="142" t="s">
        <v>1464</v>
      </c>
      <c r="B59" t="str">
        <f>SUBSTITUTE(_xlfn.TEXTBEFORE(mets27[[#This Row],[pasted JSON metabolite keys and values from GSM biomass rxn]],":"),CHAR(34),"")</f>
        <v>ppi_c</v>
      </c>
      <c r="C59" t="str">
        <f>_xlfn.TEXTBEFORE(mets27[[#This Row],[name]],"_",-1)</f>
        <v>ppi</v>
      </c>
      <c r="D59">
        <f>_xlfn.XLOOKUP(mets27[[#This Row],[name w/o location]],metaboliteInfo[name w/o location],metaboliteInfo[suggested category],"")</f>
        <v>0</v>
      </c>
      <c r="E59" s="21">
        <f>_xlfn.XLOOKUP(mets27[[#This Row],[name w/o location]],metaboliteInfo[name w/o location],metaboliteInfo[MW for biomass normalization (g/mol)],0)</f>
        <v>174.95126200000001</v>
      </c>
      <c r="F59" s="21">
        <f>_xlfn.NUMBERVALUE(SUBSTITUTE(_xlfn.TEXTAFTER(mets27[[#This Row],[pasted JSON metabolite keys and values from GSM biomass rxn]],":"),",",""))</f>
        <v>0.37564672822786899</v>
      </c>
      <c r="G59" s="21" cm="1">
        <f t="array" ref="G59">_xlfn.LET(_xlpm.id,mets27[[#This Row],[name w/o location]],IF(IsElementOfSet_DIY(_xlpm.id,{"atp","adp","h","pi","h2o"}),SIGN(mets27[[#This Row],[raw (GSM) coefficient]])*(ABS(mets27[[#This Row],[raw (GSM) coefficient]])-$J$2),mets27[[#This Row],[raw (GSM) coefficient]]))</f>
        <v>0.37564672822786899</v>
      </c>
      <c r="H59" s="21">
        <f>mets27[[#This Row],[coeff. w/o GAM]]</f>
        <v>0.37564672822786899</v>
      </c>
      <c r="I59" s="161">
        <f t="shared" si="3"/>
        <v>0.37333313760111214</v>
      </c>
      <c r="J59" s="21" cm="1">
        <f t="array" ref="J59">_xlfn.LET(_xlpm.id,mets27[[#This Row],[name w/o location]],_xlpm.oldcoeff,mets27[[#This Row],[normalized coeffs]],_xlpm.gam,$J$2-$G$2,_xlfn.IFS(IFERROR(MATCH(_xlpm.id,{"atp","h2o"},0),0)&gt;0,_xlpm.oldcoeff-_xlpm.gam,IFERROR(MATCH(_xlpm.id,{"adp","h","pi"},0),0)&gt;0,_xlpm.oldcoeff+_xlpm.gam,TRUE,_xlpm.oldcoeff))</f>
        <v>0.37333313760111214</v>
      </c>
      <c r="K59" t="str" cm="1">
        <f t="array" ref="K59">"BIOSYN-"&amp;_xlfn.IFS(IFERROR(MATCH(mets27[[#This Row],[category]],{0,"0",""},0),0)&gt;0,mets27[[#This Row],[name]],TRUE,mets27[[#This Row],[category]]&amp;"-"&amp;mets27[[#This Row],[name]])</f>
        <v>BIOSYN-ppi_c</v>
      </c>
      <c r="L59" s="149" t="str" cm="1">
        <f t="array" ref="L59">IF(IsElementOfSet_DIY(mets27[[#This Row],[category]],{"ignore","PROT"}),"",_xlfn.LET(_xlpm.mw,mets27[[#This Row],[MW for biomass normalization (g/mol)]],"MET-"&amp;mets27[[#This Row],[name]]&amp;" --&gt; "&amp;IF((mets27[[#This Row],[category]]="DNA")+(mets27[[#This Row],[category]]="RNA"),"MET-ppi_c + ","")&amp;ROUND(ABS(_xlpm.mw/1000),6)&amp;" BIO-"&amp;mets27[[#This Row],[name]]))</f>
        <v>MET-ppi_c --&gt; 0.174951 BIO-ppi_c</v>
      </c>
      <c r="M59" s="149" cm="1">
        <f t="array" ref="M5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0.37564672822739165</v>
      </c>
      <c r="N59" s="149"/>
      <c r="O59" s="149"/>
      <c r="P59" s="149" t="str">
        <v>"his__L_c":0.080182</v>
      </c>
      <c r="R59" s="149" t="str">
        <v>"histrna_c":-0.080182</v>
      </c>
      <c r="S59" s="149" t="s">
        <v>1416</v>
      </c>
      <c r="T59" s="149">
        <f>(1-T67)/(1-S67)</f>
        <v>0.98206425501775463</v>
      </c>
      <c r="V59" s="149"/>
      <c r="AB59" t="str">
        <v>BIOSYN-METAL-k_c</v>
      </c>
      <c r="AC59" t="str">
        <v>MET-k_c --&gt; 0.039098 BIO-k_c</v>
      </c>
    </row>
    <row r="60" spans="1:29" ht="16" x14ac:dyDescent="0.2">
      <c r="A60" s="144" t="s">
        <v>1488</v>
      </c>
      <c r="B60" t="str">
        <f>SUBSTITUTE(_xlfn.TEXTBEFORE(mets27[[#This Row],[pasted JSON metabolite keys and values from GSM biomass rxn]],":"),CHAR(34),"")</f>
        <v>protrna_c</v>
      </c>
      <c r="C60" t="str">
        <f>_xlfn.TEXTBEFORE(mets27[[#This Row],[name]],"_",-1)</f>
        <v>protrna</v>
      </c>
      <c r="D60" t="str">
        <f>_xlfn.XLOOKUP(mets27[[#This Row],[name w/o location]],metaboliteInfo[name w/o location],metaboliteInfo[suggested category],"")</f>
        <v>PROT</v>
      </c>
      <c r="E60" s="21">
        <f>_xlfn.XLOOKUP(mets27[[#This Row],[name w/o location]],metaboliteInfo[name w/o location],metaboliteInfo[MW for biomass normalization (g/mol)],0)</f>
        <v>97.115179999999995</v>
      </c>
      <c r="F60" s="21">
        <f>_xlfn.NUMBERVALUE(SUBSTITUTE(_xlfn.TEXTAFTER(mets27[[#This Row],[pasted JSON metabolite keys and values from GSM biomass rxn]],":"),",",""))</f>
        <v>-0.22982629572941099</v>
      </c>
      <c r="G60" s="21" cm="1">
        <f t="array" ref="G60">_xlfn.LET(_xlpm.id,mets27[[#This Row],[name w/o location]],IF(IsElementOfSet_DIY(_xlpm.id,{"atp","adp","h","pi","h2o"}),SIGN(mets27[[#This Row],[raw (GSM) coefficient]])*(ABS(mets27[[#This Row],[raw (GSM) coefficient]])-$J$2),mets27[[#This Row],[raw (GSM) coefficient]]))</f>
        <v>-0.22982629572941099</v>
      </c>
      <c r="H60" s="21">
        <f>mets27[[#This Row],[coeff. w/o GAM]]</f>
        <v>-0.22982629572941099</v>
      </c>
      <c r="I60" s="161">
        <f t="shared" si="3"/>
        <v>-0.22841080632507027</v>
      </c>
      <c r="J60" s="21" cm="1">
        <f t="array" ref="J60">_xlfn.LET(_xlpm.id,mets27[[#This Row],[name w/o location]],_xlpm.oldcoeff,mets27[[#This Row],[normalized coeffs]],_xlpm.gam,$J$2-$G$2,_xlfn.IFS(IFERROR(MATCH(_xlpm.id,{"atp","h2o"},0),0)&gt;0,_xlpm.oldcoeff-_xlpm.gam,IFERROR(MATCH(_xlpm.id,{"adp","h","pi"},0),0)&gt;0,_xlpm.oldcoeff+_xlpm.gam,TRUE,_xlpm.oldcoeff))</f>
        <v>-0.22841080632507027</v>
      </c>
      <c r="K60" t="str" cm="1">
        <f t="array" ref="K60">"BIOSYN-"&amp;_xlfn.IFS(IFERROR(MATCH(mets27[[#This Row],[category]],{0,"0",""},0),0)&gt;0,mets27[[#This Row],[name]],TRUE,mets27[[#This Row],[category]]&amp;"-"&amp;mets27[[#This Row],[name]])</f>
        <v>BIOSYN-PROT-protrna_c</v>
      </c>
      <c r="L60" s="149" t="str" cm="1">
        <f t="array" ref="L60">IF(IsElementOfSet_DIY(mets27[[#This Row],[category]],{"ignore","PROT"}),"",_xlfn.LET(_xlpm.mw,mets27[[#This Row],[MW for biomass normalization (g/mol)]],"MET-"&amp;mets27[[#This Row],[name]]&amp;" --&gt; "&amp;IF((mets27[[#This Row],[category]]="DNA")+(mets27[[#This Row],[category]]="RNA"),"MET-ppi_c + ","")&amp;ROUND(ABS(_xlpm.mw/1000),6)&amp;" BIO-"&amp;mets27[[#This Row],[name]]))</f>
        <v/>
      </c>
      <c r="M60" s="149" cm="1">
        <f t="array" ref="M6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-0.22992444719134911</v>
      </c>
      <c r="N60" s="149"/>
      <c r="O60" s="149"/>
      <c r="P60" s="149" t="str">
        <v>"ile__L_c":0.244699</v>
      </c>
      <c r="R60" s="149" t="str">
        <v>"iletrna_c":-0.244699</v>
      </c>
      <c r="S60" s="173">
        <v>0.30578393847914032</v>
      </c>
      <c r="T60" s="149">
        <f>S60*$T$59</f>
        <v>0.30029947573891186</v>
      </c>
      <c r="U60" cm="1">
        <f t="array" ref="U60:U69">IF(T60:T69&lt;&gt;"",T60:T69,S60:S69)</f>
        <v>0.30029947573891186</v>
      </c>
      <c r="V60" cm="1">
        <f t="array" ref="V60:V69">_xlfn.ANCHORARRAY(U60)/SUM(_xlfn.ANCHORARRAY(U60))</f>
        <v>0.30029947573891191</v>
      </c>
      <c r="AB60" t="str">
        <v>BIOSYN-METAL-mg2_c</v>
      </c>
      <c r="AC60" t="str">
        <v>MET-mg2_c --&gt; 0.024305 BIO-mg2_c</v>
      </c>
    </row>
    <row r="61" spans="1:29" ht="16" x14ac:dyDescent="0.2">
      <c r="A61" s="142" t="s">
        <v>1465</v>
      </c>
      <c r="B61" t="str">
        <f>SUBSTITUTE(_xlfn.TEXTBEFORE(mets27[[#This Row],[pasted JSON metabolite keys and values from GSM biomass rxn]],":"),CHAR(34),"")</f>
        <v>ps_c</v>
      </c>
      <c r="C61" t="str">
        <f>_xlfn.TEXTBEFORE(mets27[[#This Row],[name]],"_",-1)</f>
        <v>ps</v>
      </c>
      <c r="D61" t="str">
        <f>_xlfn.XLOOKUP(mets27[[#This Row],[name w/o location]],metaboliteInfo[name w/o location],metaboliteInfo[suggested category],"")</f>
        <v>LIPID</v>
      </c>
      <c r="E61" s="21">
        <f>_xlfn.XLOOKUP(mets27[[#This Row],[name w/o location]],metaboliteInfo[name w/o location],metaboliteInfo[MW for biomass normalization (g/mol)],0)</f>
        <v>786.07881442175994</v>
      </c>
      <c r="F61" s="21">
        <f>_xlfn.NUMBERVALUE(SUBSTITUTE(_xlfn.TEXTAFTER(mets27[[#This Row],[pasted JSON metabolite keys and values from GSM biomass rxn]],":"),",",""))</f>
        <v>-6.4732907446730303E-3</v>
      </c>
      <c r="G61" s="21" cm="1">
        <f t="array" ref="G61">_xlfn.LET(_xlpm.id,mets27[[#This Row],[name w/o location]],IF(IsElementOfSet_DIY(_xlpm.id,{"atp","adp","h","pi","h2o"}),SIGN(mets27[[#This Row],[raw (GSM) coefficient]])*(ABS(mets27[[#This Row],[raw (GSM) coefficient]])-$J$2),mets27[[#This Row],[raw (GSM) coefficient]]))</f>
        <v>-6.4732907446730303E-3</v>
      </c>
      <c r="H61" s="21">
        <f>mets27[[#This Row],[coeff. w/o GAM]]</f>
        <v>-6.4732907446730303E-3</v>
      </c>
      <c r="I61" s="161">
        <f t="shared" si="3"/>
        <v>-6.4334220497910067E-3</v>
      </c>
      <c r="J61" s="21" cm="1">
        <f t="array" ref="J61">_xlfn.LET(_xlpm.id,mets27[[#This Row],[name w/o location]],_xlpm.oldcoeff,mets27[[#This Row],[normalized coeffs]],_xlpm.gam,$J$2-$G$2,_xlfn.IFS(IFERROR(MATCH(_xlpm.id,{"atp","h2o"},0),0)&gt;0,_xlpm.oldcoeff-_xlpm.gam,IFERROR(MATCH(_xlpm.id,{"adp","h","pi"},0),0)&gt;0,_xlpm.oldcoeff+_xlpm.gam,TRUE,_xlpm.oldcoeff))</f>
        <v>-6.4334220497910067E-3</v>
      </c>
      <c r="K61" t="str" cm="1">
        <f t="array" ref="K61">"BIOSYN-"&amp;_xlfn.IFS(IFERROR(MATCH(mets27[[#This Row],[category]],{0,"0",""},0),0)&gt;0,mets27[[#This Row],[name]],TRUE,mets27[[#This Row],[category]]&amp;"-"&amp;mets27[[#This Row],[name]])</f>
        <v>BIOSYN-LIPID-ps_c</v>
      </c>
      <c r="L61" s="149" t="str" cm="1">
        <f t="array" ref="L61">IF(IsElementOfSet_DIY(mets27[[#This Row],[category]],{"ignore","PROT"}),"",_xlfn.LET(_xlpm.mw,mets27[[#This Row],[MW for biomass normalization (g/mol)]],"MET-"&amp;mets27[[#This Row],[name]]&amp;" --&gt; "&amp;IF((mets27[[#This Row],[category]]="DNA")+(mets27[[#This Row],[category]]="RNA"),"MET-ppi_c + ","")&amp;ROUND(ABS(_xlpm.mw/1000),6)&amp;" BIO-"&amp;mets27[[#This Row],[name]]))</f>
        <v>MET-ps_c --&gt; 0.786079 BIO-ps_c</v>
      </c>
      <c r="M61" s="149" cm="1">
        <f t="array" ref="M6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-6.4732907446730303E-3</v>
      </c>
      <c r="N61" s="149"/>
      <c r="O61" s="149"/>
      <c r="P61" s="149" t="str">
        <v>"ipcbiom_c":0.005176</v>
      </c>
      <c r="R61" s="149" t="str">
        <v>"ipcbiom_c":-0.005176</v>
      </c>
      <c r="S61" s="174">
        <v>-3.5902250681999095E-3</v>
      </c>
      <c r="T61" s="149">
        <f t="shared" ref="T61:T66" si="4">S61*$T$59</f>
        <v>-3.5258317069478116E-3</v>
      </c>
      <c r="U61">
        <v>-3.5258317069478116E-3</v>
      </c>
      <c r="V61" s="149">
        <v>-3.525831706947812E-3</v>
      </c>
      <c r="AB61" t="str">
        <v>BIOSYN-METAL-mn2_c</v>
      </c>
      <c r="AC61" t="str">
        <v>MET-mn2_c --&gt; 0.054938 BIO-mn2_c</v>
      </c>
    </row>
    <row r="62" spans="1:29" ht="16" x14ac:dyDescent="0.2">
      <c r="A62" s="144" t="s">
        <v>1489</v>
      </c>
      <c r="B62" t="str">
        <f>SUBSTITUTE(_xlfn.TEXTBEFORE(mets27[[#This Row],[pasted JSON metabolite keys and values from GSM biomass rxn]],":"),CHAR(34),"")</f>
        <v>sertrna_c</v>
      </c>
      <c r="C62" t="str">
        <f>_xlfn.TEXTBEFORE(mets27[[#This Row],[name]],"_",-1)</f>
        <v>sertrna</v>
      </c>
      <c r="D62" t="str">
        <f>_xlfn.XLOOKUP(mets27[[#This Row],[name w/o location]],metaboliteInfo[name w/o location],metaboliteInfo[suggested category],"")</f>
        <v>PROT</v>
      </c>
      <c r="E62" s="21">
        <f>_xlfn.XLOOKUP(mets27[[#This Row],[name w/o location]],metaboliteInfo[name w/o location],metaboliteInfo[MW for biomass normalization (g/mol)],0)</f>
        <v>88.085239999999999</v>
      </c>
      <c r="F62" s="21">
        <f>_xlfn.NUMBERVALUE(SUBSTITUTE(_xlfn.TEXTAFTER(mets27[[#This Row],[pasted JSON metabolite keys and values from GSM biomass rxn]],":"),",",""))</f>
        <v>-0.29321129295647902</v>
      </c>
      <c r="G62" s="21" cm="1">
        <f t="array" ref="G62">_xlfn.LET(_xlpm.id,mets27[[#This Row],[name w/o location]],IF(IsElementOfSet_DIY(_xlpm.id,{"atp","adp","h","pi","h2o"}),SIGN(mets27[[#This Row],[raw (GSM) coefficient]])*(ABS(mets27[[#This Row],[raw (GSM) coefficient]])-$J$2),mets27[[#This Row],[raw (GSM) coefficient]]))</f>
        <v>-0.29321129295647902</v>
      </c>
      <c r="H62" s="21">
        <f>mets27[[#This Row],[coeff. w/o GAM]]</f>
        <v>-0.29321129295647902</v>
      </c>
      <c r="I62" s="161">
        <f t="shared" si="3"/>
        <v>-0.291405418319307</v>
      </c>
      <c r="J62" s="21" cm="1">
        <f t="array" ref="J62">_xlfn.LET(_xlpm.id,mets27[[#This Row],[name w/o location]],_xlpm.oldcoeff,mets27[[#This Row],[normalized coeffs]],_xlpm.gam,$J$2-$G$2,_xlfn.IFS(IFERROR(MATCH(_xlpm.id,{"atp","h2o"},0),0)&gt;0,_xlpm.oldcoeff-_xlpm.gam,IFERROR(MATCH(_xlpm.id,{"adp","h","pi"},0),0)&gt;0,_xlpm.oldcoeff+_xlpm.gam,TRUE,_xlpm.oldcoeff))</f>
        <v>-0.291405418319307</v>
      </c>
      <c r="K62" t="str" cm="1">
        <f t="array" ref="K62">"BIOSYN-"&amp;_xlfn.IFS(IFERROR(MATCH(mets27[[#This Row],[category]],{0,"0",""},0),0)&gt;0,mets27[[#This Row],[name]],TRUE,mets27[[#This Row],[category]]&amp;"-"&amp;mets27[[#This Row],[name]])</f>
        <v>BIOSYN-PROT-sertrna_c</v>
      </c>
      <c r="L62" s="149" t="str" cm="1">
        <f t="array" ref="L62">IF(IsElementOfSet_DIY(mets27[[#This Row],[category]],{"ignore","PROT"}),"",_xlfn.LET(_xlpm.mw,mets27[[#This Row],[MW for biomass normalization (g/mol)]],"MET-"&amp;mets27[[#This Row],[name]]&amp;" --&gt; "&amp;IF((mets27[[#This Row],[category]]="DNA")+(mets27[[#This Row],[category]]="RNA"),"MET-ppi_c + ","")&amp;ROUND(ABS(_xlpm.mw/1000),6)&amp;" BIO-"&amp;mets27[[#This Row],[name]]))</f>
        <v/>
      </c>
      <c r="M62" s="149" cm="1">
        <f t="array" ref="M6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-0.29333651412392248</v>
      </c>
      <c r="N62" s="149"/>
      <c r="O62" s="149"/>
      <c r="P62" s="149" t="str">
        <v>"k_c":0.60365</v>
      </c>
      <c r="R62" s="149" t="str">
        <v>"k_c":-0.60365</v>
      </c>
      <c r="S62" s="173">
        <v>9.4053296679395947E-3</v>
      </c>
      <c r="T62" s="149">
        <f t="shared" si="4"/>
        <v>9.2366380735414838E-3</v>
      </c>
      <c r="U62">
        <v>9.2366380735414838E-3</v>
      </c>
      <c r="V62" s="149">
        <v>9.2366380735414855E-3</v>
      </c>
      <c r="AB62" t="str">
        <v>BIOSYN-METAL-zn2_c</v>
      </c>
      <c r="AC62" t="str">
        <v>MET-zn2_c --&gt; 0.06538 BIO-zn2_c</v>
      </c>
    </row>
    <row r="63" spans="1:29" ht="16" x14ac:dyDescent="0.2">
      <c r="A63" s="142" t="s">
        <v>1466</v>
      </c>
      <c r="B63" t="str">
        <f>SUBSTITUTE(_xlfn.TEXTBEFORE(mets27[[#This Row],[pasted JSON metabolite keys and values from GSM biomass rxn]],":"),CHAR(34),"")</f>
        <v>so4_c</v>
      </c>
      <c r="C63" t="str">
        <f>_xlfn.TEXTBEFORE(mets27[[#This Row],[name]],"_",-1)</f>
        <v>so4</v>
      </c>
      <c r="D63" t="str">
        <f>_xlfn.XLOOKUP(mets27[[#This Row],[name w/o location]],metaboliteInfo[name w/o location],metaboliteInfo[suggested category],"")</f>
        <v>SO4</v>
      </c>
      <c r="E63" s="21">
        <f>_xlfn.XLOOKUP(mets27[[#This Row],[name w/o location]],metaboliteInfo[name w/o location],metaboliteInfo[MW for biomass normalization (g/mol)],0)</f>
        <v>96.062600000000003</v>
      </c>
      <c r="F63" s="21">
        <f>_xlfn.NUMBERVALUE(SUBSTITUTE(_xlfn.TEXTAFTER(mets27[[#This Row],[pasted JSON metabolite keys and values from GSM biomass rxn]],":"),",",""))</f>
        <v>-3.04253435075909E-2</v>
      </c>
      <c r="G63" s="21" cm="1">
        <f t="array" ref="G63">_xlfn.LET(_xlpm.id,mets27[[#This Row],[name w/o location]],IF(IsElementOfSet_DIY(_xlpm.id,{"atp","adp","h","pi","h2o"}),SIGN(mets27[[#This Row],[raw (GSM) coefficient]])*(ABS(mets27[[#This Row],[raw (GSM) coefficient]])-$J$2),mets27[[#This Row],[raw (GSM) coefficient]]))</f>
        <v>-3.04253435075909E-2</v>
      </c>
      <c r="H63" s="21">
        <f>mets27[[#This Row],[coeff. w/o GAM]]</f>
        <v>-3.04253435075909E-2</v>
      </c>
      <c r="I63" s="161">
        <f t="shared" si="3"/>
        <v>-3.023795524019644E-2</v>
      </c>
      <c r="J63" s="21" cm="1">
        <f t="array" ref="J63">_xlfn.LET(_xlpm.id,mets27[[#This Row],[name w/o location]],_xlpm.oldcoeff,mets27[[#This Row],[normalized coeffs]],_xlpm.gam,$J$2-$G$2,_xlfn.IFS(IFERROR(MATCH(_xlpm.id,{"atp","h2o"},0),0)&gt;0,_xlpm.oldcoeff-_xlpm.gam,IFERROR(MATCH(_xlpm.id,{"adp","h","pi"},0),0)&gt;0,_xlpm.oldcoeff+_xlpm.gam,TRUE,_xlpm.oldcoeff))</f>
        <v>-3.023795524019644E-2</v>
      </c>
      <c r="K63" t="str" cm="1">
        <f t="array" ref="K63">"BIOSYN-"&amp;_xlfn.IFS(IFERROR(MATCH(mets27[[#This Row],[category]],{0,"0",""},0),0)&gt;0,mets27[[#This Row],[name]],TRUE,mets27[[#This Row],[category]]&amp;"-"&amp;mets27[[#This Row],[name]])</f>
        <v>BIOSYN-SO4-so4_c</v>
      </c>
      <c r="L63" s="149" t="str" cm="1">
        <f t="array" ref="L63">IF(IsElementOfSet_DIY(mets27[[#This Row],[category]],{"ignore","PROT"}),"",_xlfn.LET(_xlpm.mw,mets27[[#This Row],[MW for biomass normalization (g/mol)]],"MET-"&amp;mets27[[#This Row],[name]]&amp;" --&gt; "&amp;IF((mets27[[#This Row],[category]]="DNA")+(mets27[[#This Row],[category]]="RNA"),"MET-ppi_c + ","")&amp;ROUND(ABS(_xlpm.mw/1000),6)&amp;" BIO-"&amp;mets27[[#This Row],[name]]))</f>
        <v>MET-so4_c --&gt; 0.096063 BIO-so4_c</v>
      </c>
      <c r="M63" s="149" cm="1">
        <f t="array" ref="M6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-3.0425343507590862E-2</v>
      </c>
      <c r="N63" s="149"/>
      <c r="O63" s="149"/>
      <c r="P63" s="149" t="str">
        <v>"leu__L_c":0.332774</v>
      </c>
      <c r="R63" s="149" t="str">
        <v>"leutrna_c":-0.332774</v>
      </c>
      <c r="S63" s="174">
        <v>7.9077198839356502E-2</v>
      </c>
      <c r="T63" s="149">
        <f t="shared" si="4"/>
        <v>7.7658890367063499E-2</v>
      </c>
      <c r="U63">
        <v>7.7658890367063499E-2</v>
      </c>
      <c r="V63" s="149">
        <v>7.7658890367063513E-2</v>
      </c>
      <c r="AB63" t="str">
        <v>BIOSYN-other-co2_c</v>
      </c>
      <c r="AC63" t="str">
        <v>MET-co2_c --&gt; 0.04401 BIO-co2_c</v>
      </c>
    </row>
    <row r="64" spans="1:29" ht="16" x14ac:dyDescent="0.2">
      <c r="A64" s="142" t="s">
        <v>1467</v>
      </c>
      <c r="B64" t="str">
        <f>SUBSTITUTE(_xlfn.TEXTBEFORE(mets27[[#This Row],[pasted JSON metabolite keys and values from GSM biomass rxn]],":"),CHAR(34),"")</f>
        <v>stcoa_c</v>
      </c>
      <c r="C64" t="str">
        <f>_xlfn.TEXTBEFORE(mets27[[#This Row],[name]],"_",-1)</f>
        <v>stcoa</v>
      </c>
      <c r="D64" t="str">
        <f>_xlfn.XLOOKUP(mets27[[#This Row],[name w/o location]],metaboliteInfo[name w/o location],metaboliteInfo[suggested category],"")</f>
        <v>LIPID</v>
      </c>
      <c r="E64" s="21">
        <f>_xlfn.XLOOKUP(mets27[[#This Row],[name w/o location]],metaboliteInfo[name w/o location],metaboliteInfo[MW for biomass normalization (g/mol)],0)</f>
        <v>1029.9643229999999</v>
      </c>
      <c r="F64" s="21">
        <f>_xlfn.NUMBERVALUE(SUBSTITUTE(_xlfn.TEXTAFTER(mets27[[#This Row],[pasted JSON metabolite keys and values from GSM biomass rxn]],":"),",",""))</f>
        <v>-8.1673633081060505E-5</v>
      </c>
      <c r="G64" s="21" cm="1">
        <f t="array" ref="G64">_xlfn.LET(_xlpm.id,mets27[[#This Row],[name w/o location]],IF(IsElementOfSet_DIY(_xlpm.id,{"atp","adp","h","pi","h2o"}),SIGN(mets27[[#This Row],[raw (GSM) coefficient]])*(ABS(mets27[[#This Row],[raw (GSM) coefficient]])-$J$2),mets27[[#This Row],[raw (GSM) coefficient]]))</f>
        <v>-8.1673633081060505E-5</v>
      </c>
      <c r="H64" s="21">
        <f>mets27[[#This Row],[coeff. w/o GAM]]</f>
        <v>-8.1673633081060505E-5</v>
      </c>
      <c r="I64" s="161">
        <f t="shared" si="3"/>
        <v>-8.1170608995529553E-5</v>
      </c>
      <c r="J64" s="21" cm="1">
        <f t="array" ref="J64">_xlfn.LET(_xlpm.id,mets27[[#This Row],[name w/o location]],_xlpm.oldcoeff,mets27[[#This Row],[normalized coeffs]],_xlpm.gam,$J$2-$G$2,_xlfn.IFS(IFERROR(MATCH(_xlpm.id,{"atp","h2o"},0),0)&gt;0,_xlpm.oldcoeff-_xlpm.gam,IFERROR(MATCH(_xlpm.id,{"adp","h","pi"},0),0)&gt;0,_xlpm.oldcoeff+_xlpm.gam,TRUE,_xlpm.oldcoeff))</f>
        <v>-8.1170608995529553E-5</v>
      </c>
      <c r="K64" t="str" cm="1">
        <f t="array" ref="K64">"BIOSYN-"&amp;_xlfn.IFS(IFERROR(MATCH(mets27[[#This Row],[category]],{0,"0",""},0),0)&gt;0,mets27[[#This Row],[name]],TRUE,mets27[[#This Row],[category]]&amp;"-"&amp;mets27[[#This Row],[name]])</f>
        <v>BIOSYN-LIPID-stcoa_c</v>
      </c>
      <c r="L64" s="149" t="str" cm="1">
        <f t="array" ref="L64">IF(IsElementOfSet_DIY(mets27[[#This Row],[category]],{"ignore","PROT"}),"",_xlfn.LET(_xlpm.mw,mets27[[#This Row],[MW for biomass normalization (g/mol)]],"MET-"&amp;mets27[[#This Row],[name]]&amp;" --&gt; "&amp;IF((mets27[[#This Row],[category]]="DNA")+(mets27[[#This Row],[category]]="RNA"),"MET-ppi_c + ","")&amp;ROUND(ABS(_xlpm.mw/1000),6)&amp;" BIO-"&amp;mets27[[#This Row],[name]]))</f>
        <v>MET-stcoa_c --&gt; 1.029964 BIO-stcoa_c</v>
      </c>
      <c r="M64" s="149" cm="1">
        <f t="array" ref="M6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-8.1673633081060505E-5</v>
      </c>
      <c r="N64" s="149"/>
      <c r="O64" s="149"/>
      <c r="P64" s="149" t="str">
        <v>"lys__L_c":0.27295</v>
      </c>
      <c r="R64" s="149" t="str">
        <v>"lystrna_c":-0.27295</v>
      </c>
      <c r="S64" s="173">
        <v>2.5155241032744094E-2</v>
      </c>
      <c r="T64" s="149">
        <f t="shared" si="4"/>
        <v>2.470406304461388E-2</v>
      </c>
      <c r="U64">
        <v>2.470406304461388E-2</v>
      </c>
      <c r="V64" s="149">
        <v>2.4704063044613884E-2</v>
      </c>
      <c r="AB64" t="str">
        <v>BIOSYN-other-o2_c</v>
      </c>
      <c r="AC64" t="str">
        <v>MET-o2_c --&gt; 0.031999 BIO-o2_c</v>
      </c>
    </row>
    <row r="65" spans="1:29" ht="16" x14ac:dyDescent="0.2">
      <c r="A65" s="142" t="s">
        <v>1468</v>
      </c>
      <c r="B65" t="str">
        <f>SUBSTITUTE(_xlfn.TEXTBEFORE(mets27[[#This Row],[pasted JSON metabolite keys and values from GSM biomass rxn]],":"),CHAR(34),"")</f>
        <v>tag_c</v>
      </c>
      <c r="C65" t="str">
        <f>_xlfn.TEXTBEFORE(mets27[[#This Row],[name]],"_",-1)</f>
        <v>tag</v>
      </c>
      <c r="D65" t="str">
        <f>_xlfn.XLOOKUP(mets27[[#This Row],[name w/o location]],metaboliteInfo[name w/o location],metaboliteInfo[suggested category],"")</f>
        <v>LIPID</v>
      </c>
      <c r="E65" s="21">
        <f>_xlfn.XLOOKUP(mets27[[#This Row],[name w/o location]],metaboliteInfo[name w/o location],metaboliteInfo[MW for biomass normalization (g/mol)],0)</f>
        <v>885.51292863263996</v>
      </c>
      <c r="F65" s="21">
        <f>_xlfn.NUMBERVALUE(SUBSTITUTE(_xlfn.TEXTAFTER(mets27[[#This Row],[pasted JSON metabolite keys and values from GSM biomass rxn]],":"),",",""))</f>
        <v>-1.0225908937919401E-2</v>
      </c>
      <c r="G65" s="21" cm="1">
        <f t="array" ref="G65">_xlfn.LET(_xlpm.id,mets27[[#This Row],[name w/o location]],IF(IsElementOfSet_DIY(_xlpm.id,{"atp","adp","h","pi","h2o"}),SIGN(mets27[[#This Row],[raw (GSM) coefficient]])*(ABS(mets27[[#This Row],[raw (GSM) coefficient]])-$J$2),mets27[[#This Row],[raw (GSM) coefficient]]))</f>
        <v>-1.0225908937919401E-2</v>
      </c>
      <c r="H65" s="21">
        <f>mets27[[#This Row],[coeff. w/o GAM]]</f>
        <v>-1.0225908937919401E-2</v>
      </c>
      <c r="I65" s="161">
        <f t="shared" si="3"/>
        <v>-1.0162928043129103E-2</v>
      </c>
      <c r="J65" s="21" cm="1">
        <f t="array" ref="J65">_xlfn.LET(_xlpm.id,mets27[[#This Row],[name w/o location]],_xlpm.oldcoeff,mets27[[#This Row],[normalized coeffs]],_xlpm.gam,$J$2-$G$2,_xlfn.IFS(IFERROR(MATCH(_xlpm.id,{"atp","h2o"},0),0)&gt;0,_xlpm.oldcoeff-_xlpm.gam,IFERROR(MATCH(_xlpm.id,{"adp","h","pi"},0),0)&gt;0,_xlpm.oldcoeff+_xlpm.gam,TRUE,_xlpm.oldcoeff))</f>
        <v>-1.0162928043129103E-2</v>
      </c>
      <c r="K65" t="str" cm="1">
        <f t="array" ref="K65">"BIOSYN-"&amp;_xlfn.IFS(IFERROR(MATCH(mets27[[#This Row],[category]],{0,"0",""},0),0)&gt;0,mets27[[#This Row],[name]],TRUE,mets27[[#This Row],[category]]&amp;"-"&amp;mets27[[#This Row],[name]])</f>
        <v>BIOSYN-LIPID-tag_c</v>
      </c>
      <c r="L65" s="149" t="str" cm="1">
        <f t="array" ref="L65">IF(IsElementOfSet_DIY(mets27[[#This Row],[category]],{"ignore","PROT"}),"",_xlfn.LET(_xlpm.mw,mets27[[#This Row],[MW for biomass normalization (g/mol)]],"MET-"&amp;mets27[[#This Row],[name]]&amp;" --&gt; "&amp;IF((mets27[[#This Row],[category]]="DNA")+(mets27[[#This Row],[category]]="RNA"),"MET-ppi_c + ","")&amp;ROUND(ABS(_xlpm.mw/1000),6)&amp;" BIO-"&amp;mets27[[#This Row],[name]]))</f>
        <v>MET-tag_c --&gt; 0.885513 BIO-tag_c</v>
      </c>
      <c r="M65" s="149" cm="1">
        <f t="array" ref="M6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-1.0225908937919401E-2</v>
      </c>
      <c r="N65" s="149"/>
      <c r="O65" s="149"/>
      <c r="P65" s="149" t="str">
        <v>"mannan_c":0.49015</v>
      </c>
      <c r="R65" s="149" t="str">
        <v>"mannan_c":-0.49015</v>
      </c>
      <c r="S65" s="174">
        <v>-5.5586024199253041E-5</v>
      </c>
      <c r="T65" s="149">
        <f t="shared" si="4"/>
        <v>-5.4589047444638315E-5</v>
      </c>
      <c r="U65">
        <v>-5.4589047444638315E-5</v>
      </c>
      <c r="V65" s="149">
        <v>-5.4589047444638322E-5</v>
      </c>
      <c r="AB65" t="str">
        <v>BIOSYN-PI-pi_c</v>
      </c>
      <c r="AC65" t="str">
        <v>MET-pi_c --&gt; 0.095979 BIO-pi_c</v>
      </c>
    </row>
    <row r="66" spans="1:29" ht="16" x14ac:dyDescent="0.2">
      <c r="A66" s="144" t="s">
        <v>1490</v>
      </c>
      <c r="B66" t="str">
        <f>SUBSTITUTE(_xlfn.TEXTBEFORE(mets27[[#This Row],[pasted JSON metabolite keys and values from GSM biomass rxn]],":"),CHAR(34),"")</f>
        <v>thrtrna_c</v>
      </c>
      <c r="C66" t="str">
        <f>_xlfn.TEXTBEFORE(mets27[[#This Row],[name]],"_",-1)</f>
        <v>thrtrna</v>
      </c>
      <c r="D66" t="str">
        <f>_xlfn.XLOOKUP(mets27[[#This Row],[name w/o location]],metaboliteInfo[name w/o location],metaboliteInfo[suggested category],"")</f>
        <v>PROT</v>
      </c>
      <c r="E66" s="21">
        <f>_xlfn.XLOOKUP(mets27[[#This Row],[name w/o location]],metaboliteInfo[name w/o location],metaboliteInfo[MW for biomass normalization (g/mol)],0)</f>
        <v>102.11181999999999</v>
      </c>
      <c r="F66" s="21">
        <f>_xlfn.NUMBERVALUE(SUBSTITUTE(_xlfn.TEXTAFTER(mets27[[#This Row],[pasted JSON metabolite keys and values from GSM biomass rxn]],":"),",",""))</f>
        <v>-0.23758521227351301</v>
      </c>
      <c r="G66" s="21" cm="1">
        <f t="array" ref="G66">_xlfn.LET(_xlpm.id,mets27[[#This Row],[name w/o location]],IF(IsElementOfSet_DIY(_xlpm.id,{"atp","adp","h","pi","h2o"}),SIGN(mets27[[#This Row],[raw (GSM) coefficient]])*(ABS(mets27[[#This Row],[raw (GSM) coefficient]])-$J$2),mets27[[#This Row],[raw (GSM) coefficient]]))</f>
        <v>-0.23758521227351301</v>
      </c>
      <c r="H66" s="21">
        <f>mets27[[#This Row],[coeff. w/o GAM]]</f>
        <v>-0.23758521227351301</v>
      </c>
      <c r="I66" s="161">
        <f t="shared" si="3"/>
        <v>-0.23612193606513193</v>
      </c>
      <c r="J66" s="21" cm="1">
        <f t="array" ref="J66">_xlfn.LET(_xlpm.id,mets27[[#This Row],[name w/o location]],_xlpm.oldcoeff,mets27[[#This Row],[normalized coeffs]],_xlpm.gam,$J$2-$G$2,_xlfn.IFS(IFERROR(MATCH(_xlpm.id,{"atp","h2o"},0),0)&gt;0,_xlpm.oldcoeff-_xlpm.gam,IFERROR(MATCH(_xlpm.id,{"adp","h","pi"},0),0)&gt;0,_xlpm.oldcoeff+_xlpm.gam,TRUE,_xlpm.oldcoeff))</f>
        <v>-0.23612193606513193</v>
      </c>
      <c r="K66" t="str" cm="1">
        <f t="array" ref="K66">"BIOSYN-"&amp;_xlfn.IFS(IFERROR(MATCH(mets27[[#This Row],[category]],{0,"0",""},0),0)&gt;0,mets27[[#This Row],[name]],TRUE,mets27[[#This Row],[category]]&amp;"-"&amp;mets27[[#This Row],[name]])</f>
        <v>BIOSYN-PROT-thrtrna_c</v>
      </c>
      <c r="L66" s="149" t="str" cm="1">
        <f t="array" ref="L66">IF(IsElementOfSet_DIY(mets27[[#This Row],[category]],{"ignore","PROT"}),"",_xlfn.LET(_xlpm.mw,mets27[[#This Row],[MW for biomass normalization (g/mol)]],"MET-"&amp;mets27[[#This Row],[name]]&amp;" --&gt; "&amp;IF((mets27[[#This Row],[category]]="DNA")+(mets27[[#This Row],[category]]="RNA"),"MET-ppi_c + ","")&amp;ROUND(ABS(_xlpm.mw/1000),6)&amp;" BIO-"&amp;mets27[[#This Row],[name]]))</f>
        <v/>
      </c>
      <c r="M66" s="149" cm="1">
        <f t="array" ref="M6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-0.23768667732060658</v>
      </c>
      <c r="N66" s="149"/>
      <c r="O66" s="149"/>
      <c r="P66" s="149" t="str">
        <v>"met__L_c":0.047361</v>
      </c>
      <c r="R66" s="149" t="str">
        <v>"mettrna_c":-0.047361</v>
      </c>
      <c r="S66" s="173">
        <v>1.0062099191299278E-2</v>
      </c>
      <c r="T66" s="149">
        <f t="shared" si="4"/>
        <v>9.8816279462180766E-3</v>
      </c>
      <c r="U66">
        <v>9.8816279462180766E-3</v>
      </c>
      <c r="V66" s="149">
        <v>9.8816279462180783E-3</v>
      </c>
      <c r="AB66" t="str">
        <v>BIOSYN-RNA-atp_c</v>
      </c>
      <c r="AC66" t="str">
        <v>MET-atp_c --&gt; MET-ppi_c + 0.328198 BIO-atp_c</v>
      </c>
    </row>
    <row r="67" spans="1:29" ht="16" x14ac:dyDescent="0.2">
      <c r="A67" s="142" t="s">
        <v>1469</v>
      </c>
      <c r="B67" t="str">
        <f>SUBSTITUTE(_xlfn.TEXTBEFORE(mets27[[#This Row],[pasted JSON metabolite keys and values from GSM biomass rxn]],":"),CHAR(34),"")</f>
        <v>tre_c</v>
      </c>
      <c r="C67" t="str">
        <f>_xlfn.TEXTBEFORE(mets27[[#This Row],[name]],"_",-1)</f>
        <v>tre</v>
      </c>
      <c r="D67" t="str">
        <f>_xlfn.XLOOKUP(mets27[[#This Row],[name w/o location]],metaboliteInfo[name w/o location],metaboliteInfo[suggested category],"")</f>
        <v>CARB</v>
      </c>
      <c r="E67" s="21">
        <f>_xlfn.XLOOKUP(mets27[[#This Row],[name w/o location]],metaboliteInfo[name w/o location],metaboliteInfo[MW for biomass normalization (g/mol)],0)</f>
        <v>342.29647999999997</v>
      </c>
      <c r="F67" s="21">
        <f>_xlfn.NUMBERVALUE(SUBSTITUTE(_xlfn.TEXTAFTER(mets27[[#This Row],[pasted JSON metabolite keys and values from GSM biomass rxn]],":"),",",""))</f>
        <v>-0.13418898819459399</v>
      </c>
      <c r="G67" s="21" cm="1">
        <f t="array" ref="G67">_xlfn.LET(_xlpm.id,mets27[[#This Row],[name w/o location]],IF(IsElementOfSet_DIY(_xlpm.id,{"atp","adp","h","pi","h2o"}),SIGN(mets27[[#This Row],[raw (GSM) coefficient]])*(ABS(mets27[[#This Row],[raw (GSM) coefficient]])-$J$2),mets27[[#This Row],[raw (GSM) coefficient]]))</f>
        <v>-0.13418898819459399</v>
      </c>
      <c r="H67" s="21">
        <f>mets27[[#This Row],[coeff. w/o GAM]]</f>
        <v>-0.13418898819459399</v>
      </c>
      <c r="I67" s="161">
        <f t="shared" si="3"/>
        <v>-0.13336252449353742</v>
      </c>
      <c r="J67" s="21" cm="1">
        <f t="array" ref="J67">_xlfn.LET(_xlpm.id,mets27[[#This Row],[name w/o location]],_xlpm.oldcoeff,mets27[[#This Row],[normalized coeffs]],_xlpm.gam,$J$2-$G$2,_xlfn.IFS(IFERROR(MATCH(_xlpm.id,{"atp","h2o"},0),0)&gt;0,_xlpm.oldcoeff-_xlpm.gam,IFERROR(MATCH(_xlpm.id,{"adp","h","pi"},0),0)&gt;0,_xlpm.oldcoeff+_xlpm.gam,TRUE,_xlpm.oldcoeff))</f>
        <v>-0.13336252449353742</v>
      </c>
      <c r="K67" t="str" cm="1">
        <f t="array" ref="K67">"BIOSYN-"&amp;_xlfn.IFS(IFERROR(MATCH(mets27[[#This Row],[category]],{0,"0",""},0),0)&gt;0,mets27[[#This Row],[name]],TRUE,mets27[[#This Row],[category]]&amp;"-"&amp;mets27[[#This Row],[name]])</f>
        <v>BIOSYN-CARB-tre_c</v>
      </c>
      <c r="L67" s="149" t="str" cm="1">
        <f t="array" ref="L67">IF(IsElementOfSet_DIY(mets27[[#This Row],[category]],{"ignore","PROT"}),"",_xlfn.LET(_xlpm.mw,mets27[[#This Row],[MW for biomass normalization (g/mol)]],"MET-"&amp;mets27[[#This Row],[name]]&amp;" --&gt; "&amp;IF((mets27[[#This Row],[category]]="DNA")+(mets27[[#This Row],[category]]="RNA"),"MET-ppi_c + ","")&amp;ROUND(ABS(_xlpm.mw/1000),6)&amp;" BIO-"&amp;mets27[[#This Row],[name]]))</f>
        <v>MET-tre_c --&gt; 0.342296 BIO-tre_c</v>
      </c>
      <c r="M67" s="149" cm="1">
        <f t="array" ref="M6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-0.13418898819459399</v>
      </c>
      <c r="N67" s="149"/>
      <c r="O67" s="149"/>
      <c r="P67" s="149" t="str">
        <v>"mg2_c":0.063607</v>
      </c>
      <c r="R67" s="149" t="str">
        <v>"mg2_c":-0.063607</v>
      </c>
      <c r="S67" s="174">
        <v>0.45828391850960704</v>
      </c>
      <c r="T67" s="149">
        <v>0.46800000000000003</v>
      </c>
      <c r="U67">
        <v>0.46800000000000003</v>
      </c>
      <c r="V67" s="149">
        <v>0.46800000000000008</v>
      </c>
      <c r="AB67" t="str">
        <v>BIOSYN-RNA-ctp_c</v>
      </c>
      <c r="AC67" t="str">
        <v>MET-ctp_c --&gt; MET-ppi_c + 0.304173 BIO-ctp_c</v>
      </c>
    </row>
    <row r="68" spans="1:29" ht="16" x14ac:dyDescent="0.2">
      <c r="A68" s="144" t="s">
        <v>1491</v>
      </c>
      <c r="B68" t="str">
        <f>SUBSTITUTE(_xlfn.TEXTBEFORE(mets27[[#This Row],[pasted JSON metabolite keys and values from GSM biomass rxn]],":"),CHAR(34),"")</f>
        <v>trnaala_c</v>
      </c>
      <c r="C68" t="str">
        <f>_xlfn.TEXTBEFORE(mets27[[#This Row],[name]],"_",-1)</f>
        <v>trnaala</v>
      </c>
      <c r="D68" t="str">
        <f>_xlfn.XLOOKUP(mets27[[#This Row],[name w/o location]],metaboliteInfo[name w/o location],metaboliteInfo[suggested category],"")</f>
        <v>ignore</v>
      </c>
      <c r="E68" s="21">
        <f>_xlfn.XLOOKUP(mets27[[#This Row],[name w/o location]],metaboliteInfo[name w/o location],metaboliteInfo[MW for biomass normalization (g/mol)],0)</f>
        <v>0</v>
      </c>
      <c r="F68" s="21">
        <f>_xlfn.NUMBERVALUE(SUBSTITUTE(_xlfn.TEXTAFTER(mets27[[#This Row],[pasted JSON metabolite keys and values from GSM biomass rxn]],":"),",",""))</f>
        <v>0.43263799127717001</v>
      </c>
      <c r="G68" s="21" cm="1">
        <f t="array" ref="G68">_xlfn.LET(_xlpm.id,mets27[[#This Row],[name w/o location]],IF(IsElementOfSet_DIY(_xlpm.id,{"atp","adp","h","pi","h2o"}),SIGN(mets27[[#This Row],[raw (GSM) coefficient]])*(ABS(mets27[[#This Row],[raw (GSM) coefficient]])-$J$2),mets27[[#This Row],[raw (GSM) coefficient]]))</f>
        <v>0.43263799127717001</v>
      </c>
      <c r="H68" s="21">
        <f>mets27[[#This Row],[coeff. w/o GAM]]</f>
        <v>0.43263799127717001</v>
      </c>
      <c r="I68" s="161">
        <f t="shared" si="3"/>
        <v>0.42997339412728991</v>
      </c>
      <c r="J68" s="21" cm="1">
        <f t="array" ref="J68">_xlfn.LET(_xlpm.id,mets27[[#This Row],[name w/o location]],_xlpm.oldcoeff,mets27[[#This Row],[normalized coeffs]],_xlpm.gam,$J$2-$G$2,_xlfn.IFS(IFERROR(MATCH(_xlpm.id,{"atp","h2o"},0),0)&gt;0,_xlpm.oldcoeff-_xlpm.gam,IFERROR(MATCH(_xlpm.id,{"adp","h","pi"},0),0)&gt;0,_xlpm.oldcoeff+_xlpm.gam,TRUE,_xlpm.oldcoeff))</f>
        <v>0.42997339412728991</v>
      </c>
      <c r="K68" t="str" cm="1">
        <f t="array" ref="K68">"BIOSYN-"&amp;_xlfn.IFS(IFERROR(MATCH(mets27[[#This Row],[category]],{0,"0",""},0),0)&gt;0,mets27[[#This Row],[name]],TRUE,mets27[[#This Row],[category]]&amp;"-"&amp;mets27[[#This Row],[name]])</f>
        <v>BIOSYN-ignore-trnaala_c</v>
      </c>
      <c r="L68" s="149" t="str" cm="1">
        <f t="array" ref="L68">IF(IsElementOfSet_DIY(mets27[[#This Row],[category]],{"ignore","PROT"}),"",_xlfn.LET(_xlpm.mw,mets27[[#This Row],[MW for biomass normalization (g/mol)]],"MET-"&amp;mets27[[#This Row],[name]]&amp;" --&gt; "&amp;IF((mets27[[#This Row],[category]]="DNA")+(mets27[[#This Row],[category]]="RNA"),"MET-ppi_c + ","")&amp;ROUND(ABS(_xlpm.mw/1000),6)&amp;" BIO-"&amp;mets27[[#This Row],[name]]))</f>
        <v/>
      </c>
      <c r="M68" s="149" cm="1">
        <f t="array" ref="M6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0.43282275712913248</v>
      </c>
      <c r="N68" s="149"/>
      <c r="O68" s="149"/>
      <c r="P68" s="149" t="str">
        <v>"mn2_c":9.4e-05</v>
      </c>
      <c r="R68" s="149" t="str">
        <v>"mn2_c":-9.4e-05</v>
      </c>
      <c r="S68" s="173">
        <v>0.11290196890304988</v>
      </c>
      <c r="T68" s="149">
        <f t="shared" ref="T68:T69" si="5">S68*$T$59</f>
        <v>0.11087698798081137</v>
      </c>
      <c r="U68">
        <v>0.11087698798081137</v>
      </c>
      <c r="V68" s="149">
        <v>0.11087698798081139</v>
      </c>
      <c r="AB68" t="str">
        <v>BIOSYN-RNA-gtp_c</v>
      </c>
      <c r="AC68" t="str">
        <v>MET-gtp_c --&gt; MET-ppi_c + 0.344197 BIO-gtp_c</v>
      </c>
    </row>
    <row r="69" spans="1:29" ht="16" x14ac:dyDescent="0.2">
      <c r="A69" s="142" t="s">
        <v>1470</v>
      </c>
      <c r="B69" t="str">
        <f>SUBSTITUTE(_xlfn.TEXTBEFORE(mets27[[#This Row],[pasted JSON metabolite keys and values from GSM biomass rxn]],":"),CHAR(34),"")</f>
        <v>ttccoa_c</v>
      </c>
      <c r="C69" t="str">
        <f>_xlfn.TEXTBEFORE(mets27[[#This Row],[name]],"_",-1)</f>
        <v>ttccoa</v>
      </c>
      <c r="D69" t="str">
        <f>_xlfn.XLOOKUP(mets27[[#This Row],[name w/o location]],metaboliteInfo[name w/o location],metaboliteInfo[suggested category],"")</f>
        <v>LIPID</v>
      </c>
      <c r="E69" s="21">
        <f>_xlfn.XLOOKUP(mets27[[#This Row],[name w/o location]],metaboliteInfo[name w/o location],metaboliteInfo[MW for biomass normalization (g/mol)],0)</f>
        <v>1114.123803</v>
      </c>
      <c r="F69" s="21">
        <f>_xlfn.NUMBERVALUE(SUBSTITUTE(_xlfn.TEXTAFTER(mets27[[#This Row],[pasted JSON metabolite keys and values from GSM biomass rxn]],":"),",",""))</f>
        <v>-1.00966845632259E-3</v>
      </c>
      <c r="G69" s="21" cm="1">
        <f t="array" ref="G69">_xlfn.LET(_xlpm.id,mets27[[#This Row],[name w/o location]],IF(IsElementOfSet_DIY(_xlpm.id,{"atp","adp","h","pi","h2o"}),SIGN(mets27[[#This Row],[raw (GSM) coefficient]])*(ABS(mets27[[#This Row],[raw (GSM) coefficient]])-$J$2),mets27[[#This Row],[raw (GSM) coefficient]]))</f>
        <v>-1.00966845632259E-3</v>
      </c>
      <c r="H69" s="21">
        <f>mets27[[#This Row],[coeff. w/o GAM]]</f>
        <v>-1.00966845632259E-3</v>
      </c>
      <c r="I69" s="161">
        <f t="shared" si="3"/>
        <v>-1.0034499555314346E-3</v>
      </c>
      <c r="J69" s="21" cm="1">
        <f t="array" ref="J69">_xlfn.LET(_xlpm.id,mets27[[#This Row],[name w/o location]],_xlpm.oldcoeff,mets27[[#This Row],[normalized coeffs]],_xlpm.gam,$J$2-$G$2,_xlfn.IFS(IFERROR(MATCH(_xlpm.id,{"atp","h2o"},0),0)&gt;0,_xlpm.oldcoeff-_xlpm.gam,IFERROR(MATCH(_xlpm.id,{"adp","h","pi"},0),0)&gt;0,_xlpm.oldcoeff+_xlpm.gam,TRUE,_xlpm.oldcoeff))</f>
        <v>-1.0034499555314346E-3</v>
      </c>
      <c r="K69" t="str" cm="1">
        <f t="array" ref="K69">"BIOSYN-"&amp;_xlfn.IFS(IFERROR(MATCH(mets27[[#This Row],[category]],{0,"0",""},0),0)&gt;0,mets27[[#This Row],[name]],TRUE,mets27[[#This Row],[category]]&amp;"-"&amp;mets27[[#This Row],[name]])</f>
        <v>BIOSYN-LIPID-ttccoa_c</v>
      </c>
      <c r="L69" s="149" t="str" cm="1">
        <f t="array" ref="L69">IF(IsElementOfSet_DIY(mets27[[#This Row],[category]],{"ignore","PROT"}),"",_xlfn.LET(_xlpm.mw,mets27[[#This Row],[MW for biomass normalization (g/mol)]],"MET-"&amp;mets27[[#This Row],[name]]&amp;" --&gt; "&amp;IF((mets27[[#This Row],[category]]="DNA")+(mets27[[#This Row],[category]]="RNA"),"MET-ppi_c + ","")&amp;ROUND(ABS(_xlpm.mw/1000),6)&amp;" BIO-"&amp;mets27[[#This Row],[name]]))</f>
        <v>MET-ttccoa_c --&gt; 1.114124 BIO-ttccoa_c</v>
      </c>
      <c r="M69" s="149" cm="1">
        <f t="array" ref="M6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-1.00966845632259E-3</v>
      </c>
      <c r="N69" s="149"/>
      <c r="O69" s="149"/>
      <c r="P69" s="149" t="str">
        <v>"pail_c":0.007738</v>
      </c>
      <c r="R69" s="149" t="str">
        <v>"pail_c":-0.007738</v>
      </c>
      <c r="S69" s="174">
        <v>2.9761164692624501E-3</v>
      </c>
      <c r="T69" s="149">
        <f t="shared" si="5"/>
        <v>2.9227376032322982E-3</v>
      </c>
      <c r="U69">
        <v>2.9227376032322982E-3</v>
      </c>
      <c r="V69" s="149">
        <v>2.9227376032322987E-3</v>
      </c>
      <c r="AB69" t="str">
        <v>BIOSYN-RNA-utp_c</v>
      </c>
      <c r="AC69" t="str">
        <v>MET-utp_c --&gt; MET-ppi_c + 0.305158 BIO-utp_c</v>
      </c>
    </row>
    <row r="70" spans="1:29" ht="16" x14ac:dyDescent="0.2">
      <c r="A70" s="144" t="s">
        <v>1492</v>
      </c>
      <c r="B70" t="str">
        <f>SUBSTITUTE(_xlfn.TEXTBEFORE(mets27[[#This Row],[pasted JSON metabolite keys and values from GSM biomass rxn]],":"),CHAR(34),"")</f>
        <v>trnaarg_c</v>
      </c>
      <c r="C70" t="str">
        <f>_xlfn.TEXTBEFORE(mets27[[#This Row],[name]],"_",-1)</f>
        <v>trnaarg</v>
      </c>
      <c r="D70" t="str">
        <f>_xlfn.XLOOKUP(mets27[[#This Row],[name w/o location]],metaboliteInfo[name w/o location],metaboliteInfo[suggested category],"")</f>
        <v>ignore</v>
      </c>
      <c r="E70" s="21">
        <f>_xlfn.XLOOKUP(mets27[[#This Row],[name w/o location]],metaboliteInfo[name w/o location],metaboliteInfo[MW for biomass normalization (g/mol)],0)</f>
        <v>0</v>
      </c>
      <c r="F70" s="21">
        <f>_xlfn.NUMBERVALUE(SUBSTITUTE(_xlfn.TEXTAFTER(mets27[[#This Row],[pasted JSON metabolite keys and values from GSM biomass rxn]],":"),",",""))</f>
        <v>0.24203937649596</v>
      </c>
      <c r="G70" s="21" cm="1">
        <f t="array" ref="G70">_xlfn.LET(_xlpm.id,mets27[[#This Row],[name w/o location]],IF(IsElementOfSet_DIY(_xlpm.id,{"atp","adp","h","pi","h2o"}),SIGN(mets27[[#This Row],[raw (GSM) coefficient]])*(ABS(mets27[[#This Row],[raw (GSM) coefficient]])-$J$2),mets27[[#This Row],[raw (GSM) coefficient]]))</f>
        <v>0.24203937649596</v>
      </c>
      <c r="H70" s="21">
        <f>mets27[[#This Row],[coeff. w/o GAM]]</f>
        <v>0.24203937649596</v>
      </c>
      <c r="I70" s="161">
        <f t="shared" si="3"/>
        <v>0.24054866729849447</v>
      </c>
      <c r="J70" s="21" cm="1">
        <f t="array" ref="J70">_xlfn.LET(_xlpm.id,mets27[[#This Row],[name w/o location]],_xlpm.oldcoeff,mets27[[#This Row],[normalized coeffs]],_xlpm.gam,$J$2-$G$2,_xlfn.IFS(IFERROR(MATCH(_xlpm.id,{"atp","h2o"},0),0)&gt;0,_xlpm.oldcoeff-_xlpm.gam,IFERROR(MATCH(_xlpm.id,{"adp","h","pi"},0),0)&gt;0,_xlpm.oldcoeff+_xlpm.gam,TRUE,_xlpm.oldcoeff))</f>
        <v>0.24054866729849447</v>
      </c>
      <c r="K70" t="str" cm="1">
        <f t="array" ref="K70">"BIOSYN-"&amp;_xlfn.IFS(IFERROR(MATCH(mets27[[#This Row],[category]],{0,"0",""},0),0)&gt;0,mets27[[#This Row],[name]],TRUE,mets27[[#This Row],[category]]&amp;"-"&amp;mets27[[#This Row],[name]])</f>
        <v>BIOSYN-ignore-trnaarg_c</v>
      </c>
      <c r="L70" s="149" t="str" cm="1">
        <f t="array" ref="L70">IF(IsElementOfSet_DIY(mets27[[#This Row],[category]],{"ignore","PROT"}),"",_xlfn.LET(_xlpm.mw,mets27[[#This Row],[MW for biomass normalization (g/mol)]],"MET-"&amp;mets27[[#This Row],[name]]&amp;" --&gt; "&amp;IF((mets27[[#This Row],[category]]="DNA")+(mets27[[#This Row],[category]]="RNA"),"MET-ppi_c + ","")&amp;ROUND(ABS(_xlpm.mw/1000),6)&amp;" BIO-"&amp;mets27[[#This Row],[name]]))</f>
        <v/>
      </c>
      <c r="M70" s="149" cm="1">
        <f t="array" ref="M7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0.24214274377416581</v>
      </c>
      <c r="N70" s="149"/>
      <c r="O70" s="149"/>
      <c r="P70" s="149" t="str">
        <v>"pc_c":0.028783</v>
      </c>
      <c r="R70" s="149" t="str">
        <v>"pc_c":-0.028783</v>
      </c>
      <c r="S70" s="149"/>
      <c r="T70" s="149"/>
      <c r="V70" s="149"/>
      <c r="AB70" t="str">
        <v>BIOSYN-SO4-so4_c</v>
      </c>
      <c r="AC70" t="str">
        <v>MET-so4_c --&gt; 0.096063 BIO-so4_c</v>
      </c>
    </row>
    <row r="71" spans="1:29" ht="16" x14ac:dyDescent="0.2">
      <c r="A71" s="142" t="s">
        <v>1471</v>
      </c>
      <c r="B71" t="str">
        <f>SUBSTITUTE(_xlfn.TEXTBEFORE(mets27[[#This Row],[pasted JSON metabolite keys and values from GSM biomass rxn]],":"),CHAR(34),"")</f>
        <v>utp_c</v>
      </c>
      <c r="C71" t="str">
        <f>_xlfn.TEXTBEFORE(mets27[[#This Row],[name]],"_",-1)</f>
        <v>utp</v>
      </c>
      <c r="D71" t="str">
        <f>_xlfn.XLOOKUP(mets27[[#This Row],[name w/o location]],metaboliteInfo[name w/o location],metaboliteInfo[suggested category],"")</f>
        <v>RNA</v>
      </c>
      <c r="E71" s="21">
        <f>_xlfn.XLOOKUP(mets27[[#This Row],[name w/o location]],metaboliteInfo[name w/o location],metaboliteInfo[MW for biomass normalization (g/mol)],0)</f>
        <v>305.15806099999998</v>
      </c>
      <c r="F71" s="21">
        <f>_xlfn.NUMBERVALUE(SUBSTITUTE(_xlfn.TEXTAFTER(mets27[[#This Row],[pasted JSON metabolite keys and values from GSM biomass rxn]],":"),",",""))</f>
        <v>-6.0939362230862201E-2</v>
      </c>
      <c r="G71" s="21" cm="1">
        <f t="array" ref="G71">_xlfn.LET(_xlpm.id,mets27[[#This Row],[name w/o location]],IF(IsElementOfSet_DIY(_xlpm.id,{"atp","adp","h","pi","h2o"}),SIGN(mets27[[#This Row],[raw (GSM) coefficient]])*(ABS(mets27[[#This Row],[raw (GSM) coefficient]])-$J$2),mets27[[#This Row],[raw (GSM) coefficient]]))</f>
        <v>-6.0939362230862201E-2</v>
      </c>
      <c r="H71" s="21">
        <f>mets27[[#This Row],[coeff. w/o GAM]]</f>
        <v>-6.0939362230862201E-2</v>
      </c>
      <c r="I71" s="161">
        <f t="shared" si="3"/>
        <v>-6.0564039549568044E-2</v>
      </c>
      <c r="J71" s="21" cm="1">
        <f t="array" ref="J71">_xlfn.LET(_xlpm.id,mets27[[#This Row],[name w/o location]],_xlpm.oldcoeff,mets27[[#This Row],[normalized coeffs]],_xlpm.gam,$J$2-$G$2,_xlfn.IFS(IFERROR(MATCH(_xlpm.id,{"atp","h2o"},0),0)&gt;0,_xlpm.oldcoeff-_xlpm.gam,IFERROR(MATCH(_xlpm.id,{"adp","h","pi"},0),0)&gt;0,_xlpm.oldcoeff+_xlpm.gam,TRUE,_xlpm.oldcoeff))</f>
        <v>-6.0564039549568044E-2</v>
      </c>
      <c r="K71" t="str" cm="1">
        <f t="array" ref="K71">"BIOSYN-"&amp;_xlfn.IFS(IFERROR(MATCH(mets27[[#This Row],[category]],{0,"0",""},0),0)&gt;0,mets27[[#This Row],[name]],TRUE,mets27[[#This Row],[category]]&amp;"-"&amp;mets27[[#This Row],[name]])</f>
        <v>BIOSYN-RNA-utp_c</v>
      </c>
      <c r="L71" s="149" t="str" cm="1">
        <f t="array" ref="L71">IF(IsElementOfSet_DIY(mets27[[#This Row],[category]],{"ignore","PROT"}),"",_xlfn.LET(_xlpm.mw,mets27[[#This Row],[MW for biomass normalization (g/mol)]],"MET-"&amp;mets27[[#This Row],[name]]&amp;" --&gt; "&amp;IF((mets27[[#This Row],[category]]="DNA")+(mets27[[#This Row],[category]]="RNA"),"MET-ppi_c + ","")&amp;ROUND(ABS(_xlpm.mw/1000),6)&amp;" BIO-"&amp;mets27[[#This Row],[name]]))</f>
        <v>MET-utp_c --&gt; MET-ppi_c + 0.305158 BIO-utp_c</v>
      </c>
      <c r="M71" s="149" cm="1">
        <f t="array" ref="M7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-6.0939362230778317E-2</v>
      </c>
      <c r="N71" s="149"/>
      <c r="O71" s="149"/>
      <c r="P71" s="149" t="str">
        <v>"pe_c":0.00772</v>
      </c>
      <c r="R71" s="149" t="str">
        <v>"pe_c":-0.00772</v>
      </c>
      <c r="S71" s="149" cm="1">
        <f t="array" ref="S71:S80">S60:S69*S67/T67</f>
        <v>0.29943560158872012</v>
      </c>
      <c r="T71" s="149"/>
      <c r="V71" s="149"/>
    </row>
    <row r="72" spans="1:29" ht="16" x14ac:dyDescent="0.2">
      <c r="A72" s="144" t="s">
        <v>1493</v>
      </c>
      <c r="B72" t="str">
        <f>SUBSTITUTE(_xlfn.TEXTBEFORE(mets27[[#This Row],[pasted JSON metabolite keys and values from GSM biomass rxn]],":"),CHAR(34),"")</f>
        <v>trnaasn_c</v>
      </c>
      <c r="C72" t="str">
        <f>_xlfn.TEXTBEFORE(mets27[[#This Row],[name]],"_",-1)</f>
        <v>trnaasn</v>
      </c>
      <c r="D72" t="str">
        <f>_xlfn.XLOOKUP(mets27[[#This Row],[name w/o location]],metaboliteInfo[name w/o location],metaboliteInfo[suggested category],"")</f>
        <v>ignore</v>
      </c>
      <c r="E72" s="21">
        <f>_xlfn.XLOOKUP(mets27[[#This Row],[name w/o location]],metaboliteInfo[name w/o location],metaboliteInfo[MW for biomass normalization (g/mol)],0)</f>
        <v>0</v>
      </c>
      <c r="F72" s="21">
        <f>_xlfn.NUMBERVALUE(SUBSTITUTE(_xlfn.TEXTAFTER(mets27[[#This Row],[pasted JSON metabolite keys and values from GSM biomass rxn]],":"),",",""))</f>
        <v>0.13595153974285601</v>
      </c>
      <c r="G72" s="21" cm="1">
        <f t="array" ref="G72">_xlfn.LET(_xlpm.id,mets27[[#This Row],[name w/o location]],IF(IsElementOfSet_DIY(_xlpm.id,{"atp","adp","h","pi","h2o"}),SIGN(mets27[[#This Row],[raw (GSM) coefficient]])*(ABS(mets27[[#This Row],[raw (GSM) coefficient]])-$J$2),mets27[[#This Row],[raw (GSM) coefficient]]))</f>
        <v>0.13595153974285601</v>
      </c>
      <c r="H72" s="21">
        <f>mets27[[#This Row],[coeff. w/o GAM]]</f>
        <v>0.13595153974285601</v>
      </c>
      <c r="I72" s="161">
        <f t="shared" si="3"/>
        <v>0.1351142205692642</v>
      </c>
      <c r="J72" s="21" cm="1">
        <f t="array" ref="J72">_xlfn.LET(_xlpm.id,mets27[[#This Row],[name w/o location]],_xlpm.oldcoeff,mets27[[#This Row],[normalized coeffs]],_xlpm.gam,$J$2-$G$2,_xlfn.IFS(IFERROR(MATCH(_xlpm.id,{"atp","h2o"},0),0)&gt;0,_xlpm.oldcoeff-_xlpm.gam,IFERROR(MATCH(_xlpm.id,{"adp","h","pi"},0),0)&gt;0,_xlpm.oldcoeff+_xlpm.gam,TRUE,_xlpm.oldcoeff))</f>
        <v>0.1351142205692642</v>
      </c>
      <c r="K72" t="str" cm="1">
        <f t="array" ref="K72">"BIOSYN-"&amp;_xlfn.IFS(IFERROR(MATCH(mets27[[#This Row],[category]],{0,"0",""},0),0)&gt;0,mets27[[#This Row],[name]],TRUE,mets27[[#This Row],[category]]&amp;"-"&amp;mets27[[#This Row],[name]])</f>
        <v>BIOSYN-ignore-trnaasn_c</v>
      </c>
      <c r="L72" s="149" t="str" cm="1">
        <f t="array" ref="L72">IF(IsElementOfSet_DIY(mets27[[#This Row],[category]],{"ignore","PROT"}),"",_xlfn.LET(_xlpm.mw,mets27[[#This Row],[MW for biomass normalization (g/mol)]],"MET-"&amp;mets27[[#This Row],[name]]&amp;" --&gt; "&amp;IF((mets27[[#This Row],[category]]="DNA")+(mets27[[#This Row],[category]]="RNA"),"MET-ppi_c + ","")&amp;ROUND(ABS(_xlpm.mw/1000),6)&amp;" BIO-"&amp;mets27[[#This Row],[name]]))</f>
        <v/>
      </c>
      <c r="M72" s="149" cm="1">
        <f t="array" ref="M7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0.13600960029826875</v>
      </c>
      <c r="N72" s="149"/>
      <c r="O72" s="149"/>
      <c r="P72" s="149" t="str">
        <v>"phe__L_c":0.156209</v>
      </c>
      <c r="R72" s="149" t="str">
        <v>"phetrna_c":-0.156209</v>
      </c>
      <c r="S72" s="149">
        <v>-3.515688915782213E-3</v>
      </c>
      <c r="T72" s="149"/>
      <c r="V72" s="149"/>
    </row>
    <row r="73" spans="1:29" ht="16" x14ac:dyDescent="0.2">
      <c r="A73" s="142" t="s">
        <v>1472</v>
      </c>
      <c r="B73" t="str">
        <f>SUBSTITUTE(_xlfn.TEXTBEFORE(mets27[[#This Row],[pasted JSON metabolite keys and values from GSM biomass rxn]],":"),CHAR(34),"")</f>
        <v>zn2_c</v>
      </c>
      <c r="C73" t="str">
        <f>_xlfn.TEXTBEFORE(mets27[[#This Row],[name]],"_",-1)</f>
        <v>zn2</v>
      </c>
      <c r="D73" t="str">
        <f>_xlfn.XLOOKUP(mets27[[#This Row],[name w/o location]],metaboliteInfo[name w/o location],metaboliteInfo[suggested category],"")</f>
        <v>METAL</v>
      </c>
      <c r="E73" s="21">
        <f>_xlfn.XLOOKUP(mets27[[#This Row],[name w/o location]],metaboliteInfo[name w/o location],metaboliteInfo[MW for biomass normalization (g/mol)],0)</f>
        <v>65.38</v>
      </c>
      <c r="F73" s="21">
        <f>_xlfn.NUMBERVALUE(SUBSTITUTE(_xlfn.TEXTAFTER(mets27[[#This Row],[pasted JSON metabolite keys and values from GSM biomass rxn]],":"),",",""))</f>
        <v>-1.5357378012350899E-3</v>
      </c>
      <c r="G73" s="21" cm="1">
        <f t="array" ref="G73">_xlfn.LET(_xlpm.id,mets27[[#This Row],[name w/o location]],IF(IsElementOfSet_DIY(_xlpm.id,{"atp","adp","h","pi","h2o"}),SIGN(mets27[[#This Row],[raw (GSM) coefficient]])*(ABS(mets27[[#This Row],[raw (GSM) coefficient]])-$J$2),mets27[[#This Row],[raw (GSM) coefficient]]))</f>
        <v>-1.5357378012350899E-3</v>
      </c>
      <c r="H73" s="21">
        <f>mets27[[#This Row],[coeff. w/o GAM]]</f>
        <v>-1.5357378012350899E-3</v>
      </c>
      <c r="I73" s="161">
        <f t="shared" ref="I73:I93" si="6">H73/($H$3)</f>
        <v>-1.5262792639576448E-3</v>
      </c>
      <c r="J73" s="21" cm="1">
        <f t="array" ref="J73">_xlfn.LET(_xlpm.id,mets27[[#This Row],[name w/o location]],_xlpm.oldcoeff,mets27[[#This Row],[normalized coeffs]],_xlpm.gam,$J$2-$G$2,_xlfn.IFS(IFERROR(MATCH(_xlpm.id,{"atp","h2o"},0),0)&gt;0,_xlpm.oldcoeff-_xlpm.gam,IFERROR(MATCH(_xlpm.id,{"adp","h","pi"},0),0)&gt;0,_xlpm.oldcoeff+_xlpm.gam,TRUE,_xlpm.oldcoeff))</f>
        <v>-1.5262792639576448E-3</v>
      </c>
      <c r="K73" t="str" cm="1">
        <f t="array" ref="K73">"BIOSYN-"&amp;_xlfn.IFS(IFERROR(MATCH(mets27[[#This Row],[category]],{0,"0",""},0),0)&gt;0,mets27[[#This Row],[name]],TRUE,mets27[[#This Row],[category]]&amp;"-"&amp;mets27[[#This Row],[name]])</f>
        <v>BIOSYN-METAL-zn2_c</v>
      </c>
      <c r="L73" s="149" t="str" cm="1">
        <f t="array" ref="L73">IF(IsElementOfSet_DIY(mets27[[#This Row],[category]],{"ignore","PROT"}),"",_xlfn.LET(_xlpm.mw,mets27[[#This Row],[MW for biomass normalization (g/mol)]],"MET-"&amp;mets27[[#This Row],[name]]&amp;" --&gt; "&amp;IF((mets27[[#This Row],[category]]="DNA")+(mets27[[#This Row],[category]]="RNA"),"MET-ppi_c + ","")&amp;ROUND(ABS(_xlpm.mw/1000),6)&amp;" BIO-"&amp;mets27[[#This Row],[name]]))</f>
        <v>MET-zn2_c --&gt; 0.06538 BIO-zn2_c</v>
      </c>
      <c r="M73" s="149" cm="1">
        <f t="array" ref="M7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-1.5357378012350903E-3</v>
      </c>
      <c r="N73" s="149"/>
      <c r="O73" s="149"/>
      <c r="P73" s="149" t="str">
        <v>"pro__L_c":0.175319</v>
      </c>
      <c r="R73" s="149" t="str">
        <v>"protrna_c":-0.175319</v>
      </c>
      <c r="S73" s="149">
        <v>9.2100669553376469E-3</v>
      </c>
      <c r="T73" s="149"/>
      <c r="V73" s="149"/>
    </row>
    <row r="74" spans="1:29" ht="16" x14ac:dyDescent="0.2">
      <c r="A74" s="144" t="s">
        <v>1494</v>
      </c>
      <c r="B74" t="str">
        <f>SUBSTITUTE(_xlfn.TEXTBEFORE(mets27[[#This Row],[pasted JSON metabolite keys and values from GSM biomass rxn]],":"),CHAR(34),"")</f>
        <v>trnaasp_c</v>
      </c>
      <c r="C74" t="str">
        <f>_xlfn.TEXTBEFORE(mets27[[#This Row],[name]],"_",-1)</f>
        <v>trnaasp</v>
      </c>
      <c r="D74" t="str">
        <f>_xlfn.XLOOKUP(mets27[[#This Row],[name w/o location]],metaboliteInfo[name w/o location],metaboliteInfo[suggested category],"")</f>
        <v>ignore</v>
      </c>
      <c r="E74" s="21">
        <f>_xlfn.XLOOKUP(mets27[[#This Row],[name w/o location]],metaboliteInfo[name w/o location],metaboliteInfo[MW for biomass normalization (g/mol)],0)</f>
        <v>0</v>
      </c>
      <c r="F74" s="21">
        <f>_xlfn.NUMBERVALUE(SUBSTITUTE(_xlfn.TEXTAFTER(mets27[[#This Row],[pasted JSON metabolite keys and values from GSM biomass rxn]],":"),",",""))</f>
        <v>0.229597175295471</v>
      </c>
      <c r="G74" s="21" cm="1">
        <f t="array" ref="G74">_xlfn.LET(_xlpm.id,mets27[[#This Row],[name w/o location]],IF(IsElementOfSet_DIY(_xlpm.id,{"atp","adp","h","pi","h2o"}),SIGN(mets27[[#This Row],[raw (GSM) coefficient]])*(ABS(mets27[[#This Row],[raw (GSM) coefficient]])-$J$2),mets27[[#This Row],[raw (GSM) coefficient]]))</f>
        <v>0.229597175295471</v>
      </c>
      <c r="H74" s="21">
        <f>mets27[[#This Row],[coeff. w/o GAM]]</f>
        <v>0.229597175295471</v>
      </c>
      <c r="I74" s="161">
        <f t="shared" si="6"/>
        <v>0.22818309703316486</v>
      </c>
      <c r="J74" s="21" cm="1">
        <f t="array" ref="J74">_xlfn.LET(_xlpm.id,mets27[[#This Row],[name w/o location]],_xlpm.oldcoeff,mets27[[#This Row],[normalized coeffs]],_xlpm.gam,$J$2-$G$2,_xlfn.IFS(IFERROR(MATCH(_xlpm.id,{"atp","h2o"},0),0)&gt;0,_xlpm.oldcoeff-_xlpm.gam,IFERROR(MATCH(_xlpm.id,{"adp","h","pi"},0),0)&gt;0,_xlpm.oldcoeff+_xlpm.gam,TRUE,_xlpm.oldcoeff))</f>
        <v>0.22818309703316486</v>
      </c>
      <c r="K74" t="str" cm="1">
        <f t="array" ref="K74">"BIOSYN-"&amp;_xlfn.IFS(IFERROR(MATCH(mets27[[#This Row],[category]],{0,"0",""},0),0)&gt;0,mets27[[#This Row],[name]],TRUE,mets27[[#This Row],[category]]&amp;"-"&amp;mets27[[#This Row],[name]])</f>
        <v>BIOSYN-ignore-trnaasp_c</v>
      </c>
      <c r="L74" s="149" t="str" cm="1">
        <f t="array" ref="L74">IF(IsElementOfSet_DIY(mets27[[#This Row],[category]],{"ignore","PROT"}),"",_xlfn.LET(_xlpm.mw,mets27[[#This Row],[MW for biomass normalization (g/mol)]],"MET-"&amp;mets27[[#This Row],[name]]&amp;" --&gt; "&amp;IF((mets27[[#This Row],[category]]="DNA")+(mets27[[#This Row],[category]]="RNA"),"MET-ppi_c + ","")&amp;ROUND(ABS(_xlpm.mw/1000),6)&amp;" BIO-"&amp;mets27[[#This Row],[name]]))</f>
        <v/>
      </c>
      <c r="M74" s="149" cm="1">
        <f t="array" ref="M7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0.22969522890739819</v>
      </c>
      <c r="N74" s="149"/>
      <c r="O74" s="149"/>
      <c r="P74" s="149" t="str">
        <v>"ps_c":0.006643</v>
      </c>
      <c r="R74" s="149" t="str">
        <v>"ps_c":-0.006643</v>
      </c>
      <c r="S74" s="149">
        <v>7.7435488352272749E-2</v>
      </c>
      <c r="T74" s="149"/>
      <c r="V74" s="149"/>
    </row>
    <row r="75" spans="1:29" ht="16" x14ac:dyDescent="0.2">
      <c r="A75" s="144" t="s">
        <v>1495</v>
      </c>
      <c r="B75" t="str">
        <f>SUBSTITUTE(_xlfn.TEXTBEFORE(mets27[[#This Row],[pasted JSON metabolite keys and values from GSM biomass rxn]],":"),CHAR(34),"")</f>
        <v>trnacys_c</v>
      </c>
      <c r="C75" t="str">
        <f>_xlfn.TEXTBEFORE(mets27[[#This Row],[name]],"_",-1)</f>
        <v>trnacys</v>
      </c>
      <c r="D75" t="str">
        <f>_xlfn.XLOOKUP(mets27[[#This Row],[name w/o location]],metaboliteInfo[name w/o location],metaboliteInfo[suggested category],"")</f>
        <v>ignore</v>
      </c>
      <c r="E75" s="21">
        <f>_xlfn.XLOOKUP(mets27[[#This Row],[name w/o location]],metaboliteInfo[name w/o location],metaboliteInfo[MW for biomass normalization (g/mol)],0)</f>
        <v>0</v>
      </c>
      <c r="F75" s="21">
        <f>_xlfn.NUMBERVALUE(SUBSTITUTE(_xlfn.TEXTAFTER(mets27[[#This Row],[pasted JSON metabolite keys and values from GSM biomass rxn]],":"),",",""))</f>
        <v>3.9394864851221102E-2</v>
      </c>
      <c r="G75" s="21" cm="1">
        <f t="array" ref="G75">_xlfn.LET(_xlpm.id,mets27[[#This Row],[name w/o location]],IF(IsElementOfSet_DIY(_xlpm.id,{"atp","adp","h","pi","h2o"}),SIGN(mets27[[#This Row],[raw (GSM) coefficient]])*(ABS(mets27[[#This Row],[raw (GSM) coefficient]])-$J$2),mets27[[#This Row],[raw (GSM) coefficient]]))</f>
        <v>3.9394864851221102E-2</v>
      </c>
      <c r="H75" s="21">
        <f>mets27[[#This Row],[coeff. w/o GAM]]</f>
        <v>3.9394864851221102E-2</v>
      </c>
      <c r="I75" s="161">
        <f t="shared" si="6"/>
        <v>3.9152233721456944E-2</v>
      </c>
      <c r="J75" s="21" cm="1">
        <f t="array" ref="J75">_xlfn.LET(_xlpm.id,mets27[[#This Row],[name w/o location]],_xlpm.oldcoeff,mets27[[#This Row],[normalized coeffs]],_xlpm.gam,$J$2-$G$2,_xlfn.IFS(IFERROR(MATCH(_xlpm.id,{"atp","h2o"},0),0)&gt;0,_xlpm.oldcoeff-_xlpm.gam,IFERROR(MATCH(_xlpm.id,{"adp","h","pi"},0),0)&gt;0,_xlpm.oldcoeff+_xlpm.gam,TRUE,_xlpm.oldcoeff))</f>
        <v>3.9152233721456944E-2</v>
      </c>
      <c r="K75" t="str" cm="1">
        <f t="array" ref="K75">"BIOSYN-"&amp;_xlfn.IFS(IFERROR(MATCH(mets27[[#This Row],[category]],{0,"0",""},0),0)&gt;0,mets27[[#This Row],[name]],TRUE,mets27[[#This Row],[category]]&amp;"-"&amp;mets27[[#This Row],[name]])</f>
        <v>BIOSYN-ignore-trnacys_c</v>
      </c>
      <c r="L75" s="149" t="str" cm="1">
        <f t="array" ref="L75">IF(IsElementOfSet_DIY(mets27[[#This Row],[category]],{"ignore","PROT"}),"",_xlfn.LET(_xlpm.mw,mets27[[#This Row],[MW for biomass normalization (g/mol)]],"MET-"&amp;mets27[[#This Row],[name]]&amp;" --&gt; "&amp;IF((mets27[[#This Row],[category]]="DNA")+(mets27[[#This Row],[category]]="RNA"),"MET-ppi_c + ","")&amp;ROUND(ABS(_xlpm.mw/1000),6)&amp;" BIO-"&amp;mets27[[#This Row],[name]]))</f>
        <v/>
      </c>
      <c r="M75" s="149" cm="1">
        <f t="array" ref="M7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3.9411689138301613E-2</v>
      </c>
      <c r="N75" s="149"/>
      <c r="O75" s="149"/>
      <c r="P75" s="149" t="str">
        <v>"ser__L_c":0.221434</v>
      </c>
      <c r="R75" s="149" t="str">
        <v>"sertrna_c":-0.221434</v>
      </c>
      <c r="S75" s="149">
        <v>2.4632996648588926E-2</v>
      </c>
      <c r="T75" s="149"/>
      <c r="V75" s="149"/>
    </row>
    <row r="76" spans="1:29" ht="16" x14ac:dyDescent="0.2">
      <c r="A76" s="144" t="s">
        <v>1496</v>
      </c>
      <c r="B76" t="str">
        <f>SUBSTITUTE(_xlfn.TEXTBEFORE(mets27[[#This Row],[pasted JSON metabolite keys and values from GSM biomass rxn]],":"),CHAR(34),"")</f>
        <v>trnagln_c</v>
      </c>
      <c r="C76" t="str">
        <f>_xlfn.TEXTBEFORE(mets27[[#This Row],[name]],"_",-1)</f>
        <v>trnagln</v>
      </c>
      <c r="D76" t="str">
        <f>_xlfn.XLOOKUP(mets27[[#This Row],[name w/o location]],metaboliteInfo[name w/o location],metaboliteInfo[suggested category],"")</f>
        <v>ignore</v>
      </c>
      <c r="E76" s="21">
        <f>_xlfn.XLOOKUP(mets27[[#This Row],[name w/o location]],metaboliteInfo[name w/o location],metaboliteInfo[MW for biomass normalization (g/mol)],0)</f>
        <v>0</v>
      </c>
      <c r="F76" s="21">
        <f>_xlfn.NUMBERVALUE(SUBSTITUTE(_xlfn.TEXTAFTER(mets27[[#This Row],[pasted JSON metabolite keys and values from GSM biomass rxn]],":"),",",""))</f>
        <v>0.158674386056184</v>
      </c>
      <c r="G76" s="21" cm="1">
        <f t="array" ref="G76">_xlfn.LET(_xlpm.id,mets27[[#This Row],[name w/o location]],IF(IsElementOfSet_DIY(_xlpm.id,{"atp","adp","h","pi","h2o"}),SIGN(mets27[[#This Row],[raw (GSM) coefficient]])*(ABS(mets27[[#This Row],[raw (GSM) coefficient]])-$J$2),mets27[[#This Row],[raw (GSM) coefficient]]))</f>
        <v>0.158674386056184</v>
      </c>
      <c r="H76" s="21">
        <f>mets27[[#This Row],[coeff. w/o GAM]]</f>
        <v>0.158674386056184</v>
      </c>
      <c r="I76" s="161">
        <f t="shared" si="6"/>
        <v>0.15769711793510166</v>
      </c>
      <c r="J76" s="21" cm="1">
        <f t="array" ref="J76">_xlfn.LET(_xlpm.id,mets27[[#This Row],[name w/o location]],_xlpm.oldcoeff,mets27[[#This Row],[normalized coeffs]],_xlpm.gam,$J$2-$G$2,_xlfn.IFS(IFERROR(MATCH(_xlpm.id,{"atp","h2o"},0),0)&gt;0,_xlpm.oldcoeff-_xlpm.gam,IFERROR(MATCH(_xlpm.id,{"adp","h","pi"},0),0)&gt;0,_xlpm.oldcoeff+_xlpm.gam,TRUE,_xlpm.oldcoeff))</f>
        <v>0.15769711793510166</v>
      </c>
      <c r="K76" t="str" cm="1">
        <f t="array" ref="K76">"BIOSYN-"&amp;_xlfn.IFS(IFERROR(MATCH(mets27[[#This Row],[category]],{0,"0",""},0),0)&gt;0,mets27[[#This Row],[name]],TRUE,mets27[[#This Row],[category]]&amp;"-"&amp;mets27[[#This Row],[name]])</f>
        <v>BIOSYN-ignore-trnagln_c</v>
      </c>
      <c r="L76" s="149" t="str" cm="1">
        <f t="array" ref="L76">IF(IsElementOfSet_DIY(mets27[[#This Row],[category]],{"ignore","PROT"}),"",_xlfn.LET(_xlpm.mw,mets27[[#This Row],[MW for biomass normalization (g/mol)]],"MET-"&amp;mets27[[#This Row],[name]]&amp;" --&gt; "&amp;IF((mets27[[#This Row],[category]]="DNA")+(mets27[[#This Row],[category]]="RNA"),"MET-ppi_c + ","")&amp;ROUND(ABS(_xlpm.mw/1000),6)&amp;" BIO-"&amp;mets27[[#This Row],[name]]))</f>
        <v/>
      </c>
      <c r="M76" s="149" cm="1">
        <f t="array" ref="M7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0.15874215081266727</v>
      </c>
      <c r="N76" s="149"/>
      <c r="O76" s="149"/>
      <c r="P76" s="149" t="str">
        <v>"so4_c":0.031223</v>
      </c>
      <c r="R76" s="149" t="str">
        <v>"so4_c":-0.031223</v>
      </c>
      <c r="S76" s="149">
        <v>-5.4432010650434876E-5</v>
      </c>
      <c r="T76" s="149"/>
      <c r="V76" s="149"/>
    </row>
    <row r="77" spans="1:29" ht="16" x14ac:dyDescent="0.2">
      <c r="A77" s="144" t="s">
        <v>1497</v>
      </c>
      <c r="B77" t="str">
        <f>SUBSTITUTE(_xlfn.TEXTBEFORE(mets27[[#This Row],[pasted JSON metabolite keys and values from GSM biomass rxn]],":"),CHAR(34),"")</f>
        <v>trnaglu_c</v>
      </c>
      <c r="C77" t="str">
        <f>_xlfn.TEXTBEFORE(mets27[[#This Row],[name]],"_",-1)</f>
        <v>trnaglu</v>
      </c>
      <c r="D77" t="str">
        <f>_xlfn.XLOOKUP(mets27[[#This Row],[name w/o location]],metaboliteInfo[name w/o location],metaboliteInfo[suggested category],"")</f>
        <v>ignore</v>
      </c>
      <c r="E77" s="21">
        <f>_xlfn.XLOOKUP(mets27[[#This Row],[name w/o location]],metaboliteInfo[name w/o location],metaboliteInfo[MW for biomass normalization (g/mol)],0)</f>
        <v>0</v>
      </c>
      <c r="F77" s="21">
        <f>_xlfn.NUMBERVALUE(SUBSTITUTE(_xlfn.TEXTAFTER(mets27[[#This Row],[pasted JSON metabolite keys and values from GSM biomass rxn]],":"),",",""))</f>
        <v>0.27526935974782701</v>
      </c>
      <c r="G77" s="21" cm="1">
        <f t="array" ref="G77">_xlfn.LET(_xlpm.id,mets27[[#This Row],[name w/o location]],IF(IsElementOfSet_DIY(_xlpm.id,{"atp","adp","h","pi","h2o"}),SIGN(mets27[[#This Row],[raw (GSM) coefficient]])*(ABS(mets27[[#This Row],[raw (GSM) coefficient]])-$J$2),mets27[[#This Row],[raw (GSM) coefficient]]))</f>
        <v>0.27526935974782701</v>
      </c>
      <c r="H77" s="21">
        <f>mets27[[#This Row],[coeff. w/o GAM]]</f>
        <v>0.27526935974782701</v>
      </c>
      <c r="I77" s="161">
        <f t="shared" si="6"/>
        <v>0.27357398863798044</v>
      </c>
      <c r="J77" s="21" cm="1">
        <f t="array" ref="J77">_xlfn.LET(_xlpm.id,mets27[[#This Row],[name w/o location]],_xlpm.oldcoeff,mets27[[#This Row],[normalized coeffs]],_xlpm.gam,$J$2-$G$2,_xlfn.IFS(IFERROR(MATCH(_xlpm.id,{"atp","h2o"},0),0)&gt;0,_xlpm.oldcoeff-_xlpm.gam,IFERROR(MATCH(_xlpm.id,{"adp","h","pi"},0),0)&gt;0,_xlpm.oldcoeff+_xlpm.gam,TRUE,_xlpm.oldcoeff))</f>
        <v>0.27357398863798044</v>
      </c>
      <c r="K77" t="str" cm="1">
        <f t="array" ref="K77">"BIOSYN-"&amp;_xlfn.IFS(IFERROR(MATCH(mets27[[#This Row],[category]],{0,"0",""},0),0)&gt;0,mets27[[#This Row],[name]],TRUE,mets27[[#This Row],[category]]&amp;"-"&amp;mets27[[#This Row],[name]])</f>
        <v>BIOSYN-ignore-trnaglu_c</v>
      </c>
      <c r="L77" s="149" t="str" cm="1">
        <f t="array" ref="L77">IF(IsElementOfSet_DIY(mets27[[#This Row],[category]],{"ignore","PROT"}),"",_xlfn.LET(_xlpm.mw,mets27[[#This Row],[MW for biomass normalization (g/mol)]],"MET-"&amp;mets27[[#This Row],[name]]&amp;" --&gt; "&amp;IF((mets27[[#This Row],[category]]="DNA")+(mets27[[#This Row],[category]]="RNA"),"MET-ppi_c + ","")&amp;ROUND(ABS(_xlpm.mw/1000),6)&amp;" BIO-"&amp;mets27[[#This Row],[name]]))</f>
        <v/>
      </c>
      <c r="M77" s="149" cm="1">
        <f t="array" ref="M7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0.27538691848931163</v>
      </c>
      <c r="N77" s="149"/>
      <c r="O77" s="149"/>
      <c r="P77" s="149" t="str">
        <v>"tag_c":0.010494</v>
      </c>
      <c r="R77" s="149" t="str">
        <v>"tag_c":-0.010494</v>
      </c>
      <c r="S77" s="149">
        <v>9.8532013799593615E-3</v>
      </c>
      <c r="T77" s="149"/>
      <c r="V77" s="149"/>
    </row>
    <row r="78" spans="1:29" ht="16" x14ac:dyDescent="0.2">
      <c r="A78" s="144" t="s">
        <v>1498</v>
      </c>
      <c r="B78" t="str">
        <f>SUBSTITUTE(_xlfn.TEXTBEFORE(mets27[[#This Row],[pasted JSON metabolite keys and values from GSM biomass rxn]],":"),CHAR(34),"")</f>
        <v>trnagly_c</v>
      </c>
      <c r="C78" t="str">
        <f>_xlfn.TEXTBEFORE(mets27[[#This Row],[name]],"_",-1)</f>
        <v>trnagly</v>
      </c>
      <c r="D78" t="str">
        <f>_xlfn.XLOOKUP(mets27[[#This Row],[name w/o location]],metaboliteInfo[name w/o location],metaboliteInfo[suggested category],"")</f>
        <v>ignore</v>
      </c>
      <c r="E78" s="21">
        <f>_xlfn.XLOOKUP(mets27[[#This Row],[name w/o location]],metaboliteInfo[name w/o location],metaboliteInfo[MW for biomass normalization (g/mol)],0)</f>
        <v>0</v>
      </c>
      <c r="F78" s="21">
        <f>_xlfn.NUMBERVALUE(SUBSTITUTE(_xlfn.TEXTAFTER(mets27[[#This Row],[pasted JSON metabolite keys and values from GSM biomass rxn]],":"),",",""))</f>
        <v>0.33115548309618598</v>
      </c>
      <c r="G78" s="21" cm="1">
        <f t="array" ref="G78">_xlfn.LET(_xlpm.id,mets27[[#This Row],[name w/o location]],IF(IsElementOfSet_DIY(_xlpm.id,{"atp","adp","h","pi","h2o"}),SIGN(mets27[[#This Row],[raw (GSM) coefficient]])*(ABS(mets27[[#This Row],[raw (GSM) coefficient]])-$J$2),mets27[[#This Row],[raw (GSM) coefficient]]))</f>
        <v>0.33115548309618598</v>
      </c>
      <c r="H78" s="161">
        <f>mets27[[#This Row],[coeff. w/o GAM]]</f>
        <v>0.33115548309618598</v>
      </c>
      <c r="I78" s="161">
        <f t="shared" si="6"/>
        <v>0.32911591196693685</v>
      </c>
      <c r="J78" s="21" cm="1">
        <f t="array" ref="J78">_xlfn.LET(_xlpm.id,mets27[[#This Row],[name w/o location]],_xlpm.oldcoeff,mets27[[#This Row],[normalized coeffs]],_xlpm.gam,$J$2-$G$2,_xlfn.IFS(IFERROR(MATCH(_xlpm.id,{"atp","h2o"},0),0)&gt;0,_xlpm.oldcoeff-_xlpm.gam,IFERROR(MATCH(_xlpm.id,{"adp","h","pi"},0),0)&gt;0,_xlpm.oldcoeff+_xlpm.gam,TRUE,_xlpm.oldcoeff))</f>
        <v>0.32911591196693685</v>
      </c>
      <c r="K78" t="str" cm="1">
        <f t="array" ref="K78">"BIOSYN-"&amp;_xlfn.IFS(IFERROR(MATCH(mets27[[#This Row],[category]],{0,"0",""},0),0)&gt;0,mets27[[#This Row],[name]],TRUE,mets27[[#This Row],[category]]&amp;"-"&amp;mets27[[#This Row],[name]])</f>
        <v>BIOSYN-ignore-trnagly_c</v>
      </c>
      <c r="L78" s="149" t="str" cm="1">
        <f t="array" ref="L78">IF(IsElementOfSet_DIY(mets27[[#This Row],[category]],{"ignore","PROT"}),"",_xlfn.LET(_xlpm.mw,mets27[[#This Row],[MW for biomass normalization (g/mol)]],"MET-"&amp;mets27[[#This Row],[name]]&amp;" --&gt; "&amp;IF((mets27[[#This Row],[category]]="DNA")+(mets27[[#This Row],[category]]="RNA"),"MET-ppi_c + ","")&amp;ROUND(ABS(_xlpm.mw/1000),6)&amp;" BIO-"&amp;mets27[[#This Row],[name]]))</f>
        <v/>
      </c>
      <c r="M78" s="149" cm="1">
        <f t="array" ref="M7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0.33129690901392772</v>
      </c>
      <c r="N78" s="149"/>
      <c r="O78" s="149"/>
      <c r="P78" s="149" t="str">
        <v>"thr__L_c":0.231405</v>
      </c>
      <c r="R78" s="149" t="str">
        <v>"thrtrna_c":-0.231405</v>
      </c>
      <c r="S78" s="149">
        <v>0.44876955120623963</v>
      </c>
      <c r="T78" s="149"/>
      <c r="V78" s="149"/>
    </row>
    <row r="79" spans="1:29" ht="16" x14ac:dyDescent="0.2">
      <c r="A79" s="144" t="s">
        <v>1499</v>
      </c>
      <c r="B79" t="str">
        <f>SUBSTITUTE(_xlfn.TEXTBEFORE(mets27[[#This Row],[pasted JSON metabolite keys and values from GSM biomass rxn]],":"),CHAR(34),"")</f>
        <v>trnahis_c</v>
      </c>
      <c r="C79" t="str">
        <f>_xlfn.TEXTBEFORE(mets27[[#This Row],[name]],"_",-1)</f>
        <v>trnahis</v>
      </c>
      <c r="D79" t="str">
        <f>_xlfn.XLOOKUP(mets27[[#This Row],[name w/o location]],metaboliteInfo[name w/o location],metaboliteInfo[suggested category],"")</f>
        <v>ignore</v>
      </c>
      <c r="E79" s="21">
        <f>_xlfn.XLOOKUP(mets27[[#This Row],[name w/o location]],metaboliteInfo[name w/o location],metaboliteInfo[MW for biomass normalization (g/mol)],0)</f>
        <v>0</v>
      </c>
      <c r="F79" s="21">
        <f>_xlfn.NUMBERVALUE(SUBSTITUTE(_xlfn.TEXTAFTER(mets27[[#This Row],[pasted JSON metabolite keys and values from GSM biomass rxn]],":"),",",""))</f>
        <v>8.5455330021343798E-2</v>
      </c>
      <c r="G79" s="21" cm="1">
        <f t="array" ref="G79">_xlfn.LET(_xlpm.id,mets27[[#This Row],[name w/o location]],IF(IsElementOfSet_DIY(_xlpm.id,{"atp","adp","h","pi","h2o"}),SIGN(mets27[[#This Row],[raw (GSM) coefficient]])*(ABS(mets27[[#This Row],[raw (GSM) coefficient]])-$J$2),mets27[[#This Row],[raw (GSM) coefficient]]))</f>
        <v>8.5455330021343798E-2</v>
      </c>
      <c r="H79" s="161">
        <f>mets27[[#This Row],[coeff. w/o GAM]]</f>
        <v>8.5455330021343798E-2</v>
      </c>
      <c r="I79" s="161">
        <f t="shared" si="6"/>
        <v>8.4929014641261846E-2</v>
      </c>
      <c r="J79" s="21" cm="1">
        <f t="array" ref="J79">_xlfn.LET(_xlpm.id,mets27[[#This Row],[name w/o location]],_xlpm.oldcoeff,mets27[[#This Row],[normalized coeffs]],_xlpm.gam,$J$2-$G$2,_xlfn.IFS(IFERROR(MATCH(_xlpm.id,{"atp","h2o"},0),0)&gt;0,_xlpm.oldcoeff-_xlpm.gam,IFERROR(MATCH(_xlpm.id,{"adp","h","pi"},0),0)&gt;0,_xlpm.oldcoeff+_xlpm.gam,TRUE,_xlpm.oldcoeff))</f>
        <v>8.4929014641261846E-2</v>
      </c>
      <c r="K79" t="str" cm="1">
        <f t="array" ref="K79">"BIOSYN-"&amp;_xlfn.IFS(IFERROR(MATCH(mets27[[#This Row],[category]],{0,"0",""},0),0)&gt;0,mets27[[#This Row],[name]],TRUE,mets27[[#This Row],[category]]&amp;"-"&amp;mets27[[#This Row],[name]])</f>
        <v>BIOSYN-ignore-trnahis_c</v>
      </c>
      <c r="L79" s="149" t="str" cm="1">
        <f t="array" ref="L79">IF(IsElementOfSet_DIY(mets27[[#This Row],[category]],{"ignore","PROT"}),"",_xlfn.LET(_xlpm.mw,mets27[[#This Row],[MW for biomass normalization (g/mol)]],"MET-"&amp;mets27[[#This Row],[name]]&amp;" --&gt; "&amp;IF((mets27[[#This Row],[category]]="DNA")+(mets27[[#This Row],[category]]="RNA"),"MET-ppi_c + ","")&amp;ROUND(ABS(_xlpm.mw/1000),6)&amp;" BIO-"&amp;mets27[[#This Row],[name]]))</f>
        <v/>
      </c>
      <c r="M79" s="149" cm="1">
        <f t="array" ref="M7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8.5491825260260557E-2</v>
      </c>
      <c r="N79" s="149"/>
      <c r="O79" s="149"/>
      <c r="P79" s="149" t="str">
        <v>"tre_c":0.137707</v>
      </c>
      <c r="R79" s="149" t="str">
        <v>"tre_c":-0.137707</v>
      </c>
      <c r="S79" s="149">
        <v>0.11055802717166559</v>
      </c>
      <c r="T79" s="149"/>
      <c r="V79" s="149"/>
    </row>
    <row r="80" spans="1:29" ht="16" x14ac:dyDescent="0.2">
      <c r="A80" s="144" t="s">
        <v>1500</v>
      </c>
      <c r="B80" t="str">
        <f>SUBSTITUTE(_xlfn.TEXTBEFORE(mets27[[#This Row],[pasted JSON metabolite keys and values from GSM biomass rxn]],":"),CHAR(34),"")</f>
        <v>trnaile_c</v>
      </c>
      <c r="C80" t="str">
        <f>_xlfn.TEXTBEFORE(mets27[[#This Row],[name]],"_",-1)</f>
        <v>trnaile</v>
      </c>
      <c r="D80" t="str">
        <f>_xlfn.XLOOKUP(mets27[[#This Row],[name w/o location]],metaboliteInfo[name w/o location],metaboliteInfo[suggested category],"")</f>
        <v>ignore</v>
      </c>
      <c r="E80" s="21">
        <f>_xlfn.XLOOKUP(mets27[[#This Row],[name w/o location]],metaboliteInfo[name w/o location],metaboliteInfo[MW for biomass normalization (g/mol)],0)</f>
        <v>0</v>
      </c>
      <c r="F80" s="21">
        <f>_xlfn.NUMBERVALUE(SUBSTITUTE(_xlfn.TEXTAFTER(mets27[[#This Row],[pasted JSON metabolite keys and values from GSM biomass rxn]],":"),",",""))</f>
        <v>0.19760655547032999</v>
      </c>
      <c r="G80" s="21" cm="1">
        <f t="array" ref="G80">_xlfn.LET(_xlpm.id,mets27[[#This Row],[name w/o location]],IF(IsElementOfSet_DIY(_xlpm.id,{"atp","adp","h","pi","h2o"}),SIGN(mets27[[#This Row],[raw (GSM) coefficient]])*(ABS(mets27[[#This Row],[raw (GSM) coefficient]])-$J$2),mets27[[#This Row],[raw (GSM) coefficient]]))</f>
        <v>0.19760655547032999</v>
      </c>
      <c r="H80" s="161">
        <f>mets27[[#This Row],[coeff. w/o GAM]]</f>
        <v>0.19760655547032999</v>
      </c>
      <c r="I80" s="161">
        <f t="shared" si="6"/>
        <v>0.19638950593903598</v>
      </c>
      <c r="J80" s="21" cm="1">
        <f t="array" ref="J80">_xlfn.LET(_xlpm.id,mets27[[#This Row],[name w/o location]],_xlpm.oldcoeff,mets27[[#This Row],[normalized coeffs]],_xlpm.gam,$J$2-$G$2,_xlfn.IFS(IFERROR(MATCH(_xlpm.id,{"atp","h2o"},0),0)&gt;0,_xlpm.oldcoeff-_xlpm.gam,IFERROR(MATCH(_xlpm.id,{"adp","h","pi"},0),0)&gt;0,_xlpm.oldcoeff+_xlpm.gam,TRUE,_xlpm.oldcoeff))</f>
        <v>0.19638950593903598</v>
      </c>
      <c r="K80" t="str" cm="1">
        <f t="array" ref="K80">"BIOSYN-"&amp;_xlfn.IFS(IFERROR(MATCH(mets27[[#This Row],[category]],{0,"0",""},0),0)&gt;0,mets27[[#This Row],[name]],TRUE,mets27[[#This Row],[category]]&amp;"-"&amp;mets27[[#This Row],[name]])</f>
        <v>BIOSYN-ignore-trnaile_c</v>
      </c>
      <c r="L80" s="149" t="str" cm="1">
        <f t="array" ref="L80">IF(IsElementOfSet_DIY(mets27[[#This Row],[category]],{"ignore","PROT"}),"",_xlfn.LET(_xlpm.mw,mets27[[#This Row],[MW for biomass normalization (g/mol)]],"MET-"&amp;mets27[[#This Row],[name]]&amp;" --&gt; "&amp;IF((mets27[[#This Row],[category]]="DNA")+(mets27[[#This Row],[category]]="RNA"),"MET-ppi_c + ","")&amp;ROUND(ABS(_xlpm.mw/1000),6)&amp;" BIO-"&amp;mets27[[#This Row],[name]]))</f>
        <v/>
      </c>
      <c r="M80" s="149" cm="1">
        <f t="array" ref="M8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0.1976909469114678</v>
      </c>
      <c r="N80" s="149"/>
      <c r="O80" s="149"/>
      <c r="P80" s="149" t="str">
        <v>"trp__L_c":0.027004</v>
      </c>
      <c r="R80" s="149" t="str">
        <v>"trptrna_c":-0.027004</v>
      </c>
      <c r="S80" s="149">
        <v>2.91432973819353E-3</v>
      </c>
      <c r="T80" s="149"/>
      <c r="V80" s="149"/>
    </row>
    <row r="81" spans="1:22" ht="16" x14ac:dyDescent="0.2">
      <c r="A81" s="144" t="s">
        <v>1501</v>
      </c>
      <c r="B81" t="str">
        <f>SUBSTITUTE(_xlfn.TEXTBEFORE(mets27[[#This Row],[pasted JSON metabolite keys and values from GSM biomass rxn]],":"),CHAR(34),"")</f>
        <v>trnaleu_c</v>
      </c>
      <c r="C81" t="str">
        <f>_xlfn.TEXTBEFORE(mets27[[#This Row],[name]],"_",-1)</f>
        <v>trnaleu</v>
      </c>
      <c r="D81" t="str">
        <f>_xlfn.XLOOKUP(mets27[[#This Row],[name w/o location]],metaboliteInfo[name w/o location],metaboliteInfo[suggested category],"")</f>
        <v>ignore</v>
      </c>
      <c r="E81" s="21">
        <f>_xlfn.XLOOKUP(mets27[[#This Row],[name w/o location]],metaboliteInfo[name w/o location],metaboliteInfo[MW for biomass normalization (g/mol)],0)</f>
        <v>0</v>
      </c>
      <c r="F81" s="21">
        <f>_xlfn.NUMBERVALUE(SUBSTITUTE(_xlfn.TEXTAFTER(mets27[[#This Row],[pasted JSON metabolite keys and values from GSM biomass rxn]],":"),",",""))</f>
        <v>0.369919580722333</v>
      </c>
      <c r="G81" s="21" cm="1">
        <f t="array" ref="G81">_xlfn.LET(_xlpm.id,mets27[[#This Row],[name w/o location]],IF(IsElementOfSet_DIY(_xlpm.id,{"atp","adp","h","pi","h2o"}),SIGN(mets27[[#This Row],[raw (GSM) coefficient]])*(ABS(mets27[[#This Row],[raw (GSM) coefficient]])-$J$2),mets27[[#This Row],[raw (GSM) coefficient]]))</f>
        <v>0.369919580722333</v>
      </c>
      <c r="H81" s="161">
        <f>mets27[[#This Row],[coeff. w/o GAM]]</f>
        <v>0.369919580722333</v>
      </c>
      <c r="I81" s="161">
        <f t="shared" si="6"/>
        <v>0.3676412633291522</v>
      </c>
      <c r="J81" s="21" cm="1">
        <f t="array" ref="J81">_xlfn.LET(_xlpm.id,mets27[[#This Row],[name w/o location]],_xlpm.oldcoeff,mets27[[#This Row],[normalized coeffs]],_xlpm.gam,$J$2-$G$2,_xlfn.IFS(IFERROR(MATCH(_xlpm.id,{"atp","h2o"},0),0)&gt;0,_xlpm.oldcoeff-_xlpm.gam,IFERROR(MATCH(_xlpm.id,{"adp","h","pi"},0),0)&gt;0,_xlpm.oldcoeff+_xlpm.gam,TRUE,_xlpm.oldcoeff))</f>
        <v>0.3676412633291522</v>
      </c>
      <c r="K81" t="str" cm="1">
        <f t="array" ref="K81">"BIOSYN-"&amp;_xlfn.IFS(IFERROR(MATCH(mets27[[#This Row],[category]],{0,"0",""},0),0)&gt;0,mets27[[#This Row],[name]],TRUE,mets27[[#This Row],[category]]&amp;"-"&amp;mets27[[#This Row],[name]])</f>
        <v>BIOSYN-ignore-trnaleu_c</v>
      </c>
      <c r="L81" s="149" t="str" cm="1">
        <f t="array" ref="L81">IF(IsElementOfSet_DIY(mets27[[#This Row],[category]],{"ignore","PROT"}),"",_xlfn.LET(_xlpm.mw,mets27[[#This Row],[MW for biomass normalization (g/mol)]],"MET-"&amp;mets27[[#This Row],[name]]&amp;" --&gt; "&amp;IF((mets27[[#This Row],[category]]="DNA")+(mets27[[#This Row],[category]]="RNA"),"MET-ppi_c + ","")&amp;ROUND(ABS(_xlpm.mw/1000),6)&amp;" BIO-"&amp;mets27[[#This Row],[name]]))</f>
        <v/>
      </c>
      <c r="M81" s="149" cm="1">
        <f t="array" ref="M8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0.37007756154664295</v>
      </c>
      <c r="N81" s="149"/>
      <c r="O81" s="149"/>
      <c r="P81" s="149" t="str">
        <v>"tyr__L_c":0.081428</v>
      </c>
      <c r="R81" s="149" t="str">
        <v>"tyrtrna_c":-0.081428</v>
      </c>
      <c r="S81" s="149"/>
      <c r="T81" s="149"/>
      <c r="U81" s="149"/>
      <c r="V81" s="149"/>
    </row>
    <row r="82" spans="1:22" ht="16" x14ac:dyDescent="0.2">
      <c r="A82" s="144" t="s">
        <v>1502</v>
      </c>
      <c r="B82" t="str">
        <f>SUBSTITUTE(_xlfn.TEXTBEFORE(mets27[[#This Row],[pasted JSON metabolite keys and values from GSM biomass rxn]],":"),CHAR(34),"")</f>
        <v>trnalys_c</v>
      </c>
      <c r="C82" t="str">
        <f>_xlfn.TEXTBEFORE(mets27[[#This Row],[name]],"_",-1)</f>
        <v>trnalys</v>
      </c>
      <c r="D82" t="str">
        <f>_xlfn.XLOOKUP(mets27[[#This Row],[name w/o location]],metaboliteInfo[name w/o location],metaboliteInfo[suggested category],"")</f>
        <v>ignore</v>
      </c>
      <c r="E82" s="21">
        <f>_xlfn.XLOOKUP(mets27[[#This Row],[name w/o location]],metaboliteInfo[name w/o location],metaboliteInfo[MW for biomass normalization (g/mol)],0)</f>
        <v>0</v>
      </c>
      <c r="F82" s="21">
        <f>_xlfn.NUMBERVALUE(SUBSTITUTE(_xlfn.TEXTAFTER(mets27[[#This Row],[pasted JSON metabolite keys and values from GSM biomass rxn]],":"),",",""))</f>
        <v>0.26928506541805902</v>
      </c>
      <c r="G82" s="21" cm="1">
        <f t="array" ref="G82">_xlfn.LET(_xlpm.id,mets27[[#This Row],[name w/o location]],IF(IsElementOfSet_DIY(_xlpm.id,{"atp","adp","h","pi","h2o"}),SIGN(mets27[[#This Row],[raw (GSM) coefficient]])*(ABS(mets27[[#This Row],[raw (GSM) coefficient]])-$J$2),mets27[[#This Row],[raw (GSM) coefficient]]))</f>
        <v>0.26928506541805902</v>
      </c>
      <c r="H82" s="161">
        <f>mets27[[#This Row],[coeff. w/o GAM]]</f>
        <v>0.26928506541805902</v>
      </c>
      <c r="I82" s="161">
        <f t="shared" si="6"/>
        <v>0.26762655129704982</v>
      </c>
      <c r="J82" s="21" cm="1">
        <f t="array" ref="J82">_xlfn.LET(_xlpm.id,mets27[[#This Row],[name w/o location]],_xlpm.oldcoeff,mets27[[#This Row],[normalized coeffs]],_xlpm.gam,$J$2-$G$2,_xlfn.IFS(IFERROR(MATCH(_xlpm.id,{"atp","h2o"},0),0)&gt;0,_xlpm.oldcoeff-_xlpm.gam,IFERROR(MATCH(_xlpm.id,{"adp","h","pi"},0),0)&gt;0,_xlpm.oldcoeff+_xlpm.gam,TRUE,_xlpm.oldcoeff))</f>
        <v>0.26762655129704982</v>
      </c>
      <c r="K82" t="str" cm="1">
        <f t="array" ref="K82">"BIOSYN-"&amp;_xlfn.IFS(IFERROR(MATCH(mets27[[#This Row],[category]],{0,"0",""},0),0)&gt;0,mets27[[#This Row],[name]],TRUE,mets27[[#This Row],[category]]&amp;"-"&amp;mets27[[#This Row],[name]])</f>
        <v>BIOSYN-ignore-trnalys_c</v>
      </c>
      <c r="L82" s="149" t="str" cm="1">
        <f t="array" ref="L82">IF(IsElementOfSet_DIY(mets27[[#This Row],[category]],{"ignore","PROT"}),"",_xlfn.LET(_xlpm.mw,mets27[[#This Row],[MW for biomass normalization (g/mol)]],"MET-"&amp;mets27[[#This Row],[name]]&amp;" --&gt; "&amp;IF((mets27[[#This Row],[category]]="DNA")+(mets27[[#This Row],[category]]="RNA"),"MET-ppi_c + ","")&amp;ROUND(ABS(_xlpm.mw/1000),6)&amp;" BIO-"&amp;mets27[[#This Row],[name]]))</f>
        <v/>
      </c>
      <c r="M82" s="149" cm="1">
        <f t="array" ref="M8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0.26940006845879028</v>
      </c>
      <c r="N82" s="149"/>
      <c r="O82" s="149"/>
      <c r="P82" s="149" t="str">
        <v>"utp_c":0.062537</v>
      </c>
      <c r="R82" s="149" t="str">
        <v>"utp_c":-0.062537</v>
      </c>
      <c r="S82" s="149"/>
      <c r="T82" s="149"/>
      <c r="U82" s="149"/>
      <c r="V82" s="149"/>
    </row>
    <row r="83" spans="1:22" ht="16" x14ac:dyDescent="0.2">
      <c r="A83" s="144" t="s">
        <v>1503</v>
      </c>
      <c r="B83" t="str">
        <f>SUBSTITUTE(_xlfn.TEXTBEFORE(mets27[[#This Row],[pasted JSON metabolite keys and values from GSM biomass rxn]],":"),CHAR(34),"")</f>
        <v>trnamet_c</v>
      </c>
      <c r="C83" t="str">
        <f>_xlfn.TEXTBEFORE(mets27[[#This Row],[name]],"_",-1)</f>
        <v>trnamet</v>
      </c>
      <c r="D83" t="str">
        <f>_xlfn.XLOOKUP(mets27[[#This Row],[name w/o location]],metaboliteInfo[name w/o location],metaboliteInfo[suggested category],"")</f>
        <v>ignore</v>
      </c>
      <c r="E83" s="21">
        <f>_xlfn.XLOOKUP(mets27[[#This Row],[name w/o location]],metaboliteInfo[name w/o location],metaboliteInfo[MW for biomass normalization (g/mol)],0)</f>
        <v>0</v>
      </c>
      <c r="F83" s="21">
        <f>_xlfn.NUMBERVALUE(SUBSTITUTE(_xlfn.TEXTAFTER(mets27[[#This Row],[pasted JSON metabolite keys and values from GSM biomass rxn]],":"),",",""))</f>
        <v>8.4949595682646706E-2</v>
      </c>
      <c r="G83" s="21" cm="1">
        <f t="array" ref="G83">_xlfn.LET(_xlpm.id,mets27[[#This Row],[name w/o location]],IF(IsElementOfSet_DIY(_xlpm.id,{"atp","adp","h","pi","h2o"}),SIGN(mets27[[#This Row],[raw (GSM) coefficient]])*(ABS(mets27[[#This Row],[raw (GSM) coefficient]])-$J$2),mets27[[#This Row],[raw (GSM) coefficient]]))</f>
        <v>8.4949595682646706E-2</v>
      </c>
      <c r="H83" s="161">
        <f>mets27[[#This Row],[coeff. w/o GAM]]</f>
        <v>8.4949595682646706E-2</v>
      </c>
      <c r="I83" s="161">
        <f t="shared" si="6"/>
        <v>8.4426395096699011E-2</v>
      </c>
      <c r="J83" s="21" cm="1">
        <f t="array" ref="J83">_xlfn.LET(_xlpm.id,mets27[[#This Row],[name w/o location]],_xlpm.oldcoeff,mets27[[#This Row],[normalized coeffs]],_xlpm.gam,$J$2-$G$2,_xlfn.IFS(IFERROR(MATCH(_xlpm.id,{"atp","h2o"},0),0)&gt;0,_xlpm.oldcoeff-_xlpm.gam,IFERROR(MATCH(_xlpm.id,{"adp","h","pi"},0),0)&gt;0,_xlpm.oldcoeff+_xlpm.gam,TRUE,_xlpm.oldcoeff))</f>
        <v>8.4426395096699011E-2</v>
      </c>
      <c r="K83" t="str" cm="1">
        <f t="array" ref="K83">"BIOSYN-"&amp;_xlfn.IFS(IFERROR(MATCH(mets27[[#This Row],[category]],{0,"0",""},0),0)&gt;0,mets27[[#This Row],[name]],TRUE,mets27[[#This Row],[category]]&amp;"-"&amp;mets27[[#This Row],[name]])</f>
        <v>BIOSYN-ignore-trnamet_c</v>
      </c>
      <c r="L83" s="149" t="str" cm="1">
        <f t="array" ref="L83">IF(IsElementOfSet_DIY(mets27[[#This Row],[category]],{"ignore","PROT"}),"",_xlfn.LET(_xlpm.mw,mets27[[#This Row],[MW for biomass normalization (g/mol)]],"MET-"&amp;mets27[[#This Row],[name]]&amp;" --&gt; "&amp;IF((mets27[[#This Row],[category]]="DNA")+(mets27[[#This Row],[category]]="RNA"),"MET-ppi_c + ","")&amp;ROUND(ABS(_xlpm.mw/1000),6)&amp;" BIO-"&amp;mets27[[#This Row],[name]]))</f>
        <v/>
      </c>
      <c r="M83" s="149" cm="1">
        <f t="array" ref="M8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8.4985874938598868E-2</v>
      </c>
      <c r="N83" s="149"/>
      <c r="O83" s="149"/>
      <c r="P83" s="149" t="str">
        <v>"val__L_c":0.304524</v>
      </c>
      <c r="R83" s="149" t="str">
        <v>"valtrna_c":-0.304524</v>
      </c>
      <c r="S83" s="149"/>
      <c r="T83" s="149"/>
      <c r="U83" s="149"/>
      <c r="V83" s="149"/>
    </row>
    <row r="84" spans="1:22" ht="16" x14ac:dyDescent="0.2">
      <c r="A84" s="144" t="s">
        <v>1504</v>
      </c>
      <c r="B84" t="str">
        <f>SUBSTITUTE(_xlfn.TEXTBEFORE(mets27[[#This Row],[pasted JSON metabolite keys and values from GSM biomass rxn]],":"),CHAR(34),"")</f>
        <v>trnaphe_c</v>
      </c>
      <c r="C84" t="str">
        <f>_xlfn.TEXTBEFORE(mets27[[#This Row],[name]],"_",-1)</f>
        <v>trnaphe</v>
      </c>
      <c r="D84" t="str">
        <f>_xlfn.XLOOKUP(mets27[[#This Row],[name w/o location]],metaboliteInfo[name w/o location],metaboliteInfo[suggested category],"")</f>
        <v>ignore</v>
      </c>
      <c r="E84" s="21">
        <f>_xlfn.XLOOKUP(mets27[[#This Row],[name w/o location]],metaboliteInfo[name w/o location],metaboliteInfo[MW for biomass normalization (g/mol)],0)</f>
        <v>0</v>
      </c>
      <c r="F84" s="21">
        <f>_xlfn.NUMBERVALUE(SUBSTITUTE(_xlfn.TEXTAFTER(mets27[[#This Row],[pasted JSON metabolite keys and values from GSM biomass rxn]],":"),",",""))</f>
        <v>0.15541095015013501</v>
      </c>
      <c r="G84" s="21" cm="1">
        <f t="array" ref="G84">_xlfn.LET(_xlpm.id,mets27[[#This Row],[name w/o location]],IF(IsElementOfSet_DIY(_xlpm.id,{"atp","adp","h","pi","h2o"}),SIGN(mets27[[#This Row],[raw (GSM) coefficient]])*(ABS(mets27[[#This Row],[raw (GSM) coefficient]])-$J$2),mets27[[#This Row],[raw (GSM) coefficient]]))</f>
        <v>0.15541095015013501</v>
      </c>
      <c r="H84" s="161">
        <f>mets27[[#This Row],[coeff. w/o GAM]]</f>
        <v>0.15541095015013501</v>
      </c>
      <c r="I84" s="161">
        <f t="shared" si="6"/>
        <v>0.15445378137813756</v>
      </c>
      <c r="J84" s="21" cm="1">
        <f t="array" ref="J84">_xlfn.LET(_xlpm.id,mets27[[#This Row],[name w/o location]],_xlpm.oldcoeff,mets27[[#This Row],[normalized coeffs]],_xlpm.gam,$J$2-$G$2,_xlfn.IFS(IFERROR(MATCH(_xlpm.id,{"atp","h2o"},0),0)&gt;0,_xlpm.oldcoeff-_xlpm.gam,IFERROR(MATCH(_xlpm.id,{"adp","h","pi"},0),0)&gt;0,_xlpm.oldcoeff+_xlpm.gam,TRUE,_xlpm.oldcoeff))</f>
        <v>0.15445378137813756</v>
      </c>
      <c r="K84" t="str" cm="1">
        <f t="array" ref="K84">"BIOSYN-"&amp;_xlfn.IFS(IFERROR(MATCH(mets27[[#This Row],[category]],{0,"0",""},0),0)&gt;0,mets27[[#This Row],[name]],TRUE,mets27[[#This Row],[category]]&amp;"-"&amp;mets27[[#This Row],[name]])</f>
        <v>BIOSYN-ignore-trnaphe_c</v>
      </c>
      <c r="L84" s="149" t="str" cm="1">
        <f t="array" ref="L84">IF(IsElementOfSet_DIY(mets27[[#This Row],[category]],{"ignore","PROT"}),"",_xlfn.LET(_xlpm.mw,mets27[[#This Row],[MW for biomass normalization (g/mol)]],"MET-"&amp;mets27[[#This Row],[name]]&amp;" --&gt; "&amp;IF((mets27[[#This Row],[category]]="DNA")+(mets27[[#This Row],[category]]="RNA"),"MET-ppi_c + ","")&amp;ROUND(ABS(_xlpm.mw/1000),6)&amp;" BIO-"&amp;mets27[[#This Row],[name]]))</f>
        <v/>
      </c>
      <c r="M84" s="149" cm="1">
        <f t="array" ref="M84">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0.15547732119749499</v>
      </c>
      <c r="N84" s="149"/>
      <c r="O84" s="149"/>
      <c r="P84" s="149" t="str">
        <v>"zn2_c":0.001576</v>
      </c>
      <c r="R84" s="149" t="str">
        <v>"zn2_c":-0.001576</v>
      </c>
      <c r="S84" s="149"/>
      <c r="T84" s="149"/>
      <c r="U84" s="149"/>
      <c r="V84" s="149"/>
    </row>
    <row r="85" spans="1:22" ht="16" x14ac:dyDescent="0.2">
      <c r="A85" s="144" t="s">
        <v>1505</v>
      </c>
      <c r="B85" t="str">
        <f>SUBSTITUTE(_xlfn.TEXTBEFORE(mets27[[#This Row],[pasted JSON metabolite keys and values from GSM biomass rxn]],":"),CHAR(34),"")</f>
        <v>trnapro_c</v>
      </c>
      <c r="C85" t="str">
        <f>_xlfn.TEXTBEFORE(mets27[[#This Row],[name]],"_",-1)</f>
        <v>trnapro</v>
      </c>
      <c r="D85" t="str">
        <f>_xlfn.XLOOKUP(mets27[[#This Row],[name w/o location]],metaboliteInfo[name w/o location],metaboliteInfo[suggested category],"")</f>
        <v>ignore</v>
      </c>
      <c r="E85" s="21">
        <f>_xlfn.XLOOKUP(mets27[[#This Row],[name w/o location]],metaboliteInfo[name w/o location],metaboliteInfo[MW for biomass normalization (g/mol)],0)</f>
        <v>0</v>
      </c>
      <c r="F85" s="21">
        <f>_xlfn.NUMBERVALUE(SUBSTITUTE(_xlfn.TEXTAFTER(mets27[[#This Row],[pasted JSON metabolite keys and values from GSM biomass rxn]],":"),",",""))</f>
        <v>0.22982629572941099</v>
      </c>
      <c r="G85" s="21" cm="1">
        <f t="array" ref="G85">_xlfn.LET(_xlpm.id,mets27[[#This Row],[name w/o location]],IF(IsElementOfSet_DIY(_xlpm.id,{"atp","adp","h","pi","h2o"}),SIGN(mets27[[#This Row],[raw (GSM) coefficient]])*(ABS(mets27[[#This Row],[raw (GSM) coefficient]])-$J$2),mets27[[#This Row],[raw (GSM) coefficient]]))</f>
        <v>0.22982629572941099</v>
      </c>
      <c r="H85" s="161">
        <f>mets27[[#This Row],[coeff. w/o GAM]]</f>
        <v>0.22982629572941099</v>
      </c>
      <c r="I85" s="161">
        <f t="shared" si="6"/>
        <v>0.22841080632507027</v>
      </c>
      <c r="J85" s="21" cm="1">
        <f t="array" ref="J85">_xlfn.LET(_xlpm.id,mets27[[#This Row],[name w/o location]],_xlpm.oldcoeff,mets27[[#This Row],[normalized coeffs]],_xlpm.gam,$J$2-$G$2,_xlfn.IFS(IFERROR(MATCH(_xlpm.id,{"atp","h2o"},0),0)&gt;0,_xlpm.oldcoeff-_xlpm.gam,IFERROR(MATCH(_xlpm.id,{"adp","h","pi"},0),0)&gt;0,_xlpm.oldcoeff+_xlpm.gam,TRUE,_xlpm.oldcoeff))</f>
        <v>0.22841080632507027</v>
      </c>
      <c r="K85" t="str" cm="1">
        <f t="array" ref="K85">"BIOSYN-"&amp;_xlfn.IFS(IFERROR(MATCH(mets27[[#This Row],[category]],{0,"0",""},0),0)&gt;0,mets27[[#This Row],[name]],TRUE,mets27[[#This Row],[category]]&amp;"-"&amp;mets27[[#This Row],[name]])</f>
        <v>BIOSYN-ignore-trnapro_c</v>
      </c>
      <c r="L85" s="149" t="str" cm="1">
        <f t="array" ref="L85">IF(IsElementOfSet_DIY(mets27[[#This Row],[category]],{"ignore","PROT"}),"",_xlfn.LET(_xlpm.mw,mets27[[#This Row],[MW for biomass normalization (g/mol)]],"MET-"&amp;mets27[[#This Row],[name]]&amp;" --&gt; "&amp;IF((mets27[[#This Row],[category]]="DNA")+(mets27[[#This Row],[category]]="RNA"),"MET-ppi_c + ","")&amp;ROUND(ABS(_xlpm.mw/1000),6)&amp;" BIO-"&amp;mets27[[#This Row],[name]]))</f>
        <v/>
      </c>
      <c r="M85" s="149" cm="1">
        <f t="array" ref="M85">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0.22992444719134911</v>
      </c>
      <c r="N85" s="149"/>
      <c r="O85" s="149"/>
      <c r="P85" s="149" t="str">
        <v>"adp_c":190.57899</v>
      </c>
      <c r="R85" s="149" t="str">
        <v>"adp_c":-190.57899</v>
      </c>
      <c r="S85" s="149"/>
      <c r="T85" s="149"/>
      <c r="U85" s="149"/>
      <c r="V85" s="149"/>
    </row>
    <row r="86" spans="1:22" ht="16" x14ac:dyDescent="0.2">
      <c r="A86" s="144" t="s">
        <v>1506</v>
      </c>
      <c r="B86" t="str">
        <f>SUBSTITUTE(_xlfn.TEXTBEFORE(mets27[[#This Row],[pasted JSON metabolite keys and values from GSM biomass rxn]],":"),CHAR(34),"")</f>
        <v>trnaser_c</v>
      </c>
      <c r="C86" t="str">
        <f>_xlfn.TEXTBEFORE(mets27[[#This Row],[name]],"_",-1)</f>
        <v>trnaser</v>
      </c>
      <c r="D86" t="str">
        <f>_xlfn.XLOOKUP(mets27[[#This Row],[name w/o location]],metaboliteInfo[name w/o location],metaboliteInfo[suggested category],"")</f>
        <v>ignore</v>
      </c>
      <c r="E86" s="21">
        <f>_xlfn.XLOOKUP(mets27[[#This Row],[name w/o location]],metaboliteInfo[name w/o location],metaboliteInfo[MW for biomass normalization (g/mol)],0)</f>
        <v>0</v>
      </c>
      <c r="F86" s="21">
        <f>_xlfn.NUMBERVALUE(SUBSTITUTE(_xlfn.TEXTAFTER(mets27[[#This Row],[pasted JSON metabolite keys and values from GSM biomass rxn]],":"),",",""))</f>
        <v>0.29321129295647902</v>
      </c>
      <c r="G86" s="21" cm="1">
        <f t="array" ref="G86">_xlfn.LET(_xlpm.id,mets27[[#This Row],[name w/o location]],IF(IsElementOfSet_DIY(_xlpm.id,{"atp","adp","h","pi","h2o"}),SIGN(mets27[[#This Row],[raw (GSM) coefficient]])*(ABS(mets27[[#This Row],[raw (GSM) coefficient]])-$J$2),mets27[[#This Row],[raw (GSM) coefficient]]))</f>
        <v>0.29321129295647902</v>
      </c>
      <c r="H86" s="161">
        <f>mets27[[#This Row],[coeff. w/o GAM]]</f>
        <v>0.29321129295647902</v>
      </c>
      <c r="I86" s="161">
        <f t="shared" si="6"/>
        <v>0.291405418319307</v>
      </c>
      <c r="J86" s="21" cm="1">
        <f t="array" ref="J86">_xlfn.LET(_xlpm.id,mets27[[#This Row],[name w/o location]],_xlpm.oldcoeff,mets27[[#This Row],[normalized coeffs]],_xlpm.gam,$J$2-$G$2,_xlfn.IFS(IFERROR(MATCH(_xlpm.id,{"atp","h2o"},0),0)&gt;0,_xlpm.oldcoeff-_xlpm.gam,IFERROR(MATCH(_xlpm.id,{"adp","h","pi"},0),0)&gt;0,_xlpm.oldcoeff+_xlpm.gam,TRUE,_xlpm.oldcoeff))</f>
        <v>0.291405418319307</v>
      </c>
      <c r="K86" t="str" cm="1">
        <f t="array" ref="K86">"BIOSYN-"&amp;_xlfn.IFS(IFERROR(MATCH(mets27[[#This Row],[category]],{0,"0",""},0),0)&gt;0,mets27[[#This Row],[name]],TRUE,mets27[[#This Row],[category]]&amp;"-"&amp;mets27[[#This Row],[name]])</f>
        <v>BIOSYN-ignore-trnaser_c</v>
      </c>
      <c r="L86" s="149" t="str" cm="1">
        <f t="array" ref="L86">IF(IsElementOfSet_DIY(mets27[[#This Row],[category]],{"ignore","PROT"}),"",_xlfn.LET(_xlpm.mw,mets27[[#This Row],[MW for biomass normalization (g/mol)]],"MET-"&amp;mets27[[#This Row],[name]]&amp;" --&gt; "&amp;IF((mets27[[#This Row],[category]]="DNA")+(mets27[[#This Row],[category]]="RNA"),"MET-ppi_c + ","")&amp;ROUND(ABS(_xlpm.mw/1000),6)&amp;" BIO-"&amp;mets27[[#This Row],[name]]))</f>
        <v/>
      </c>
      <c r="M86" s="149" cm="1">
        <f t="array" ref="M86">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0.29333651412392248</v>
      </c>
      <c r="N86" s="149"/>
      <c r="O86" s="149"/>
      <c r="P86" s="149" t="str">
        <v>"h_c":190.57899</v>
      </c>
      <c r="R86" s="149" t="str">
        <v>"h_c":-190.57899</v>
      </c>
      <c r="S86" s="149"/>
      <c r="T86" s="149"/>
      <c r="U86" s="149"/>
      <c r="V86" s="149"/>
    </row>
    <row r="87" spans="1:22" ht="16" x14ac:dyDescent="0.2">
      <c r="A87" s="144" t="s">
        <v>1507</v>
      </c>
      <c r="B87" t="str">
        <f>SUBSTITUTE(_xlfn.TEXTBEFORE(mets27[[#This Row],[pasted JSON metabolite keys and values from GSM biomass rxn]],":"),CHAR(34),"")</f>
        <v>trnathr_c</v>
      </c>
      <c r="C87" t="str">
        <f>_xlfn.TEXTBEFORE(mets27[[#This Row],[name]],"_",-1)</f>
        <v>trnathr</v>
      </c>
      <c r="D87" t="str">
        <f>_xlfn.XLOOKUP(mets27[[#This Row],[name w/o location]],metaboliteInfo[name w/o location],metaboliteInfo[suggested category],"")</f>
        <v>ignore</v>
      </c>
      <c r="E87" s="21">
        <f>_xlfn.XLOOKUP(mets27[[#This Row],[name w/o location]],metaboliteInfo[name w/o location],metaboliteInfo[MW for biomass normalization (g/mol)],0)</f>
        <v>0</v>
      </c>
      <c r="F87" s="21">
        <f>_xlfn.NUMBERVALUE(SUBSTITUTE(_xlfn.TEXTAFTER(mets27[[#This Row],[pasted JSON metabolite keys and values from GSM biomass rxn]],":"),",",""))</f>
        <v>0.23758521227351301</v>
      </c>
      <c r="G87" s="21" cm="1">
        <f t="array" ref="G87">_xlfn.LET(_xlpm.id,mets27[[#This Row],[name w/o location]],IF(IsElementOfSet_DIY(_xlpm.id,{"atp","adp","h","pi","h2o"}),SIGN(mets27[[#This Row],[raw (GSM) coefficient]])*(ABS(mets27[[#This Row],[raw (GSM) coefficient]])-$J$2),mets27[[#This Row],[raw (GSM) coefficient]]))</f>
        <v>0.23758521227351301</v>
      </c>
      <c r="H87" s="161">
        <f>mets27[[#This Row],[coeff. w/o GAM]]</f>
        <v>0.23758521227351301</v>
      </c>
      <c r="I87" s="161">
        <f t="shared" si="6"/>
        <v>0.23612193606513193</v>
      </c>
      <c r="J87" s="21" cm="1">
        <f t="array" ref="J87">_xlfn.LET(_xlpm.id,mets27[[#This Row],[name w/o location]],_xlpm.oldcoeff,mets27[[#This Row],[normalized coeffs]],_xlpm.gam,$J$2-$G$2,_xlfn.IFS(IFERROR(MATCH(_xlpm.id,{"atp","h2o"},0),0)&gt;0,_xlpm.oldcoeff-_xlpm.gam,IFERROR(MATCH(_xlpm.id,{"adp","h","pi"},0),0)&gt;0,_xlpm.oldcoeff+_xlpm.gam,TRUE,_xlpm.oldcoeff))</f>
        <v>0.23612193606513193</v>
      </c>
      <c r="K87" t="str" cm="1">
        <f t="array" ref="K87">"BIOSYN-"&amp;_xlfn.IFS(IFERROR(MATCH(mets27[[#This Row],[category]],{0,"0",""},0),0)&gt;0,mets27[[#This Row],[name]],TRUE,mets27[[#This Row],[category]]&amp;"-"&amp;mets27[[#This Row],[name]])</f>
        <v>BIOSYN-ignore-trnathr_c</v>
      </c>
      <c r="L87" s="149" t="str" cm="1">
        <f t="array" ref="L87">IF(IsElementOfSet_DIY(mets27[[#This Row],[category]],{"ignore","PROT"}),"",_xlfn.LET(_xlpm.mw,mets27[[#This Row],[MW for biomass normalization (g/mol)]],"MET-"&amp;mets27[[#This Row],[name]]&amp;" --&gt; "&amp;IF((mets27[[#This Row],[category]]="DNA")+(mets27[[#This Row],[category]]="RNA"),"MET-ppi_c + ","")&amp;ROUND(ABS(_xlpm.mw/1000),6)&amp;" BIO-"&amp;mets27[[#This Row],[name]]))</f>
        <v/>
      </c>
      <c r="M87" s="149" cm="1">
        <f t="array" ref="M87">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0.23768667732060658</v>
      </c>
      <c r="N87" s="149"/>
      <c r="O87" s="149"/>
      <c r="P87" s="149" t="str">
        <v>"pi_c":190.473335</v>
      </c>
      <c r="R87" s="149" t="str">
        <v>"pi_c":-190.473335</v>
      </c>
      <c r="S87" s="149"/>
      <c r="T87" s="149"/>
      <c r="U87" s="149"/>
      <c r="V87" s="149"/>
    </row>
    <row r="88" spans="1:22" ht="16" x14ac:dyDescent="0.2">
      <c r="A88" s="144" t="s">
        <v>1508</v>
      </c>
      <c r="B88" t="str">
        <f>SUBSTITUTE(_xlfn.TEXTBEFORE(mets27[[#This Row],[pasted JSON metabolite keys and values from GSM biomass rxn]],":"),CHAR(34),"")</f>
        <v>trnatrp_c</v>
      </c>
      <c r="C88" t="str">
        <f>_xlfn.TEXTBEFORE(mets27[[#This Row],[name]],"_",-1)</f>
        <v>trnatrp</v>
      </c>
      <c r="D88" t="str">
        <f>_xlfn.XLOOKUP(mets27[[#This Row],[name w/o location]],metaboliteInfo[name w/o location],metaboliteInfo[suggested category],"")</f>
        <v>ignore</v>
      </c>
      <c r="E88" s="21">
        <f>_xlfn.XLOOKUP(mets27[[#This Row],[name w/o location]],metaboliteInfo[name w/o location],metaboliteInfo[MW for biomass normalization (g/mol)],0)</f>
        <v>0</v>
      </c>
      <c r="F88" s="21">
        <f>_xlfn.NUMBERVALUE(SUBSTITUTE(_xlfn.TEXTAFTER(mets27[[#This Row],[pasted JSON metabolite keys and values from GSM biomass rxn]],":"),",",""))</f>
        <v>4.26311694929657E-2</v>
      </c>
      <c r="G88" s="21" cm="1">
        <f t="array" ref="G88">_xlfn.LET(_xlpm.id,mets27[[#This Row],[name w/o location]],IF(IsElementOfSet_DIY(_xlpm.id,{"atp","adp","h","pi","h2o"}),SIGN(mets27[[#This Row],[raw (GSM) coefficient]])*(ABS(mets27[[#This Row],[raw (GSM) coefficient]])-$J$2),mets27[[#This Row],[raw (GSM) coefficient]]))</f>
        <v>4.26311694929657E-2</v>
      </c>
      <c r="H88" s="161">
        <f>mets27[[#This Row],[coeff. w/o GAM]]</f>
        <v>4.26311694929657E-2</v>
      </c>
      <c r="I88" s="161">
        <f t="shared" si="6"/>
        <v>4.2368606114304305E-2</v>
      </c>
      <c r="J88" s="21" cm="1">
        <f t="array" ref="J88">_xlfn.LET(_xlpm.id,mets27[[#This Row],[name w/o location]],_xlpm.oldcoeff,mets27[[#This Row],[normalized coeffs]],_xlpm.gam,$J$2-$G$2,_xlfn.IFS(IFERROR(MATCH(_xlpm.id,{"atp","h2o"},0),0)&gt;0,_xlpm.oldcoeff-_xlpm.gam,IFERROR(MATCH(_xlpm.id,{"adp","h","pi"},0),0)&gt;0,_xlpm.oldcoeff+_xlpm.gam,TRUE,_xlpm.oldcoeff))</f>
        <v>4.2368606114304305E-2</v>
      </c>
      <c r="K88" t="str" cm="1">
        <f t="array" ref="K88">"BIOSYN-"&amp;_xlfn.IFS(IFERROR(MATCH(mets27[[#This Row],[category]],{0,"0",""},0),0)&gt;0,mets27[[#This Row],[name]],TRUE,mets27[[#This Row],[category]]&amp;"-"&amp;mets27[[#This Row],[name]])</f>
        <v>BIOSYN-ignore-trnatrp_c</v>
      </c>
      <c r="L88" s="149" t="str" cm="1">
        <f t="array" ref="L88">IF(IsElementOfSet_DIY(mets27[[#This Row],[category]],{"ignore","PROT"}),"",_xlfn.LET(_xlpm.mw,mets27[[#This Row],[MW for biomass normalization (g/mol)]],"MET-"&amp;mets27[[#This Row],[name]]&amp;" --&gt; "&amp;IF((mets27[[#This Row],[category]]="DNA")+(mets27[[#This Row],[category]]="RNA"),"MET-ppi_c + ","")&amp;ROUND(ABS(_xlpm.mw/1000),6)&amp;" BIO-"&amp;mets27[[#This Row],[name]]))</f>
        <v/>
      </c>
      <c r="M88" s="149" cm="1">
        <f t="array" ref="M88">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4.2649375902274023E-2</v>
      </c>
      <c r="N88" s="149"/>
      <c r="O88" s="149"/>
      <c r="P88" s="149" t="str">
        <v>"ppi_c":0.385495</v>
      </c>
      <c r="R88" s="149" t="str">
        <v>"ppi_c":-0.385495</v>
      </c>
      <c r="S88" s="149"/>
      <c r="T88" s="149"/>
      <c r="U88" s="149"/>
      <c r="V88" s="149"/>
    </row>
    <row r="89" spans="1:22" ht="16" x14ac:dyDescent="0.2">
      <c r="A89" s="144" t="s">
        <v>1509</v>
      </c>
      <c r="B89" t="str">
        <f>SUBSTITUTE(_xlfn.TEXTBEFORE(mets27[[#This Row],[pasted JSON metabolite keys and values from GSM biomass rxn]],":"),CHAR(34),"")</f>
        <v>trnatyr_c</v>
      </c>
      <c r="C89" t="str">
        <f>_xlfn.TEXTBEFORE(mets27[[#This Row],[name]],"_",-1)</f>
        <v>trnatyr</v>
      </c>
      <c r="D89" t="str">
        <f>_xlfn.XLOOKUP(mets27[[#This Row],[name w/o location]],metaboliteInfo[name w/o location],metaboliteInfo[suggested category],"")</f>
        <v>ignore</v>
      </c>
      <c r="E89" s="21">
        <f>_xlfn.XLOOKUP(mets27[[#This Row],[name w/o location]],metaboliteInfo[name w/o location],metaboliteInfo[MW for biomass normalization (g/mol)],0)</f>
        <v>0</v>
      </c>
      <c r="F89" s="21">
        <f>_xlfn.NUMBERVALUE(SUBSTITUTE(_xlfn.TEXTAFTER(mets27[[#This Row],[pasted JSON metabolite keys and values from GSM biomass rxn]],":"),",",""))</f>
        <v>0.116872351819724</v>
      </c>
      <c r="G89" s="21" cm="1">
        <f t="array" ref="G89">_xlfn.LET(_xlpm.id,mets27[[#This Row],[name w/o location]],IF(IsElementOfSet_DIY(_xlpm.id,{"atp","adp","h","pi","h2o"}),SIGN(mets27[[#This Row],[raw (GSM) coefficient]])*(ABS(mets27[[#This Row],[raw (GSM) coefficient]])-$J$2),mets27[[#This Row],[raw (GSM) coefficient]]))</f>
        <v>0.116872351819724</v>
      </c>
      <c r="H89" s="161">
        <f>mets27[[#This Row],[coeff. w/o GAM]]</f>
        <v>0.116872351819724</v>
      </c>
      <c r="I89" s="161">
        <f t="shared" si="6"/>
        <v>0.11615254047204439</v>
      </c>
      <c r="J89" s="21" cm="1">
        <f t="array" ref="J89">_xlfn.LET(_xlpm.id,mets27[[#This Row],[name w/o location]],_xlpm.oldcoeff,mets27[[#This Row],[normalized coeffs]],_xlpm.gam,$J$2-$G$2,_xlfn.IFS(IFERROR(MATCH(_xlpm.id,{"atp","h2o"},0),0)&gt;0,_xlpm.oldcoeff-_xlpm.gam,IFERROR(MATCH(_xlpm.id,{"adp","h","pi"},0),0)&gt;0,_xlpm.oldcoeff+_xlpm.gam,TRUE,_xlpm.oldcoeff))</f>
        <v>0.11615254047204439</v>
      </c>
      <c r="K89" t="str" cm="1">
        <f t="array" ref="K89">"BIOSYN-"&amp;_xlfn.IFS(IFERROR(MATCH(mets27[[#This Row],[category]],{0,"0",""},0),0)&gt;0,mets27[[#This Row],[name]],TRUE,mets27[[#This Row],[category]]&amp;"-"&amp;mets27[[#This Row],[name]])</f>
        <v>BIOSYN-ignore-trnatyr_c</v>
      </c>
      <c r="L89" s="149" t="str" cm="1">
        <f t="array" ref="L89">IF(IsElementOfSet_DIY(mets27[[#This Row],[category]],{"ignore","PROT"}),"",_xlfn.LET(_xlpm.mw,mets27[[#This Row],[MW for biomass normalization (g/mol)]],"MET-"&amp;mets27[[#This Row],[name]]&amp;" --&gt; "&amp;IF((mets27[[#This Row],[category]]="DNA")+(mets27[[#This Row],[category]]="RNA"),"MET-ppi_c + ","")&amp;ROUND(ABS(_xlpm.mw/1000),6)&amp;" BIO-"&amp;mets27[[#This Row],[name]]))</f>
        <v/>
      </c>
      <c r="M89" s="149" cm="1">
        <f t="array" ref="M89">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0.11692226426405439</v>
      </c>
      <c r="N89" s="149"/>
      <c r="O89" s="149"/>
      <c r="P89" s="149"/>
      <c r="R89" s="149" t="str">
        <v>"trnaala_c":0.405893</v>
      </c>
      <c r="S89" s="149"/>
      <c r="T89" s="149"/>
      <c r="U89" s="149"/>
      <c r="V89" s="149"/>
    </row>
    <row r="90" spans="1:22" ht="16" x14ac:dyDescent="0.2">
      <c r="A90" s="144" t="s">
        <v>1510</v>
      </c>
      <c r="B90" t="str">
        <f>SUBSTITUTE(_xlfn.TEXTBEFORE(mets27[[#This Row],[pasted JSON metabolite keys and values from GSM biomass rxn]],":"),CHAR(34),"")</f>
        <v>trnaval_c</v>
      </c>
      <c r="C90" t="str">
        <f>_xlfn.TEXTBEFORE(mets27[[#This Row],[name]],"_",-1)</f>
        <v>trnaval</v>
      </c>
      <c r="D90" t="str">
        <f>_xlfn.XLOOKUP(mets27[[#This Row],[name w/o location]],metaboliteInfo[name w/o location],metaboliteInfo[suggested category],"")</f>
        <v>ignore</v>
      </c>
      <c r="E90" s="21">
        <f>_xlfn.XLOOKUP(mets27[[#This Row],[name w/o location]],metaboliteInfo[name w/o location],metaboliteInfo[MW for biomass normalization (g/mol)],0)</f>
        <v>0</v>
      </c>
      <c r="F90" s="21">
        <f>_xlfn.NUMBERVALUE(SUBSTITUTE(_xlfn.TEXTAFTER(mets27[[#This Row],[pasted JSON metabolite keys and values from GSM biomass rxn]],":"),",",""))</f>
        <v>0.31351952318853499</v>
      </c>
      <c r="G90" s="21" cm="1">
        <f t="array" ref="G90">_xlfn.LET(_xlpm.id,mets27[[#This Row],[name w/o location]],IF(IsElementOfSet_DIY(_xlpm.id,{"atp","adp","h","pi","h2o"}),SIGN(mets27[[#This Row],[raw (GSM) coefficient]])*(ABS(mets27[[#This Row],[raw (GSM) coefficient]])-$J$2),mets27[[#This Row],[raw (GSM) coefficient]]))</f>
        <v>0.31351952318853499</v>
      </c>
      <c r="H90" s="161">
        <f>mets27[[#This Row],[coeff. w/o GAM]]</f>
        <v>0.31351952318853499</v>
      </c>
      <c r="I90" s="161">
        <f t="shared" si="6"/>
        <v>0.31158857111136351</v>
      </c>
      <c r="J90" s="21" cm="1">
        <f t="array" ref="J90">_xlfn.LET(_xlpm.id,mets27[[#This Row],[name w/o location]],_xlpm.oldcoeff,mets27[[#This Row],[normalized coeffs]],_xlpm.gam,$J$2-$G$2,_xlfn.IFS(IFERROR(MATCH(_xlpm.id,{"atp","h2o"},0),0)&gt;0,_xlpm.oldcoeff-_xlpm.gam,IFERROR(MATCH(_xlpm.id,{"adp","h","pi"},0),0)&gt;0,_xlpm.oldcoeff+_xlpm.gam,TRUE,_xlpm.oldcoeff))</f>
        <v>0.31158857111136351</v>
      </c>
      <c r="K90" t="str" cm="1">
        <f t="array" ref="K90">"BIOSYN-"&amp;_xlfn.IFS(IFERROR(MATCH(mets27[[#This Row],[category]],{0,"0",""},0),0)&gt;0,mets27[[#This Row],[name]],TRUE,mets27[[#This Row],[category]]&amp;"-"&amp;mets27[[#This Row],[name]])</f>
        <v>BIOSYN-ignore-trnaval_c</v>
      </c>
      <c r="L90" s="149" t="str" cm="1">
        <f t="array" ref="L90">IF(IsElementOfSet_DIY(mets27[[#This Row],[category]],{"ignore","PROT"}),"",_xlfn.LET(_xlpm.mw,mets27[[#This Row],[MW for biomass normalization (g/mol)]],"MET-"&amp;mets27[[#This Row],[name]]&amp;" --&gt; "&amp;IF((mets27[[#This Row],[category]]="DNA")+(mets27[[#This Row],[category]]="RNA"),"MET-ppi_c + ","")&amp;ROUND(ABS(_xlpm.mw/1000),6)&amp;" BIO-"&amp;mets27[[#This Row],[name]]))</f>
        <v/>
      </c>
      <c r="M90" s="149" cm="1">
        <f t="array" ref="M90">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0.31365341735173086</v>
      </c>
      <c r="N90" s="149"/>
      <c r="O90" s="149"/>
      <c r="P90" s="149"/>
      <c r="R90" s="149" t="str">
        <v>"trnaarg_c":0.160363</v>
      </c>
      <c r="S90" s="149"/>
      <c r="T90" s="149"/>
      <c r="U90" s="149"/>
      <c r="V90" s="149"/>
    </row>
    <row r="91" spans="1:22" ht="16" x14ac:dyDescent="0.2">
      <c r="A91" s="144" t="s">
        <v>1511</v>
      </c>
      <c r="B91" t="str">
        <f>SUBSTITUTE(_xlfn.TEXTBEFORE(mets27[[#This Row],[pasted JSON metabolite keys and values from GSM biomass rxn]],":"),CHAR(34),"")</f>
        <v>trptrna_c</v>
      </c>
      <c r="C91" t="str">
        <f>_xlfn.TEXTBEFORE(mets27[[#This Row],[name]],"_",-1)</f>
        <v>trptrna</v>
      </c>
      <c r="D91" t="str">
        <f>_xlfn.XLOOKUP(mets27[[#This Row],[name w/o location]],metaboliteInfo[name w/o location],metaboliteInfo[suggested category],"")</f>
        <v>PROT</v>
      </c>
      <c r="E91" s="21">
        <f>_xlfn.XLOOKUP(mets27[[#This Row],[name w/o location]],metaboliteInfo[name w/o location],metaboliteInfo[MW for biomass normalization (g/mol)],0)</f>
        <v>187.21784</v>
      </c>
      <c r="F91" s="21">
        <f>_xlfn.NUMBERVALUE(SUBSTITUTE(_xlfn.TEXTAFTER(mets27[[#This Row],[pasted JSON metabolite keys and values from GSM biomass rxn]],":"),",",""))</f>
        <v>-4.26311694929657E-2</v>
      </c>
      <c r="G91" s="21" cm="1">
        <f t="array" ref="G91">_xlfn.LET(_xlpm.id,mets27[[#This Row],[name w/o location]],IF(IsElementOfSet_DIY(_xlpm.id,{"atp","adp","h","pi","h2o"}),SIGN(mets27[[#This Row],[raw (GSM) coefficient]])*(ABS(mets27[[#This Row],[raw (GSM) coefficient]])-$J$2),mets27[[#This Row],[raw (GSM) coefficient]]))</f>
        <v>-4.26311694929657E-2</v>
      </c>
      <c r="H91" s="21">
        <f>mets27[[#This Row],[coeff. w/o GAM]]</f>
        <v>-4.26311694929657E-2</v>
      </c>
      <c r="I91" s="161">
        <f t="shared" si="6"/>
        <v>-4.2368606114304305E-2</v>
      </c>
      <c r="J91" s="21" cm="1">
        <f t="array" ref="J91">_xlfn.LET(_xlpm.id,mets27[[#This Row],[name w/o location]],_xlpm.oldcoeff,mets27[[#This Row],[normalized coeffs]],_xlpm.gam,$J$2-$G$2,_xlfn.IFS(IFERROR(MATCH(_xlpm.id,{"atp","h2o"},0),0)&gt;0,_xlpm.oldcoeff-_xlpm.gam,IFERROR(MATCH(_xlpm.id,{"adp","h","pi"},0),0)&gt;0,_xlpm.oldcoeff+_xlpm.gam,TRUE,_xlpm.oldcoeff))</f>
        <v>-4.2368606114304305E-2</v>
      </c>
      <c r="K91" t="str" cm="1">
        <f t="array" ref="K91">"BIOSYN-"&amp;_xlfn.IFS(IFERROR(MATCH(mets27[[#This Row],[category]],{0,"0",""},0),0)&gt;0,mets27[[#This Row],[name]],TRUE,mets27[[#This Row],[category]]&amp;"-"&amp;mets27[[#This Row],[name]])</f>
        <v>BIOSYN-PROT-trptrna_c</v>
      </c>
      <c r="L91" s="149" t="str" cm="1">
        <f t="array" ref="L91">IF(IsElementOfSet_DIY(mets27[[#This Row],[category]],{"ignore","PROT"}),"",_xlfn.LET(_xlpm.mw,mets27[[#This Row],[MW for biomass normalization (g/mol)]],"MET-"&amp;mets27[[#This Row],[name]]&amp;" --&gt; "&amp;IF((mets27[[#This Row],[category]]="DNA")+(mets27[[#This Row],[category]]="RNA"),"MET-ppi_c + ","")&amp;ROUND(ABS(_xlpm.mw/1000),6)&amp;" BIO-"&amp;mets27[[#This Row],[name]]))</f>
        <v/>
      </c>
      <c r="M91" s="149" cm="1">
        <f t="array" ref="M91">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-4.2649375902274023E-2</v>
      </c>
      <c r="N91" s="149"/>
      <c r="O91" s="149"/>
      <c r="P91" s="149"/>
      <c r="R91" s="149" t="str">
        <v>"trnaasn_c":0.192768</v>
      </c>
      <c r="S91" s="149"/>
      <c r="T91" s="149"/>
      <c r="U91" s="149"/>
      <c r="V91" s="149"/>
    </row>
    <row r="92" spans="1:22" ht="16" x14ac:dyDescent="0.2">
      <c r="A92" s="144" t="s">
        <v>1512</v>
      </c>
      <c r="B92" t="str">
        <f>SUBSTITUTE(_xlfn.TEXTBEFORE(mets27[[#This Row],[pasted JSON metabolite keys and values from GSM biomass rxn]],":"),CHAR(34),"")</f>
        <v>tyrtrna_c</v>
      </c>
      <c r="C92" t="str">
        <f>_xlfn.TEXTBEFORE(mets27[[#This Row],[name]],"_",-1)</f>
        <v>tyrtrna</v>
      </c>
      <c r="D92" t="str">
        <f>_xlfn.XLOOKUP(mets27[[#This Row],[name w/o location]],metaboliteInfo[name w/o location],metaboliteInfo[suggested category],"")</f>
        <v>PROT</v>
      </c>
      <c r="E92" s="21">
        <f>_xlfn.XLOOKUP(mets27[[#This Row],[name w/o location]],metaboliteInfo[name w/o location],metaboliteInfo[MW for biomass normalization (g/mol)],0)</f>
        <v>164.18119999999999</v>
      </c>
      <c r="F92" s="21">
        <f>_xlfn.NUMBERVALUE(SUBSTITUTE(_xlfn.TEXTAFTER(mets27[[#This Row],[pasted JSON metabolite keys and values from GSM biomass rxn]],":"),",",""))</f>
        <v>-0.116872351819724</v>
      </c>
      <c r="G92" s="21" cm="1">
        <f t="array" ref="G92">_xlfn.LET(_xlpm.id,mets27[[#This Row],[name w/o location]],IF(IsElementOfSet_DIY(_xlpm.id,{"atp","adp","h","pi","h2o"}),SIGN(mets27[[#This Row],[raw (GSM) coefficient]])*(ABS(mets27[[#This Row],[raw (GSM) coefficient]])-$J$2),mets27[[#This Row],[raw (GSM) coefficient]]))</f>
        <v>-0.116872351819724</v>
      </c>
      <c r="H92" s="21">
        <f>mets27[[#This Row],[coeff. w/o GAM]]</f>
        <v>-0.116872351819724</v>
      </c>
      <c r="I92" s="161">
        <f t="shared" si="6"/>
        <v>-0.11615254047204439</v>
      </c>
      <c r="J92" s="21" cm="1">
        <f t="array" ref="J92">_xlfn.LET(_xlpm.id,mets27[[#This Row],[name w/o location]],_xlpm.oldcoeff,mets27[[#This Row],[normalized coeffs]],_xlpm.gam,$J$2-$G$2,_xlfn.IFS(IFERROR(MATCH(_xlpm.id,{"atp","h2o"},0),0)&gt;0,_xlpm.oldcoeff-_xlpm.gam,IFERROR(MATCH(_xlpm.id,{"adp","h","pi"},0),0)&gt;0,_xlpm.oldcoeff+_xlpm.gam,TRUE,_xlpm.oldcoeff))</f>
        <v>-0.11615254047204439</v>
      </c>
      <c r="K92" t="str" cm="1">
        <f t="array" ref="K92">"BIOSYN-"&amp;_xlfn.IFS(IFERROR(MATCH(mets27[[#This Row],[category]],{0,"0",""},0),0)&gt;0,mets27[[#This Row],[name]],TRUE,mets27[[#This Row],[category]]&amp;"-"&amp;mets27[[#This Row],[name]])</f>
        <v>BIOSYN-PROT-tyrtrna_c</v>
      </c>
      <c r="L92" s="149" t="str" cm="1">
        <f t="array" ref="L92">IF(IsElementOfSet_DIY(mets27[[#This Row],[category]],{"ignore","PROT"}),"",_xlfn.LET(_xlpm.mw,mets27[[#This Row],[MW for biomass normalization (g/mol)]],"MET-"&amp;mets27[[#This Row],[name]]&amp;" --&gt; "&amp;IF((mets27[[#This Row],[category]]="DNA")+(mets27[[#This Row],[category]]="RNA"),"MET-ppi_c + ","")&amp;ROUND(ABS(_xlpm.mw/1000),6)&amp;" BIO-"&amp;mets27[[#This Row],[name]]))</f>
        <v/>
      </c>
      <c r="M92" s="149" cm="1">
        <f t="array" ref="M92">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-0.11692226426405439</v>
      </c>
      <c r="N92" s="149"/>
      <c r="O92" s="149"/>
      <c r="P92" s="149"/>
      <c r="R92" s="149" t="str">
        <v>"trnaasp_c":0.192768</v>
      </c>
      <c r="S92" s="149"/>
      <c r="T92" s="149"/>
      <c r="U92" s="149"/>
      <c r="V92" s="149"/>
    </row>
    <row r="93" spans="1:22" ht="16" x14ac:dyDescent="0.2">
      <c r="A93" s="144" t="s">
        <v>1513</v>
      </c>
      <c r="B93" t="str">
        <f>SUBSTITUTE(_xlfn.TEXTBEFORE(mets27[[#This Row],[pasted JSON metabolite keys and values from GSM biomass rxn]],":"),CHAR(34),"")</f>
        <v>valtrna_c</v>
      </c>
      <c r="C93" t="str">
        <f>_xlfn.TEXTBEFORE(mets27[[#This Row],[name]],"_",-1)</f>
        <v>valtrna</v>
      </c>
      <c r="D93" t="str">
        <f>_xlfn.XLOOKUP(mets27[[#This Row],[name w/o location]],metaboliteInfo[name w/o location],metaboliteInfo[suggested category],"")</f>
        <v>PROT</v>
      </c>
      <c r="E93" s="21">
        <f>_xlfn.XLOOKUP(mets27[[#This Row],[name w/o location]],metaboliteInfo[name w/o location],metaboliteInfo[MW for biomass normalization (g/mol)],0)</f>
        <v>100.139</v>
      </c>
      <c r="F93" s="21">
        <f>_xlfn.NUMBERVALUE(SUBSTITUTE(_xlfn.TEXTAFTER(mets27[[#This Row],[pasted JSON metabolite keys and values from GSM biomass rxn]],":"),",",""))</f>
        <v>-0.31351952318853499</v>
      </c>
      <c r="G93" s="21" cm="1">
        <f t="array" ref="G93">_xlfn.LET(_xlpm.id,mets27[[#This Row],[name w/o location]],IF(IsElementOfSet_DIY(_xlpm.id,{"atp","adp","h","pi","h2o"}),SIGN(mets27[[#This Row],[raw (GSM) coefficient]])*(ABS(mets27[[#This Row],[raw (GSM) coefficient]])-$J$2),mets27[[#This Row],[raw (GSM) coefficient]]))</f>
        <v>-0.31351952318853499</v>
      </c>
      <c r="H93" s="21">
        <f>mets27[[#This Row],[coeff. w/o GAM]]</f>
        <v>-0.31351952318853499</v>
      </c>
      <c r="I93" s="161">
        <f t="shared" si="6"/>
        <v>-0.31158857111136351</v>
      </c>
      <c r="J93" s="21" cm="1">
        <f t="array" ref="J93">_xlfn.LET(_xlpm.id,mets27[[#This Row],[name w/o location]],_xlpm.oldcoeff,mets27[[#This Row],[normalized coeffs]],_xlpm.gam,$J$2-$G$2,_xlfn.IFS(IFERROR(MATCH(_xlpm.id,{"atp","h2o"},0),0)&gt;0,_xlpm.oldcoeff-_xlpm.gam,IFERROR(MATCH(_xlpm.id,{"adp","h","pi"},0),0)&gt;0,_xlpm.oldcoeff+_xlpm.gam,TRUE,_xlpm.oldcoeff))</f>
        <v>-0.31158857111136351</v>
      </c>
      <c r="K93" t="str" cm="1">
        <f t="array" ref="K93">"BIOSYN-"&amp;_xlfn.IFS(IFERROR(MATCH(mets27[[#This Row],[category]],{0,"0",""},0),0)&gt;0,mets27[[#This Row],[name]],TRUE,mets27[[#This Row],[category]]&amp;"-"&amp;mets27[[#This Row],[name]])</f>
        <v>BIOSYN-PROT-valtrna_c</v>
      </c>
      <c r="L93" s="149" t="str" cm="1">
        <f t="array" ref="L93">IF(IsElementOfSet_DIY(mets27[[#This Row],[category]],{"ignore","PROT"}),"",_xlfn.LET(_xlpm.mw,mets27[[#This Row],[MW for biomass normalization (g/mol)]],"MET-"&amp;mets27[[#This Row],[name]]&amp;" --&gt; "&amp;IF((mets27[[#This Row],[category]]="DNA")+(mets27[[#This Row],[category]]="RNA"),"MET-ppi_c + ","")&amp;ROUND(ABS(_xlpm.mw/1000),6)&amp;" BIO-"&amp;mets27[[#This Row],[name]]))</f>
        <v/>
      </c>
      <c r="M93" s="149" cm="1">
        <f t="array" ref="M93">_xlfn.LET(_xlpm.gam,$J$2,_xlpm.cat,IF(LEFT(mets27[[#This Row],[name w/o location]],4)="trna","PROT",mets27[[#This Row],[category]]),_xlpm.multipliers,_xlfn._xlws.FILTER(_xlfn.HSTACK(biomassComponents26[normalized coeffs],biomassComponents26[original coeffs from input]),(biomassComponents26[rxn name]="BIOSYN-"&amp;_xlpm.cat)+IF(mets27[[#This Row],[name w/o location]]="ppi",((biomassComponents26[rxn name]="BIOSYN-DNA"))+((biomassComponents26[rxn name]="BIOSYN-RNA"))&gt;0,FALSE),{1,1}),mets27[[#This Row],[normalized coeffs]]*(SUM(_xlfn.CHOOSECOLS(_xlpm.multipliers,1))/SUM(_xlfn.CHOOSECOLS(_xlpm.multipliers,2)))+_xlfn.IFS(OR(mets27[[#This Row],[name w/o location]]={"atp","h2o"}),-_xlpm.gam,OR(mets27[[#This Row],[name w/o location]]={"adp","h","pi"}),_xlpm.gam,TRUE,0))</f>
        <v>-0.31365341735173086</v>
      </c>
      <c r="N93" s="149"/>
      <c r="O93" s="149"/>
      <c r="P93" s="149"/>
      <c r="R93" s="149" t="str">
        <v>"trnacys_c":0.005816</v>
      </c>
      <c r="S93" s="149"/>
      <c r="T93" s="149"/>
      <c r="U93" s="149"/>
      <c r="V93" s="149"/>
    </row>
    <row r="94" spans="1:22" ht="16" x14ac:dyDescent="0.2">
      <c r="A94" s="144"/>
      <c r="E94" s="21"/>
      <c r="F94" s="21"/>
      <c r="G94" s="21"/>
      <c r="H94" s="21"/>
      <c r="I94" s="161"/>
      <c r="J94" s="21"/>
      <c r="L94" s="149"/>
      <c r="M94" s="149"/>
      <c r="N94" s="149"/>
      <c r="O94" s="149"/>
      <c r="P94" s="149"/>
      <c r="R94" s="149" t="str">
        <v>"trnagln_c":0.321557</v>
      </c>
      <c r="S94" s="149"/>
      <c r="T94" s="149"/>
      <c r="U94" s="149"/>
      <c r="V94" s="149"/>
    </row>
    <row r="95" spans="1:22" ht="16" x14ac:dyDescent="0.2">
      <c r="A95" s="144"/>
      <c r="E95" s="21"/>
      <c r="F95" s="21"/>
      <c r="G95" s="21"/>
      <c r="H95" s="21"/>
      <c r="I95" s="161"/>
      <c r="J95" s="21"/>
      <c r="L95" s="149"/>
      <c r="M95" s="149"/>
      <c r="N95" s="149"/>
      <c r="O95" s="149"/>
      <c r="P95" s="149"/>
      <c r="R95" s="149" t="str">
        <v>"trnaglu_c":0.321557</v>
      </c>
      <c r="S95" s="149"/>
      <c r="T95" s="149"/>
      <c r="U95" s="149"/>
      <c r="V95" s="149"/>
    </row>
    <row r="96" spans="1:22" ht="16" x14ac:dyDescent="0.2">
      <c r="A96" s="144"/>
      <c r="E96" s="21"/>
      <c r="F96" s="21"/>
      <c r="G96" s="21"/>
      <c r="H96" s="21"/>
      <c r="I96" s="161"/>
      <c r="J96" s="21"/>
      <c r="L96" s="149"/>
      <c r="M96" s="149"/>
      <c r="N96" s="149"/>
      <c r="O96" s="149"/>
      <c r="P96" s="149"/>
      <c r="R96" s="149" t="str">
        <v>"trnahis_c":0.080182</v>
      </c>
      <c r="S96" s="149"/>
      <c r="T96" s="149"/>
      <c r="U96" s="149"/>
      <c r="V96" s="149"/>
    </row>
    <row r="97" spans="1:22" ht="16" x14ac:dyDescent="0.2">
      <c r="A97" s="144"/>
      <c r="E97" s="21"/>
      <c r="F97" s="21"/>
      <c r="G97" s="21"/>
      <c r="H97" s="21"/>
      <c r="I97" s="161"/>
      <c r="J97" s="21"/>
      <c r="L97" s="149"/>
      <c r="M97" s="149"/>
      <c r="N97" s="149"/>
      <c r="O97" s="149"/>
      <c r="P97" s="149"/>
      <c r="R97" s="149" t="str">
        <v>"trnaile_c":0.244699</v>
      </c>
      <c r="S97" s="149"/>
      <c r="T97" s="149"/>
      <c r="U97" s="149"/>
      <c r="V97" s="149"/>
    </row>
    <row r="98" spans="1:22" ht="16" x14ac:dyDescent="0.2">
      <c r="A98" s="144"/>
      <c r="E98" s="21"/>
      <c r="F98" s="21"/>
      <c r="G98" s="21"/>
      <c r="H98" s="21"/>
      <c r="I98" s="161"/>
      <c r="J98" s="21"/>
      <c r="L98" s="149"/>
      <c r="M98" s="149"/>
      <c r="N98" s="149"/>
      <c r="O98" s="149"/>
      <c r="P98" s="149"/>
      <c r="R98" s="149" t="str">
        <v>"trnaleu_c":0.332774</v>
      </c>
      <c r="S98" s="149"/>
      <c r="T98" s="149"/>
      <c r="U98" s="149"/>
      <c r="V98" s="149"/>
    </row>
    <row r="99" spans="1:22" x14ac:dyDescent="0.15">
      <c r="R99" s="149" t="str">
        <v>"trnalys_c":0.27295</v>
      </c>
    </row>
    <row r="100" spans="1:22" x14ac:dyDescent="0.15">
      <c r="R100" s="149" t="str">
        <v>"trnamet_c":0.047361</v>
      </c>
    </row>
    <row r="101" spans="1:22" x14ac:dyDescent="0.15">
      <c r="R101" s="149" t="str">
        <v>"trnaphe_c":0.156209</v>
      </c>
    </row>
    <row r="102" spans="1:22" x14ac:dyDescent="0.15">
      <c r="R102" s="149" t="str">
        <v>"trnapro_c":0.175319</v>
      </c>
    </row>
    <row r="103" spans="1:22" x14ac:dyDescent="0.15">
      <c r="R103" s="149" t="str">
        <v>"trnaser_c":0.221434</v>
      </c>
    </row>
    <row r="104" spans="1:22" x14ac:dyDescent="0.15">
      <c r="R104" s="149" t="str">
        <v>"trnathr_c":0.231405</v>
      </c>
    </row>
    <row r="105" spans="1:22" x14ac:dyDescent="0.15">
      <c r="R105" s="149" t="str">
        <v>"trnatrp_c":0.027004</v>
      </c>
    </row>
    <row r="106" spans="1:22" x14ac:dyDescent="0.15">
      <c r="R106" s="149" t="str">
        <v>"trnatyr_c":0.081428</v>
      </c>
    </row>
    <row r="107" spans="1:22" x14ac:dyDescent="0.15">
      <c r="R107" t="str">
        <v>"trnaval_c":0.304524</v>
      </c>
    </row>
  </sheetData>
  <mergeCells count="3">
    <mergeCell ref="A1:F1"/>
    <mergeCell ref="A2:F2"/>
    <mergeCell ref="D4:E4"/>
  </mergeCells>
  <conditionalFormatting sqref="R20:R28">
    <cfRule type="expression" dxfId="42" priority="4" stopIfTrue="1">
      <formula>NOT(_xlfn.ISFORMULA(R20))</formula>
    </cfRule>
  </conditionalFormatting>
  <conditionalFormatting sqref="S6:S15">
    <cfRule type="expression" dxfId="41" priority="2" stopIfTrue="1">
      <formula>NOT(_xlfn.ISFORMULA(S6))</formula>
    </cfRule>
  </conditionalFormatting>
  <conditionalFormatting sqref="T6:T15">
    <cfRule type="expression" dxfId="40" priority="1"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C50B6-A28A-0745-ABC0-59785F7DB9BE}">
  <dimension ref="A1:AG107"/>
  <sheetViews>
    <sheetView zoomScale="110" zoomScaleNormal="110" workbookViewId="0">
      <selection activeCell="A6" sqref="A6:A93"/>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2" width="26.5" customWidth="1"/>
    <col min="13" max="13" width="26.6640625" bestFit="1"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12" customWidth="1"/>
    <col min="22" max="22" width="18.1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1473</v>
      </c>
      <c r="B1" s="182"/>
      <c r="C1" s="182"/>
      <c r="D1" s="182"/>
      <c r="E1" s="182"/>
      <c r="F1" s="182"/>
      <c r="G1" s="148" t="s">
        <v>744</v>
      </c>
      <c r="I1" s="148"/>
      <c r="J1" s="148" t="s">
        <v>743</v>
      </c>
      <c r="K1" s="148" t="s">
        <v>758</v>
      </c>
      <c r="L1" s="148"/>
      <c r="M1" s="148"/>
      <c r="N1" s="148"/>
      <c r="O1" s="148"/>
      <c r="P1" s="148"/>
      <c r="Q1" s="148"/>
      <c r="R1" s="148"/>
      <c r="S1" s="145"/>
      <c r="T1" s="148"/>
      <c r="U1" s="148"/>
      <c r="V1" s="148"/>
      <c r="W1" s="148"/>
    </row>
    <row r="2" spans="1:33" ht="13" customHeight="1" x14ac:dyDescent="0.15">
      <c r="A2" s="182"/>
      <c r="B2" s="182"/>
      <c r="C2" s="182"/>
      <c r="D2" s="182"/>
      <c r="E2" s="182"/>
      <c r="F2" s="182"/>
      <c r="G2" s="140">
        <v>8.5</v>
      </c>
      <c r="J2" s="145">
        <f>_xlfn.XLOOKUP("adp",mets2733[name w/o location],mets2733[raw (GSM) coefficient],0)</f>
        <v>251.23283699999999</v>
      </c>
      <c r="K2" t="str" cm="1">
        <f t="array" ref="K2">_xlfn.LET(_xlpm.array,_xlfn._xlws.SORT(_xlfn._xlws.FILTER(_xlfn.HSTACK(mets2733[normalized coeff. w/ updated GAM]-mets2733[normalized coeffs],"MET-"&amp;mets2733[name]),(mets2733[category]="GAM")+(mets2733[name w/o location]="atp")+(mets2733[name w/o location]="pi"))),SUBSTITUTE(_xlfn.TEXTJOIN(" + ",TRUE,ABS(_xlfn.CHOOSECOLS(_xlpm.array,1))&amp;" "&amp;_xlfn.CHOOSECOLS(_xlpm.array,2))," + "," --&gt; ",2))</f>
        <v>242.732837 MET-atp_c + 242.732837 MET-h2o_c --&gt; 242.732837 MET-adp_c + 242.732837 MET-h_c + 242.732837 MET-pi_c</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_xlfn.LET(_xlpm.coeffs,mets2733[coeff. w/o GAM],-SUM(_xlfn._xlws.FILTER(_xlpm.coeffs*mets2733[MW for biomass normalization (g/mol)],(IFERROR(_xlfn.NUMBERVALUE(_xlpm.coeffs),0)&lt;0)*(_xlfn.IFNA(mets2733[category],"ignore")&lt;&gt;"ignore")))/1000)</f>
        <v>1.0063969422427195</v>
      </c>
      <c r="H3" s="145" cm="1">
        <f t="array" ref="H3">_xlfn.LET(_xlpm.coeffs,mets2733[coeffs after extra operations],-SUM(_xlfn._xlws.FILTER(_xlpm.coeffs*mets2733[MW for biomass normalization (g/mol)],(IFERROR(_xlfn.NUMBERVALUE(_xlpm.coeffs),0)&lt;0)*(_xlfn.IFNA(mets2733[category],"ignore")&lt;&gt;"ignore")))/1000)</f>
        <v>1.0063969422427195</v>
      </c>
      <c r="I3" s="143" cm="1">
        <f t="array" ref="I3">_xlfn.LET(_xlpm.coeffs,mets2733[normalized coeffs],-SUM(_xlfn._xlws.FILTER(_xlpm.coeffs*mets2733[MW for biomass normalization (g/mol)],(IFERROR(_xlfn.NUMBERVALUE(_xlpm.coeffs),0)&lt;0)*(_xlfn.IFNA(mets2733[category],"ignore")&lt;&gt;"ignore")))/1000)</f>
        <v>0.99999999999999989</v>
      </c>
      <c r="J3" s="145"/>
      <c r="L3" s="145"/>
      <c r="M3" s="145" t="str" cm="1">
        <f t="array" ref="M3">_xlfn.TEXTJOIN(","&amp;CHAR(10),TRUE,CHAR(34)&amp;mets2733[name]&amp;CHAR(34)&amp;":"&amp;mets2733[new GSM coeffs])</f>
        <v>"13BDglucan_c":-0.667059797182664,
"16BDglucan_en":-0.175541846742192,
"adp_c":251.232837,
"alatrna_c":-0.417215855547621,
"argtrna_c":-0.164836511699347,
"asntrna_c":-0.198145486722372,
"asptrna_c":-0.198145486722372,
"atp_c":-251.299437986928,
"ca2_c":-0.00125314645456112,
"chtn_c":-0.0157705460502466,
"co2_c":0.00194890583913083,
"coa_c":0.00462183019749875,
"ctp_c":-0.116254159392965,
"cu2_c":-0.000111087632830457,
"cystrna_c":-0.00597824405906228,
"dag_c":0.00194890583913082,
"datp_c":-0.00585548759366856,
"dctp_c":-0.009139393932604,
"dgtp_c":-0.009139393932604,
"docoscoa_c":-1.35753472356956E-05,
"dttp_c":-0.00585548759366856,
"ergst_c":-0.0417718733030105,
"ergstest_c":-0.0103623323466586,
"fe2_c":-0.000647036738591434,
"glntrna_c":-0.330527205106584,
"glutrna_c":-0.330527205106584,
"glycogen_c":-0.228812264496074,
"glytrna_c":-0.379636999881312,
"gtp_c":-0.101863441501267,
"h2o_c":-247.170686343133,
"h_c":251.234545073552,
"histrna_c":-0.0824187697977531,
"hxccoa_c":-0.000974452919565412,
"iletrna_c":-0.251525162140385,
"k_c":-0.588228504895661,
"leutrna_c":-0.342057116318843,
"linocoa_c":-0.000257507322625944,
"linolncoa_c":-6.34327105074009E-05,
"lystrna_c":-0.280564256520126,
"mannan_c":-0.477628098524987,
"mettrna_c":-0.0486821899727044,
"mg2_c":-0.0619820268547972,
"mn2_c":-9.15985744391487E-05,
"nadp_c":0.00292335875869624,
"nadph_c":-0.00292335875869624,
"o2_c":-0.000974452919565415,
"odecoa_c":-0.000149965231871062,
"pail_c":-0.00948922253072798,
"pc_c":-0.0280476783838513,
"pe_c":-0.00752277653904498,
"phetrna_c":-0.160566631056063,
"pi_c":251.129881176783,
"pmtcoa_c":-0.00207155457628959,
"ppi_c":0.375646659941989,
"protrna_c":-0.180209726649027,
"ps_c":-0.00647329074467303,
"sertrna_c":-0.229666950325399,
"so4_c":-0.0304253435075909,
"stcoa_c":-8.16736330810605E-05,
"tag_c":-0.0102259089379194,
"thrtrna_c":-0.237860310606483,
"tre_c":-0.134188988194594,
"trnaala_c":0.417215855547621,
"trnaarg_c":0.164836511699347,
"trnaasn_c":0.198145486722372,
"trnaasp_c":0.198145486722372,
"trnacys_c":0.00597824405906228,
"trnagln_c":0.330527205106584,
"trnaglu_c":0.330527205106584,
"trnagly_c":0.379636999881312,
"trnahis_c":0.0824187697977531,
"trnaile_c":0.251525162140385,
"trnaleu_c":0.342057116318843,
"trnalys_c":0.280564256520126,
"trnamet_c":0.0486821899727044,
"trnaphe_c":0.160566631056063,
"trnapro_c":0.180209726649027,
"trnaser_c":0.229666950325399,
"trnathr_c":0.237860310606483,
"trnatrp_c":0.0277573078698277,
"trnatyr_c":0.0836995284115068,
"trnaval_c":0.313019049835262,
"trptrna_c":-0.0277573078698277,
"ttccoa_c":-0.00100966845632259,
"tyrtrna_c":-0.0836995284115068,
"utp_c":-0.060939350270388,
"valtrna_c":-0.313019049835262,
"zn2_c":-0.00153573780123509</v>
      </c>
      <c r="N3" s="145"/>
      <c r="O3" s="145"/>
      <c r="P3" s="145"/>
      <c r="Q3" s="145"/>
      <c r="R3" s="145"/>
      <c r="S3" s="178"/>
      <c r="T3" s="145"/>
      <c r="U3" s="145"/>
      <c r="V3" s="145" t="str" cm="1">
        <f t="array" ref="V3">_xlfn.LET(_xlpm.eqn,_xlfn.TEXTJOIN(" + ",TRUE,biomassComponents2632[new GSM coeffs])&amp;" + "&amp;K2,_xlpm.reactants,SUBSTITUTE(_xlfn.TEXTBEFORE(_xlpm.eqn,"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"13BDglucan_c":0.667059797182664,
"16BDglucan_en":0.175541846742192,
"chtn_c":0.0157705460502466,
"glycogen_c":0.228812264496074,
"mannan_c":0.477628098524987,
"tre_c":0.134188988194594,
"coa_c":-0.00462183019749875,
"nadp_c":-0.00292335875869624,
"nadph_c":0.00292335875869624,
"datp_c":0.00585548759366856,
"dctp_c":0.009139393932604,
"dgtp_c":0.009139393932604,
"dttp_c":0.00585548759366856,
"dag_c":-0.00194890583913082,
"docoscoa_c":1.35753472356956E-05,
"ergst_c":0.0417718733030105,
"ergstest_c":0.0103623323466586,
"hxccoa_c":0.000974452919565412,
"linocoa_c":0.000257507322625944,
"linolncoa_c":6.34327105074009E-05,
"odecoa_c":0.000149965231871062,
"pail_c":0.00948922253072798,
"pc_c":0.0280476783838513,
"pe_c":0.00752277653904498,
"pmtcoa_c":0.00207155457628959,
"ps_c":0.00647329074467303,
"stcoa_c":8.16736330810605E-05,
"tag_c":0.0102259089379194,
"ttccoa_c":0.00100966845632259,
"ca2_c":0.00125314645456112,
"cu2_c":0.000111087632830457,
"fe2_c":0.000647036738591434,
"k_c":0.588228504895661,
"mg2_c":0.0619820268547972,
"mn2_c":9.15985744391487E-05,
"zn2_c":0.00153573780123509,
"co2_c":-0.00194890583913083,
"o2_c":0.000974452919565415,
"pi_c":242.835792823217,
"alatrna_c":0.417215855547621,
"argtrna_c":0.164836511699347,
"asntrna_c":0.198145486722372,
"asptrna_c":0.198145486722372,
"cystrna_c":0.00597824405906228,
"glntrna_c":0.330527205106584,
"glutrna_c":0.330527205106584,
"glytrna_c":0.379636999881312,
"histrna_c":0.0824187697977531,
"iletrna_c":0.251525162140385,
"leutrna_c":0.342057116318843,
"lystrna_c":0.280564256520126,
"mettrna_c":0.0486821899727044,
"phetrna_c":0.160566631056063,
"protrna_c":0.180209726649027,
"sertrna_c":0.229666950325399,
"thrtrna_c":0.237860310606483,
"trptrna_c":0.0277573078698277,
"tyrtrna_c":0.0836995284115068,
"valtrna_c":0.313019049835262,
"atp_c":242.799437986928,
"ctp_c":0.116254159392965,
"gtp_c":0.101863441501267,
"utp_c":0.060939350270388,
"so4_c":0.0304253435075909,
"h2o_c":242.732837,
"adp_c":242.732837,
"h_c":242.732837</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customHeight="1" x14ac:dyDescent="0.2">
      <c r="A6" s="144" t="s">
        <v>1425</v>
      </c>
      <c r="B6" t="str">
        <f>SUBSTITUTE(_xlfn.TEXTBEFORE(mets2733[[#This Row],[pasted JSON metabolite keys and values from GSM biomass rxn]],":"),CHAR(34),"")</f>
        <v>13BDglucan_c</v>
      </c>
      <c r="C6" t="str">
        <f>_xlfn.TEXTBEFORE(mets2733[[#This Row],[name]],"_",-1)</f>
        <v>13BDglucan</v>
      </c>
      <c r="D6" t="str">
        <f>_xlfn.XLOOKUP(mets2733[[#This Row],[name w/o location]],metaboliteInfo[name w/o location],metaboliteInfo[suggested category],"")</f>
        <v>CARB</v>
      </c>
      <c r="E6" s="21">
        <f>_xlfn.XLOOKUP(mets2733[[#This Row],[name w/o location]],metaboliteInfo[name w/o location],metaboliteInfo[MW for biomass normalization (g/mol)],0)</f>
        <v>162.14060000000001</v>
      </c>
      <c r="F6" s="21">
        <f>_xlfn.NUMBERVALUE(SUBSTITUTE(_xlfn.TEXTAFTER(mets2733[[#This Row],[pasted JSON metabolite keys and values from GSM biomass rxn]],":"),",",""))</f>
        <v>-0.66705979718266395</v>
      </c>
      <c r="G6" s="21" cm="1">
        <f t="array" ref="G6">_xlfn.LET(_xlpm.id,mets2733[[#This Row],[name w/o location]],IF(IsElementOfSet_DIY(_xlpm.id,{"atp","adp","h","pi","h2o"}),SIGN(mets2733[[#This Row],[raw (GSM) coefficient]])*(ABS(mets2733[[#This Row],[raw (GSM) coefficient]])-$J$2),mets2733[[#This Row],[raw (GSM) coefficient]]))</f>
        <v>-0.66705979718266395</v>
      </c>
      <c r="H6" s="21">
        <f>mets2733[[#This Row],[coeff. w/o GAM]]</f>
        <v>-0.66705979718266395</v>
      </c>
      <c r="I6" s="161">
        <f t="shared" ref="I6:I69" si="0">H6/($H$3)</f>
        <v>-0.66281977734962616</v>
      </c>
      <c r="J6" s="21" cm="1">
        <f t="array" ref="J6">_xlfn.LET(_xlpm.id,mets2733[[#This Row],[name w/o location]],_xlpm.oldcoeff,mets2733[[#This Row],[normalized coeffs]],_xlpm.gam,$J$2-$G$2,_xlfn.IFS(IFERROR(MATCH(_xlpm.id,{"atp","h2o"},0),0)&gt;0,_xlpm.oldcoeff-_xlpm.gam,IFERROR(MATCH(_xlpm.id,{"adp","h","pi"},0),0)&gt;0,_xlpm.oldcoeff+_xlpm.gam,TRUE,_xlpm.oldcoeff))</f>
        <v>-0.66281977734962616</v>
      </c>
      <c r="K6" t="str" cm="1">
        <f t="array" ref="K6">"BIOSYN-"&amp;_xlfn.IFS(IFERROR(MATCH(mets2733[[#This Row],[category]],{0,"0",""},0),0)&gt;0,mets2733[[#This Row],[name]],TRUE,mets2733[[#This Row],[category]]&amp;"-"&amp;mets2733[[#This Row],[name]])</f>
        <v>BIOSYN-CARB-13BDglucan_c</v>
      </c>
      <c r="L6" s="149" t="str" cm="1">
        <f t="array" ref="L6">IF(IsElementOfSet_DIY(mets2733[[#This Row],[category]],{"ignore","PROT"}),"",_xlfn.LET(_xlpm.mw,mets2733[[#This Row],[MW for biomass normalization (g/mol)]],"MET-"&amp;mets2733[[#This Row],[name]]&amp;" --&gt; "&amp;IF((mets2733[[#This Row],[category]]="DNA")+(mets2733[[#This Row],[category]]="RNA"),"MET-ppi_c + ","")&amp;ROUND(ABS(_xlpm.mw/1000),6)&amp;" BIO-"&amp;mets2733[[#This Row],[name]]))</f>
        <v>MET-13BDglucan_c --&gt; 0.162141 BIO-13BDglucan_c</v>
      </c>
      <c r="M6" s="149" cm="1">
        <f t="array" ref="M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-0.66705979718266373</v>
      </c>
      <c r="N6" s="149"/>
      <c r="O6" s="162" t="str" cm="1">
        <f t="array" ref="O6:O15">"BIOSYN-"&amp;_xlfn._xlws.SORT(_xlfn.UNIQUE(_xlfn._xlws.FILTER(mets2733[category],(mets2733[category]&lt;&gt;0)*(mets2733[category]&lt;&gt;"GAM")*(mets2733[category]&lt;&gt;"ignore"))))</f>
        <v>BIOSYN-CARB</v>
      </c>
      <c r="P6" s="158" t="str">
        <f t="shared" ref="P6:P14" si="1">O6</f>
        <v>BIOSYN-CARB</v>
      </c>
      <c r="Q6" s="158" t="str">
        <f>SUBSTITUTE(LOWER(biomassComponents2632[[#This Row],[rxn name]]),"biosyn-","BIO-")</f>
        <v>BIO-carb</v>
      </c>
      <c r="R6" s="160" cm="1">
        <f t="array" ref="R6">SUM(_xlfn._xlws.FILTER(-mets2733[MW for biomass normalization (g/mol)]*mets2733[normalized coeffs]/1000,mets2733[category]=_xlfn.TEXTAFTER(O6,"BIOSYN-"),""))</f>
        <v>0.29839068774365046</v>
      </c>
      <c r="S6" s="160"/>
      <c r="T6" s="160">
        <v>0.30029947573891186</v>
      </c>
      <c r="U6" s="158" t="str" cm="1">
        <f t="array" ref="U6">_xlfn.TEXTJOIN(" + ",TRUE,_xlfn._xlws.FILTER(ROUND(-mets2733[MW for biomass normalization (g/mol)]*mets2733[normalized coeffs]*(biomassComponents2632[[#This Row],[normalized coeffs]]/biomassComponents2632[[#This Row],[original coeffs from input]])/(1000*biomassComponents2632[[#This Row],[normalized coeffs]]),6)&amp;" BIO-"&amp;mets2733[name],mets2733[category]=_xlfn.TEXTAFTER(O6,"BIOSYN-"),""))&amp;" --&gt; "&amp;biomassComponents2632[[#This Row],[product name]]</f>
        <v>0.360165 BIO-13BDglucan_c + 0.09478 BIO-16BDglucan_en + 0.010671 BIO-chtn_c + 0.123543 BIO-glycogen_c + 0.257886 BIO-mannan_c + 0.152955 BIO-tre_c --&gt; BIO-carb</v>
      </c>
      <c r="V6" s="158" t="str" cm="1">
        <f t="array" ref="V6">IFERROR(_xlfn.TEXTJOIN(" + ",TRUE,_xlfn._xlws.FILTER((-mets2733[normalized coeffs]*biomassComponents2632[[#This Row],[normalized coeffs]]/biomassComponents2632[[#This Row],[original coeffs from input]])&amp;" BIO-"&amp;mets2733[name],mets2733[category]=_xlfn.TEXTAFTER(P6,"BIOSYN-"),"")),"")</f>
        <v>0.667059797182664 BIO-13BDglucan_c + 0.175541846742192 BIO-16BDglucan_en + 0.0157705460502466 BIO-chtn_c + 0.228812264496074 BIO-glycogen_c + 0.477628098524987 BIO-mannan_c + 0.134188988194594 BIO-tre_c</v>
      </c>
      <c r="Y6" s="152" t="s">
        <v>17</v>
      </c>
      <c r="Z6" t="str">
        <f>SUBSTITUTE(Z7," --&gt; "," + "&amp;K2)</f>
        <v>0.300299475738912 BIO-carb + -0.00352583170694781 BIO-cofactor + 0.00923663807354148 BIO-dna + 0.0776588903670635 BIO-lipid + 0.0247040630446139 BIO-metal + -5.45890474446383E-05 BIO-other + 0.00988162794621808 BIO-pi + 0.468 BIO-varbiom + 0.110876987980811 BIO-rna + 0.0029227376032323 BIO-so4 + 242.732837 MET-atp_c + 242.732837 MET-h2o_c --&gt; 242.732837 MET-adp_c + 242.732837 MET-h_c + 242.732837 MET-pi_c</v>
      </c>
      <c r="AB6" t="str" cm="1">
        <f t="array" ref="AB6:AC70">_xlfn.LET(_xlpm.macros,_xlfn._xlws.FILTER(_xlfn.HSTACK(_xlfn.ANCHORARRAY(O6),biomassComponents2632[stoichiometry (if needed)]),biomassComponents2632[stoichiometry (if needed)]&lt;&gt;""),_xlfn.VSTACK(_xlfn._xlws.FILTER(ExtraRxns2531[[name]:[stoichiometry]],ExtraRxns2531[stoichiometry]&lt;&gt;""),_xlpm.macros,_xlfn._xlws.SORT(_xlfn._xlws.FILTER(mets2733[[biomass equation name]:[biomass equation]],ISNUMBER(MATCH(mets2733[category],_xlfn.TEXTAFTER(biomassComponents2632[rxn name],"BIOSYN-"),0))*(mets2733[biomass equation]&lt;&gt;"")))))</f>
        <v>BIOSYN-BIODILAERO</v>
      </c>
      <c r="AC6" t="str">
        <v>0.300299475738912 BIO-carb + -0.00352583170694781 BIO-cofactor + 0.00923663807354148 BIO-dna + 0.0776588903670635 BIO-lipid + 0.0247040630446139 BIO-metal + -5.45890474446383E-05 BIO-other + 0.00988162794621808 BIO-pi + 0.468 BIO-varbiom + 0.110876987980811 BIO-rna + 0.0029227376032323 BIO-so4 + 242.732837 MET-atp_c + 242.732837 MET-h2o_c --&gt; 242.732837 MET-adp_c + 242.732837 MET-h_c + 242.732837 MET-pi_c</v>
      </c>
    </row>
    <row r="7" spans="1:33" ht="16" customHeight="1" x14ac:dyDescent="0.2">
      <c r="A7" s="144" t="s">
        <v>1426</v>
      </c>
      <c r="B7" t="str">
        <f>SUBSTITUTE(_xlfn.TEXTBEFORE(mets2733[[#This Row],[pasted JSON metabolite keys and values from GSM biomass rxn]],":"),CHAR(34),"")</f>
        <v>16BDglucan_en</v>
      </c>
      <c r="C7" t="str">
        <f>_xlfn.TEXTBEFORE(mets2733[[#This Row],[name]],"_",-1)</f>
        <v>16BDglucan</v>
      </c>
      <c r="D7" t="str">
        <f>_xlfn.XLOOKUP(mets2733[[#This Row],[name w/o location]],metaboliteInfo[name w/o location],metaboliteInfo[suggested category],"")</f>
        <v>CARB</v>
      </c>
      <c r="E7" s="21">
        <f>_xlfn.XLOOKUP(mets2733[[#This Row],[name w/o location]],metaboliteInfo[name w/o location],metaboliteInfo[MW for biomass normalization (g/mol)],0)</f>
        <v>162.14060000000001</v>
      </c>
      <c r="F7" s="21">
        <f>_xlfn.NUMBERVALUE(SUBSTITUTE(_xlfn.TEXTAFTER(mets2733[[#This Row],[pasted JSON metabolite keys and values from GSM biomass rxn]],":"),",",""))</f>
        <v>-0.175541846742192</v>
      </c>
      <c r="G7" s="21" cm="1">
        <f t="array" ref="G7">_xlfn.LET(_xlpm.id,mets2733[[#This Row],[name w/o location]],IF(IsElementOfSet_DIY(_xlpm.id,{"atp","adp","h","pi","h2o"}),SIGN(mets2733[[#This Row],[raw (GSM) coefficient]])*(ABS(mets2733[[#This Row],[raw (GSM) coefficient]])-$J$2),mets2733[[#This Row],[raw (GSM) coefficient]]))</f>
        <v>-0.175541846742192</v>
      </c>
      <c r="H7" s="161">
        <f>mets2733[[#This Row],[coeff. w/o GAM]]</f>
        <v>-0.175541846742192</v>
      </c>
      <c r="I7" s="161">
        <f t="shared" si="0"/>
        <v>-0.17442605335326566</v>
      </c>
      <c r="J7" s="21" cm="1">
        <f t="array" ref="J7">_xlfn.LET(_xlpm.id,mets2733[[#This Row],[name w/o location]],_xlpm.oldcoeff,mets2733[[#This Row],[normalized coeffs]],_xlpm.gam,$J$2-$G$2,_xlfn.IFS(IFERROR(MATCH(_xlpm.id,{"atp","h2o"},0),0)&gt;0,_xlpm.oldcoeff-_xlpm.gam,IFERROR(MATCH(_xlpm.id,{"adp","h","pi"},0),0)&gt;0,_xlpm.oldcoeff+_xlpm.gam,TRUE,_xlpm.oldcoeff))</f>
        <v>-0.17442605335326566</v>
      </c>
      <c r="K7" t="str" cm="1">
        <f t="array" ref="K7">"BIOSYN-"&amp;_xlfn.IFS(IFERROR(MATCH(mets2733[[#This Row],[category]],{0,"0",""},0),0)&gt;0,mets2733[[#This Row],[name]],TRUE,mets2733[[#This Row],[category]]&amp;"-"&amp;mets2733[[#This Row],[name]])</f>
        <v>BIOSYN-CARB-16BDglucan_en</v>
      </c>
      <c r="L7" s="149" t="str" cm="1">
        <f t="array" ref="L7">IF(IsElementOfSet_DIY(mets2733[[#This Row],[category]],{"ignore","PROT"}),"",_xlfn.LET(_xlpm.mw,mets2733[[#This Row],[MW for biomass normalization (g/mol)]],"MET-"&amp;mets2733[[#This Row],[name]]&amp;" --&gt; "&amp;IF((mets2733[[#This Row],[category]]="DNA")+(mets2733[[#This Row],[category]]="RNA"),"MET-ppi_c + ","")&amp;ROUND(ABS(_xlpm.mw/1000),6)&amp;" BIO-"&amp;mets2733[[#This Row],[name]]))</f>
        <v>MET-16BDglucan_en --&gt; 0.162141 BIO-16BDglucan_en</v>
      </c>
      <c r="M7" s="149" cm="1">
        <f t="array" ref="M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-0.17554184674219198</v>
      </c>
      <c r="N7" s="149"/>
      <c r="O7" s="162" t="str">
        <v>BIOSYN-COFACTOR</v>
      </c>
      <c r="P7" s="158" t="str">
        <f t="shared" si="1"/>
        <v>BIOSYN-COFACTOR</v>
      </c>
      <c r="Q7" s="158" t="str">
        <f>SUBSTITUTE(LOWER(biomassComponents2632[[#This Row],[rxn name]]),"biosyn-","BIO-")</f>
        <v>BIO-cofactor</v>
      </c>
      <c r="R7" s="160" cm="1">
        <f t="array" ref="R7">SUM(_xlfn._xlws.FILTER(-mets2733[MW for biomass normalization (g/mol)]*mets2733[normalized coeffs]/1000,mets2733[category]=_xlfn.TEXTAFTER(O7,"BIOSYN-"),""))</f>
        <v>-3.5034205281771055E-3</v>
      </c>
      <c r="S7" s="160"/>
      <c r="T7" s="160">
        <v>-3.5258317069478116E-3</v>
      </c>
      <c r="U7" s="158" t="s">
        <v>1419</v>
      </c>
      <c r="V7" s="158" t="str" cm="1">
        <f t="array" ref="V7">IFERROR(_xlfn.TEXTJOIN(" + ",TRUE,_xlfn._xlws.FILTER((-mets2733[normalized coeffs]*biomassComponents2632[[#This Row],[normalized coeffs]]/biomassComponents2632[[#This Row],[original coeffs from input]])&amp;" BIO-"&amp;mets2733[name],mets2733[category]=_xlfn.TEXTAFTER(P7,"BIOSYN-"),"")),"")</f>
        <v>-0.00462183019749875 BIO-coa_c + -0.00292335875869624 BIO-nadp_c + 0.00292335875869624 BIO-nadph_c</v>
      </c>
      <c r="Y7" s="152" t="str">
        <f>Y6&amp;"-NOGAM"</f>
        <v>BIOSYN-BIODILAERO-NOGAM</v>
      </c>
      <c r="Z7" t="str" cm="1">
        <f t="array" ref="Z7">_xlfn.TEXTJOIN(" + ",TRUE,_xlfn._xlws.FILTER(biomassComponents2632[normalized coeffs]&amp;" "&amp;biomassComponents2632[product name],biomassComponents2632[normalized coeffs]&lt;&gt;0))&amp;" --&gt; "</f>
        <v xml:space="preserve">0.300299475738912 BIO-carb + -0.00352583170694781 BIO-cofactor + 0.00923663807354148 BIO-dna + 0.0776588903670635 BIO-lipid + 0.0247040630446139 BIO-metal + -5.45890474446383E-05 BIO-other + 0.00988162794621808 BIO-pi + 0.468 BIO-varbiom + 0.110876987980811 BIO-rna + 0.0029227376032323 BIO-so4 --&gt; </v>
      </c>
      <c r="AB7" t="str">
        <v>BIOSYN-BIODILAERO-NOGAM</v>
      </c>
      <c r="AC7" t="str">
        <v xml:space="preserve">0.300299475738912 BIO-carb + -0.00352583170694781 BIO-cofactor + 0.00923663807354148 BIO-dna + 0.0776588903670635 BIO-lipid + 0.0247040630446139 BIO-metal + -5.45890474446383E-05 BIO-other + 0.00988162794621808 BIO-pi + 0.468 BIO-varbiom + 0.110876987980811 BIO-rna + 0.0029227376032323 BIO-so4 --&gt; </v>
      </c>
    </row>
    <row r="8" spans="1:33" ht="16" customHeight="1" x14ac:dyDescent="0.2">
      <c r="A8" s="144" t="s">
        <v>1655</v>
      </c>
      <c r="B8" t="str">
        <f>SUBSTITUTE(_xlfn.TEXTBEFORE(mets2733[[#This Row],[pasted JSON metabolite keys and values from GSM biomass rxn]],":"),CHAR(34),"")</f>
        <v>adp_c</v>
      </c>
      <c r="C8" t="str">
        <f>_xlfn.TEXTBEFORE(mets2733[[#This Row],[name]],"_",-1)</f>
        <v>adp</v>
      </c>
      <c r="D8" t="str">
        <f>_xlfn.XLOOKUP(mets2733[[#This Row],[name w/o location]],metaboliteInfo[name w/o location],metaboliteInfo[suggested category],"")</f>
        <v>GAM</v>
      </c>
      <c r="E8" s="21">
        <f>_xlfn.XLOOKUP(mets2733[[#This Row],[name w/o location]],metaboliteInfo[name w/o location],metaboliteInfo[MW for biomass normalization (g/mol)],0)</f>
        <v>424.177302</v>
      </c>
      <c r="F8" s="21">
        <f>_xlfn.NUMBERVALUE(SUBSTITUTE(_xlfn.TEXTAFTER(mets2733[[#This Row],[pasted JSON metabolite keys and values from GSM biomass rxn]],":"),",",""))</f>
        <v>251.23283699999999</v>
      </c>
      <c r="G8" s="21" cm="1">
        <f t="array" ref="G8">_xlfn.LET(_xlpm.id,mets2733[[#This Row],[name w/o location]],IF(IsElementOfSet_DIY(_xlpm.id,{"atp","adp","h","pi","h2o"}),SIGN(mets2733[[#This Row],[raw (GSM) coefficient]])*(ABS(mets2733[[#This Row],[raw (GSM) coefficient]])-$J$2),mets2733[[#This Row],[raw (GSM) coefficient]]))</f>
        <v>0</v>
      </c>
      <c r="H8" s="21">
        <f>mets2733[[#This Row],[coeff. w/o GAM]]</f>
        <v>0</v>
      </c>
      <c r="I8" s="161">
        <f t="shared" si="0"/>
        <v>0</v>
      </c>
      <c r="J8" s="21" cm="1">
        <f t="array" ref="J8">_xlfn.LET(_xlpm.id,mets2733[[#This Row],[name w/o location]],_xlpm.oldcoeff,mets2733[[#This Row],[normalized coeffs]],_xlpm.gam,$J$2-$G$2,_xlfn.IFS(IFERROR(MATCH(_xlpm.id,{"atp","h2o"},0),0)&gt;0,_xlpm.oldcoeff-_xlpm.gam,IFERROR(MATCH(_xlpm.id,{"adp","h","pi"},0),0)&gt;0,_xlpm.oldcoeff+_xlpm.gam,TRUE,_xlpm.oldcoeff))</f>
        <v>242.73283699999999</v>
      </c>
      <c r="K8" t="str" cm="1">
        <f t="array" ref="K8">"BIOSYN-"&amp;_xlfn.IFS(IFERROR(MATCH(mets2733[[#This Row],[category]],{0,"0",""},0),0)&gt;0,mets2733[[#This Row],[name]],TRUE,mets2733[[#This Row],[category]]&amp;"-"&amp;mets2733[[#This Row],[name]])</f>
        <v>BIOSYN-GAM-adp_c</v>
      </c>
      <c r="L8" s="149" t="str" cm="1">
        <f t="array" ref="L8">IF(IsElementOfSet_DIY(mets2733[[#This Row],[category]],{"ignore","PROT"}),"",_xlfn.LET(_xlpm.mw,mets2733[[#This Row],[MW for biomass normalization (g/mol)]],"MET-"&amp;mets2733[[#This Row],[name]]&amp;" --&gt; "&amp;IF((mets2733[[#This Row],[category]]="DNA")+(mets2733[[#This Row],[category]]="RNA"),"MET-ppi_c + ","")&amp;ROUND(ABS(_xlpm.mw/1000),6)&amp;" BIO-"&amp;mets2733[[#This Row],[name]]))</f>
        <v>MET-adp_c --&gt; 0.424177 BIO-adp_c</v>
      </c>
      <c r="M8" s="149" cm="1">
        <f t="array" ref="M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251.23283699999999</v>
      </c>
      <c r="N8" s="149"/>
      <c r="O8" s="162" t="str">
        <v>BIOSYN-DNA</v>
      </c>
      <c r="P8" s="158" t="str">
        <f t="shared" si="1"/>
        <v>BIOSYN-DNA</v>
      </c>
      <c r="Q8" s="158" t="str">
        <f>SUBSTITUTE(LOWER(biomassComponents2632[[#This Row],[rxn name]]),"biosyn-","BIO-")</f>
        <v>BIO-dna</v>
      </c>
      <c r="R8" s="160" cm="1">
        <f t="array" ref="R8">SUM(_xlfn._xlws.FILTER(-mets2733[MW for biomass normalization (g/mol)]*mets2733[normalized coeffs]/1000,mets2733[category]=_xlfn.TEXTAFTER(O8,"BIOSYN-"),""))</f>
        <v>9.1779274020427418E-3</v>
      </c>
      <c r="S8" s="160"/>
      <c r="T8" s="160">
        <v>9.2366380735414838E-3</v>
      </c>
      <c r="U8" s="158" t="str" cm="1">
        <f t="array" ref="U8">_xlfn.TEXTJOIN(" + ",TRUE,_xlfn._xlws.FILTER(ROUND(-mets2733[MW for biomass normalization (g/mol)]*mets2733[normalized coeffs]*(biomassComponents2632[[#This Row],[normalized coeffs]]/biomassComponents2632[[#This Row],[original coeffs from input]])/(1000*biomassComponents2632[[#This Row],[normalized coeffs]]),6)&amp;" BIO-"&amp;mets2733[name],mets2733[category]=_xlfn.TEXTAFTER(O8,"BIOSYN-"),""))&amp;" --&gt; "&amp;biomassComponents2632[[#This Row],[product name]]</f>
        <v>0.197916 BIO-datp_c + 0.28514 BIO-dctp_c + 0.324743 BIO-dgtp_c + 0.192202 BIO-dttp_c --&gt; BIO-dna</v>
      </c>
      <c r="V8" s="158" t="str" cm="1">
        <f t="array" ref="V8">IFERROR(_xlfn.TEXTJOIN(" + ",TRUE,_xlfn._xlws.FILTER((-mets2733[normalized coeffs]*biomassComponents2632[[#This Row],[normalized coeffs]]/biomassComponents2632[[#This Row],[original coeffs from input]])&amp;" BIO-"&amp;mets2733[name],mets2733[category]=_xlfn.TEXTAFTER(P8,"BIOSYN-"),"")),"")</f>
        <v>0.00585548759366856 BIO-datp_c + 0.009139393932604 BIO-dctp_c + 0.009139393932604 BIO-dgtp_c + 0.00585548759366856 BIO-dttp_c</v>
      </c>
      <c r="X8" s="153" t="s">
        <v>757</v>
      </c>
      <c r="Y8" t="s">
        <v>49</v>
      </c>
      <c r="Z8" t="s">
        <v>747</v>
      </c>
      <c r="AB8" t="str">
        <v>BIOSYN-PROTTOBIO</v>
      </c>
      <c r="AC8" t="str">
        <v>BIO-prot --&gt; BIO-varbiom</v>
      </c>
    </row>
    <row r="9" spans="1:33" ht="16" x14ac:dyDescent="0.2">
      <c r="A9" s="144" t="s">
        <v>1661</v>
      </c>
      <c r="B9" t="str">
        <f>SUBSTITUTE(_xlfn.TEXTBEFORE(mets2733[[#This Row],[pasted JSON metabolite keys and values from GSM biomass rxn]],":"),CHAR(34),"")</f>
        <v>alatrna_c</v>
      </c>
      <c r="C9" t="str">
        <f>_xlfn.TEXTBEFORE(mets2733[[#This Row],[name]],"_",-1)</f>
        <v>alatrna</v>
      </c>
      <c r="D9" t="str">
        <f>_xlfn.XLOOKUP(mets2733[[#This Row],[name w/o location]],metaboliteInfo[name w/o location],metaboliteInfo[suggested category],"")</f>
        <v>PROT</v>
      </c>
      <c r="E9" s="21">
        <f>_xlfn.XLOOKUP(mets2733[[#This Row],[name w/o location]],metaboliteInfo[name w/o location],metaboliteInfo[MW for biomass normalization (g/mol)],0)</f>
        <v>72.085840000000005</v>
      </c>
      <c r="F9" s="21">
        <f>_xlfn.NUMBERVALUE(SUBSTITUTE(_xlfn.TEXTAFTER(mets2733[[#This Row],[pasted JSON metabolite keys and values from GSM biomass rxn]],":"),",",""))</f>
        <v>-0.41721585554762097</v>
      </c>
      <c r="G9" s="21" cm="1">
        <f t="array" ref="G9">_xlfn.LET(_xlpm.id,mets2733[[#This Row],[name w/o location]],IF(IsElementOfSet_DIY(_xlpm.id,{"atp","adp","h","pi","h2o"}),SIGN(mets2733[[#This Row],[raw (GSM) coefficient]])*(ABS(mets2733[[#This Row],[raw (GSM) coefficient]])-$J$2),mets2733[[#This Row],[raw (GSM) coefficient]]))</f>
        <v>-0.41721585554762097</v>
      </c>
      <c r="H9" s="21">
        <f>mets2733[[#This Row],[coeff. w/o GAM]]</f>
        <v>-0.41721585554762097</v>
      </c>
      <c r="I9" s="161">
        <f t="shared" si="0"/>
        <v>-0.41456391413299648</v>
      </c>
      <c r="J9" s="21" cm="1">
        <f t="array" ref="J9">_xlfn.LET(_xlpm.id,mets2733[[#This Row],[name w/o location]],_xlpm.oldcoeff,mets2733[[#This Row],[normalized coeffs]],_xlpm.gam,$J$2-$G$2,_xlfn.IFS(IFERROR(MATCH(_xlpm.id,{"atp","h2o"},0),0)&gt;0,_xlpm.oldcoeff-_xlpm.gam,IFERROR(MATCH(_xlpm.id,{"adp","h","pi"},0),0)&gt;0,_xlpm.oldcoeff+_xlpm.gam,TRUE,_xlpm.oldcoeff))</f>
        <v>-0.41456391413299648</v>
      </c>
      <c r="K9" t="str" cm="1">
        <f t="array" ref="K9">"BIOSYN-"&amp;_xlfn.IFS(IFERROR(MATCH(mets2733[[#This Row],[category]],{0,"0",""},0),0)&gt;0,mets2733[[#This Row],[name]],TRUE,mets2733[[#This Row],[category]]&amp;"-"&amp;mets2733[[#This Row],[name]])</f>
        <v>BIOSYN-PROT-alatrna_c</v>
      </c>
      <c r="L9" s="149" t="str" cm="1">
        <f t="array" ref="L9">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9" s="149" cm="1">
        <f t="array" ref="M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-0.41721585554762108</v>
      </c>
      <c r="N9" s="149"/>
      <c r="O9" s="162" t="str">
        <v>BIOSYN-LIPID</v>
      </c>
      <c r="P9" s="158" t="str">
        <f t="shared" si="1"/>
        <v>BIOSYN-LIPID</v>
      </c>
      <c r="Q9" s="158" t="str">
        <f>SUBSTITUTE(LOWER(biomassComponents2632[[#This Row],[rxn name]]),"biosyn-","BIO-")</f>
        <v>BIO-lipid</v>
      </c>
      <c r="R9" s="160" cm="1">
        <f t="array" ref="R9">SUM(_xlfn._xlws.FILTER(-mets2733[MW for biomass normalization (g/mol)]*mets2733[normalized coeffs]/1000,mets2733[category]=_xlfn.TEXTAFTER(O9,"BIOSYN-"),""))</f>
        <v>7.7165268600681014E-2</v>
      </c>
      <c r="S9" s="160"/>
      <c r="T9" s="160">
        <v>7.7658890367063499E-2</v>
      </c>
      <c r="U9" s="158" t="str" cm="1">
        <f t="array" ref="U9">_xlfn.LET(_xlpm.coeffs,ROUND(-mets2733[MW for biomass normalization (g/mol)]*mets2733[normalized coeffs]*(biomassComponents2632[[#This Row],[normalized coeffs]]/biomassComponents2632[[#This Row],[original coeffs from input]])/(1000*biomassComponents2632[[#This Row],[normalized coeffs]]),6),_xlfn.TEXTJOIN(" + ",TRUE,_xlfn._xlws.FILTER(_xlpm.coeffs&amp;IF(_xlpm.coeffs&lt;0," MET-"," BIO-")&amp;mets2733[name],mets2733[category]=_xlfn.TEXTAFTER(O9,"BIOSYN-"),""))&amp;" --&gt; "&amp;biomassComponents2632[[#This Row],[product name]])</f>
        <v>-0.007957 MET-dag_c + 0.00019 BIO-docoscoa_c + 0.213353 BIO-ergst_c + 0.088078 BIO-ergstest_c + 0.014332 BIO-hxccoa_c + 0.003402 BIO-linocoa_c + 0.000836 BIO-linolncoa_c + 0.001985 BIO-odecoa_c + 0.105347 BIO-pail_c + 0.283936 BIO-pc_c + 0.072079 BIO-pe_c + 0.026726 BIO-pmtcoa_c + 0.065524 BIO-ps_c + 0.001083 BIO-stcoa_c + 0.116602 BIO-tag_c + 0.014485 BIO-ttccoa_c --&gt; BIO-lipid</v>
      </c>
      <c r="V9" s="158" t="str" cm="1">
        <f t="array" ref="V9">IFERROR(_xlfn.TEXTJOIN(" + ",TRUE,_xlfn._xlws.FILTER((-mets2733[normalized coeffs]*biomassComponents2632[[#This Row],[normalized coeffs]]/biomassComponents2632[[#This Row],[original coeffs from input]])&amp;" BIO-"&amp;mets2733[name],mets2733[category]=_xlfn.TEXTAFTER(P9,"BIOSYN-"),"")),"")</f>
        <v>-0.00194890583913082 BIO-dag_c + 1.35753472356956E-05 BIO-docoscoa_c + 0.0417718733030105 BIO-ergst_c + 0.0103623323466586 BIO-ergstest_c + 0.000974452919565412 BIO-hxccoa_c + 0.000257507322625944 BIO-linocoa_c + 6.34327105074009E-05 BIO-linolncoa_c + 0.000149965231871062 BIO-odecoa_c + 0.00948922253072798 BIO-pail_c + 0.0280476783838513 BIO-pc_c + 0.00752277653904498 BIO-pe_c + 0.00207155457628959 BIO-pmtcoa_c + 0.00647329074467303 BIO-ps_c + 8.16736330810605E-05 BIO-stcoa_c + 0.0102259089379194 BIO-tag_c + 0.00100966845632259 BIO-ttccoa_c</v>
      </c>
      <c r="X9" s="153"/>
      <c r="AB9" t="str">
        <v>BIOSYN-PROTMODELED</v>
      </c>
      <c r="AC9" t="str">
        <v>BIO-protmodeled --&gt; BIO-prot</v>
      </c>
    </row>
    <row r="10" spans="1:33" ht="16" x14ac:dyDescent="0.2">
      <c r="A10" s="144" t="s">
        <v>1662</v>
      </c>
      <c r="B10" t="str">
        <f>SUBSTITUTE(_xlfn.TEXTBEFORE(mets2733[[#This Row],[pasted JSON metabolite keys and values from GSM biomass rxn]],":"),CHAR(34),"")</f>
        <v>argtrna_c</v>
      </c>
      <c r="C10" t="str">
        <f>_xlfn.TEXTBEFORE(mets2733[[#This Row],[name]],"_",-1)</f>
        <v>argtrna</v>
      </c>
      <c r="D10" t="str">
        <f>_xlfn.XLOOKUP(mets2733[[#This Row],[name w/o location]],metaboliteInfo[name w/o location],metaboliteInfo[suggested category],"")</f>
        <v>PROT</v>
      </c>
      <c r="E10" s="21">
        <f>_xlfn.XLOOKUP(mets2733[[#This Row],[name w/o location]],metaboliteInfo[name w/o location],metaboliteInfo[MW for biomass normalization (g/mol)],0)</f>
        <v>158.20156</v>
      </c>
      <c r="F10" s="21">
        <f>_xlfn.NUMBERVALUE(SUBSTITUTE(_xlfn.TEXTAFTER(mets2733[[#This Row],[pasted JSON metabolite keys and values from GSM biomass rxn]],":"),",",""))</f>
        <v>-0.16483651169934699</v>
      </c>
      <c r="G10" s="21" cm="1">
        <f t="array" ref="G10">_xlfn.LET(_xlpm.id,mets2733[[#This Row],[name w/o location]],IF(IsElementOfSet_DIY(_xlpm.id,{"atp","adp","h","pi","h2o"}),SIGN(mets2733[[#This Row],[raw (GSM) coefficient]])*(ABS(mets2733[[#This Row],[raw (GSM) coefficient]])-$J$2),mets2733[[#This Row],[raw (GSM) coefficient]]))</f>
        <v>-0.16483651169934699</v>
      </c>
      <c r="H10" s="21">
        <f>mets2733[[#This Row],[coeff. w/o GAM]]</f>
        <v>-0.16483651169934699</v>
      </c>
      <c r="I10" s="161">
        <f t="shared" si="0"/>
        <v>-0.16378876443326104</v>
      </c>
      <c r="J10" s="21" cm="1">
        <f t="array" ref="J10">_xlfn.LET(_xlpm.id,mets2733[[#This Row],[name w/o location]],_xlpm.oldcoeff,mets2733[[#This Row],[normalized coeffs]],_xlpm.gam,$J$2-$G$2,_xlfn.IFS(IFERROR(MATCH(_xlpm.id,{"atp","h2o"},0),0)&gt;0,_xlpm.oldcoeff-_xlpm.gam,IFERROR(MATCH(_xlpm.id,{"adp","h","pi"},0),0)&gt;0,_xlpm.oldcoeff+_xlpm.gam,TRUE,_xlpm.oldcoeff))</f>
        <v>-0.16378876443326104</v>
      </c>
      <c r="K10" t="str" cm="1">
        <f t="array" ref="K10">"BIOSYN-"&amp;_xlfn.IFS(IFERROR(MATCH(mets2733[[#This Row],[category]],{0,"0",""},0),0)&gt;0,mets2733[[#This Row],[name]],TRUE,mets2733[[#This Row],[category]]&amp;"-"&amp;mets2733[[#This Row],[name]])</f>
        <v>BIOSYN-PROT-argtrna_c</v>
      </c>
      <c r="L10" s="149" t="str" cm="1">
        <f t="array" ref="L10">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10" s="149" cm="1">
        <f t="array" ref="M1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-0.16483651169934704</v>
      </c>
      <c r="N10" s="149"/>
      <c r="O10" s="162" t="str">
        <v>BIOSYN-METAL</v>
      </c>
      <c r="P10" s="158" t="str">
        <f t="shared" si="1"/>
        <v>BIOSYN-METAL</v>
      </c>
      <c r="Q10" s="158" t="str">
        <f>SUBSTITUTE(LOWER(biomassComponents2632[[#This Row],[rxn name]]),"biosyn-","BIO-")</f>
        <v>BIO-metal</v>
      </c>
      <c r="R10" s="160" cm="1">
        <f t="array" ref="R10">SUM(_xlfn._xlws.FILTER(-mets2733[MW for biomass normalization (g/mol)]*mets2733[normalized coeffs]/1000,mets2733[category]=_xlfn.TEXTAFTER(O10,"BIOSYN-"),""))</f>
        <v>2.4547037066271048E-2</v>
      </c>
      <c r="S10" s="160"/>
      <c r="T10" s="160">
        <v>2.470406304461388E-2</v>
      </c>
      <c r="U10" s="158" t="str" cm="1">
        <f t="array" ref="U10">_xlfn.TEXTJOIN(" + ",TRUE,_xlfn._xlws.FILTER(ROUND(-mets2733[MW for biomass normalization (g/mol)]*mets2733[normalized coeffs]*(biomassComponents2632[[#This Row],[normalized coeffs]]/biomassComponents2632[[#This Row],[original coeffs from input]])/(1000*biomassComponents2632[[#This Row],[normalized coeffs]]),6)&amp;" BIO-"&amp;mets2733[name],mets2733[category]=_xlfn.TEXTAFTER(O10,"BIOSYN-"),""))&amp;" --&gt; "&amp;biomassComponents2632[[#This Row],[product name]]</f>
        <v>0.002033 BIO-ca2_c + 0.000286 BIO-cu2_c + 0.001463 BIO-fe2_c + 0.93097 BIO-k_c + 0.060981 BIO-mg2_c + 0.000204 BIO-mn2_c + 0.004064 BIO-zn2_c --&gt; BIO-metal</v>
      </c>
      <c r="V10" s="158" t="str" cm="1">
        <f t="array" ref="V10">IFERROR(_xlfn.TEXTJOIN(" + ",TRUE,_xlfn._xlws.FILTER((-mets2733[normalized coeffs]*biomassComponents2632[[#This Row],[normalized coeffs]]/biomassComponents2632[[#This Row],[original coeffs from input]])&amp;" BIO-"&amp;mets2733[name],mets2733[category]=_xlfn.TEXTAFTER(P10,"BIOSYN-"),"")),"")</f>
        <v>0.00125314645456112 BIO-ca2_c + 0.000111087632830457 BIO-cu2_c + 0.000647036738591434 BIO-fe2_c + 0.588228504895661 BIO-k_c + 0.0619820268547972 BIO-mg2_c + 9.15985744391487E-05 BIO-mn2_c + 0.00153573780123509 BIO-zn2_c</v>
      </c>
      <c r="X10" s="153"/>
      <c r="AB10" t="str">
        <v>BIOSYN-PROTDUMMY</v>
      </c>
      <c r="AC10" t="str">
        <v>BIO-protdummy --&gt; BIO-prot</v>
      </c>
    </row>
    <row r="11" spans="1:33" ht="16" x14ac:dyDescent="0.2">
      <c r="A11" s="144" t="s">
        <v>1663</v>
      </c>
      <c r="B11" t="str">
        <f>SUBSTITUTE(_xlfn.TEXTBEFORE(mets2733[[#This Row],[pasted JSON metabolite keys and values from GSM biomass rxn]],":"),CHAR(34),"")</f>
        <v>asntrna_c</v>
      </c>
      <c r="C11" t="str">
        <f>_xlfn.TEXTBEFORE(mets2733[[#This Row],[name]],"_",-1)</f>
        <v>asntrna</v>
      </c>
      <c r="D11" t="str">
        <f>_xlfn.XLOOKUP(mets2733[[#This Row],[name w/o location]],metaboliteInfo[name w/o location],metaboliteInfo[suggested category],"")</f>
        <v>PROT</v>
      </c>
      <c r="E11" s="21">
        <f>_xlfn.XLOOKUP(mets2733[[#This Row],[name w/o location]],metaboliteInfo[name w/o location],metaboliteInfo[MW for biomass normalization (g/mol)],0)</f>
        <v>115.11058</v>
      </c>
      <c r="F11" s="21">
        <f>_xlfn.NUMBERVALUE(SUBSTITUTE(_xlfn.TEXTAFTER(mets2733[[#This Row],[pasted JSON metabolite keys and values from GSM biomass rxn]],":"),",",""))</f>
        <v>-0.19814548672237201</v>
      </c>
      <c r="G11" s="21" cm="1">
        <f t="array" ref="G11">_xlfn.LET(_xlpm.id,mets2733[[#This Row],[name w/o location]],IF(IsElementOfSet_DIY(_xlpm.id,{"atp","adp","h","pi","h2o"}),SIGN(mets2733[[#This Row],[raw (GSM) coefficient]])*(ABS(mets2733[[#This Row],[raw (GSM) coefficient]])-$J$2),mets2733[[#This Row],[raw (GSM) coefficient]]))</f>
        <v>-0.19814548672237201</v>
      </c>
      <c r="H11" s="21">
        <f>mets2733[[#This Row],[coeff. w/o GAM]]</f>
        <v>-0.19814548672237201</v>
      </c>
      <c r="I11" s="161">
        <f t="shared" si="0"/>
        <v>-0.19688601823532165</v>
      </c>
      <c r="J11" s="21" cm="1">
        <f t="array" ref="J11">_xlfn.LET(_xlpm.id,mets2733[[#This Row],[name w/o location]],_xlpm.oldcoeff,mets2733[[#This Row],[normalized coeffs]],_xlpm.gam,$J$2-$G$2,_xlfn.IFS(IFERROR(MATCH(_xlpm.id,{"atp","h2o"},0),0)&gt;0,_xlpm.oldcoeff-_xlpm.gam,IFERROR(MATCH(_xlpm.id,{"adp","h","pi"},0),0)&gt;0,_xlpm.oldcoeff+_xlpm.gam,TRUE,_xlpm.oldcoeff))</f>
        <v>-0.19688601823532165</v>
      </c>
      <c r="K11" t="str" cm="1">
        <f t="array" ref="K11">"BIOSYN-"&amp;_xlfn.IFS(IFERROR(MATCH(mets2733[[#This Row],[category]],{0,"0",""},0),0)&gt;0,mets2733[[#This Row],[name]],TRUE,mets2733[[#This Row],[category]]&amp;"-"&amp;mets2733[[#This Row],[name]])</f>
        <v>BIOSYN-PROT-asntrna_c</v>
      </c>
      <c r="L11" s="149" t="str" cm="1">
        <f t="array" ref="L11">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11" s="149" cm="1">
        <f t="array" ref="M1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-0.19814548672237206</v>
      </c>
      <c r="N11" s="149"/>
      <c r="O11" s="162" t="str">
        <v>BIOSYN-other</v>
      </c>
      <c r="P11" s="158" t="str">
        <f t="shared" si="1"/>
        <v>BIOSYN-other</v>
      </c>
      <c r="Q11" s="158" t="str">
        <f>SUBSTITUTE(LOWER(biomassComponents2632[[#This Row],[rxn name]]),"biosyn-","BIO-")</f>
        <v>BIO-other</v>
      </c>
      <c r="R11" s="160" cm="1">
        <f t="array" ref="R11">SUM(_xlfn._xlws.FILTER(-mets2733[MW for biomass normalization (g/mol)]*mets2733[normalized coeffs]/1000,mets2733[category]=_xlfn.TEXTAFTER(O11,"BIOSYN-"),""))</f>
        <v>-5.4242064093506076E-5</v>
      </c>
      <c r="S11" s="160"/>
      <c r="T11" s="160">
        <v>-5.4589047444638315E-5</v>
      </c>
      <c r="U11" s="158" t="s">
        <v>1422</v>
      </c>
      <c r="V11" s="158" t="str" cm="1">
        <f t="array" ref="V11">IFERROR(_xlfn.TEXTJOIN(" + ",TRUE,_xlfn._xlws.FILTER((-mets2733[normalized coeffs]*biomassComponents2632[[#This Row],[normalized coeffs]]/biomassComponents2632[[#This Row],[original coeffs from input]])&amp;" BIO-"&amp;mets2733[name],mets2733[category]=_xlfn.TEXTAFTER(P11,"BIOSYN-"),"")),"")</f>
        <v>-0.00194890583913083 BIO-co2_c + 0.000974452919565415 BIO-o2_c</v>
      </c>
      <c r="X11" s="154" t="s">
        <v>52</v>
      </c>
      <c r="Y11" s="152" t="s">
        <v>53</v>
      </c>
      <c r="Z11" s="152" t="s">
        <v>54</v>
      </c>
      <c r="AB11" t="str">
        <v>BIOSYN-PROTCYT</v>
      </c>
      <c r="AC11" t="str">
        <v>BIO-protcyt --&gt; BIO-protmodeled</v>
      </c>
    </row>
    <row r="12" spans="1:33" ht="16" x14ac:dyDescent="0.2">
      <c r="A12" s="144" t="s">
        <v>1664</v>
      </c>
      <c r="B12" t="str">
        <f>SUBSTITUTE(_xlfn.TEXTBEFORE(mets2733[[#This Row],[pasted JSON metabolite keys and values from GSM biomass rxn]],":"),CHAR(34),"")</f>
        <v>asptrna_c</v>
      </c>
      <c r="C12" t="str">
        <f>_xlfn.TEXTBEFORE(mets2733[[#This Row],[name]],"_",-1)</f>
        <v>asptrna</v>
      </c>
      <c r="D12" t="str">
        <f>_xlfn.XLOOKUP(mets2733[[#This Row],[name w/o location]],metaboliteInfo[name w/o location],metaboliteInfo[suggested category],"")</f>
        <v>PROT</v>
      </c>
      <c r="E12" s="21">
        <f>_xlfn.XLOOKUP(mets2733[[#This Row],[name w/o location]],metaboliteInfo[name w/o location],metaboliteInfo[MW for biomass normalization (g/mol)],0)</f>
        <v>115.0874</v>
      </c>
      <c r="F12" s="21">
        <f>_xlfn.NUMBERVALUE(SUBSTITUTE(_xlfn.TEXTAFTER(mets2733[[#This Row],[pasted JSON metabolite keys and values from GSM biomass rxn]],":"),",",""))</f>
        <v>-0.19814548672237201</v>
      </c>
      <c r="G12" s="21" cm="1">
        <f t="array" ref="G12">_xlfn.LET(_xlpm.id,mets2733[[#This Row],[name w/o location]],IF(IsElementOfSet_DIY(_xlpm.id,{"atp","adp","h","pi","h2o"}),SIGN(mets2733[[#This Row],[raw (GSM) coefficient]])*(ABS(mets2733[[#This Row],[raw (GSM) coefficient]])-$J$2),mets2733[[#This Row],[raw (GSM) coefficient]]))</f>
        <v>-0.19814548672237201</v>
      </c>
      <c r="H12" s="21">
        <f>mets2733[[#This Row],[coeff. w/o GAM]]</f>
        <v>-0.19814548672237201</v>
      </c>
      <c r="I12" s="161">
        <f t="shared" si="0"/>
        <v>-0.19688601823532165</v>
      </c>
      <c r="J12" s="21" cm="1">
        <f t="array" ref="J12">_xlfn.LET(_xlpm.id,mets2733[[#This Row],[name w/o location]],_xlpm.oldcoeff,mets2733[[#This Row],[normalized coeffs]],_xlpm.gam,$J$2-$G$2,_xlfn.IFS(IFERROR(MATCH(_xlpm.id,{"atp","h2o"},0),0)&gt;0,_xlpm.oldcoeff-_xlpm.gam,IFERROR(MATCH(_xlpm.id,{"adp","h","pi"},0),0)&gt;0,_xlpm.oldcoeff+_xlpm.gam,TRUE,_xlpm.oldcoeff))</f>
        <v>-0.19688601823532165</v>
      </c>
      <c r="K12" t="str" cm="1">
        <f t="array" ref="K12">"BIOSYN-"&amp;_xlfn.IFS(IFERROR(MATCH(mets2733[[#This Row],[category]],{0,"0",""},0),0)&gt;0,mets2733[[#This Row],[name]],TRUE,mets2733[[#This Row],[category]]&amp;"-"&amp;mets2733[[#This Row],[name]])</f>
        <v>BIOSYN-PROT-asptrna_c</v>
      </c>
      <c r="L12" s="149" t="str" cm="1">
        <f t="array" ref="L12">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12" s="149" cm="1">
        <f t="array" ref="M1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-0.19814548672237206</v>
      </c>
      <c r="N12" s="149"/>
      <c r="O12" s="162" t="str">
        <v>BIOSYN-PI</v>
      </c>
      <c r="P12" s="158" t="str">
        <f t="shared" si="1"/>
        <v>BIOSYN-PI</v>
      </c>
      <c r="Q12" s="158" t="str">
        <f>SUBSTITUTE(LOWER(biomassComponents2632[[#This Row],[rxn name]]),"biosyn-","BIO-")</f>
        <v>BIO-pi</v>
      </c>
      <c r="R12" s="160" cm="1">
        <f t="array" ref="R12">SUM(_xlfn._xlws.FILTER(-mets2733[MW for biomass normalization (g/mol)]*mets2733[normalized coeffs]/1000,mets2733[category]=_xlfn.TEXTAFTER(O12,"BIOSYN-"),""))</f>
        <v>9.8188343972239849E-3</v>
      </c>
      <c r="S12" s="160"/>
      <c r="T12" s="160">
        <v>9.8816279462180766E-3</v>
      </c>
      <c r="U12" s="158" t="str" cm="1">
        <f t="array" ref="U12">_xlfn.TEXTJOIN(" + ",TRUE,_xlfn._xlws.FILTER(ROUND(-mets2733[MW for biomass normalization (g/mol)]*mets2733[normalized coeffs]*(biomassComponents2632[[#This Row],[normalized coeffs]]/biomassComponents2632[[#This Row],[original coeffs from input]])/(1000*biomassComponents2632[[#This Row],[normalized coeffs]]),6)&amp;" BIO-"&amp;mets2733[name],mets2733[category]=_xlfn.TEXTAFTER(O12,"BIOSYN-"),""))&amp;" --&gt; "&amp;biomassComponents2632[[#This Row],[product name]]</f>
        <v>1 BIO-pi_c --&gt; BIO-pi</v>
      </c>
      <c r="V12" s="158" t="str" cm="1">
        <f t="array" ref="V12">IFERROR(_xlfn.TEXTJOIN(" + ",TRUE,_xlfn._xlws.FILTER((-mets2733[normalized coeffs]*biomassComponents2632[[#This Row],[normalized coeffs]]/biomassComponents2632[[#This Row],[original coeffs from input]])&amp;" BIO-"&amp;mets2733[name],mets2733[category]=_xlfn.TEXTAFTER(P12,"BIOSYN-"),"")),"")</f>
        <v>0.102955823216696 BIO-pi_c</v>
      </c>
      <c r="X12" s="154" t="s">
        <v>52</v>
      </c>
      <c r="Y12" s="152" t="s">
        <v>55</v>
      </c>
      <c r="Z12" s="152" t="s">
        <v>56</v>
      </c>
      <c r="AB12" t="str">
        <v>BIOSYN-PROTMITO</v>
      </c>
      <c r="AC12" t="str">
        <v>BIO-protmito --&gt; BIO-protmodeled</v>
      </c>
    </row>
    <row r="13" spans="1:33" ht="16" customHeight="1" x14ac:dyDescent="0.2">
      <c r="A13" s="144" t="s">
        <v>1656</v>
      </c>
      <c r="B13" t="str">
        <f>SUBSTITUTE(_xlfn.TEXTBEFORE(mets2733[[#This Row],[pasted JSON metabolite keys and values from GSM biomass rxn]],":"),CHAR(34),"")</f>
        <v>atp_c</v>
      </c>
      <c r="C13" t="str">
        <f>_xlfn.TEXTBEFORE(mets2733[[#This Row],[name]],"_",-1)</f>
        <v>atp</v>
      </c>
      <c r="D13" t="str">
        <f>_xlfn.XLOOKUP(mets2733[[#This Row],[name w/o location]],metaboliteInfo[name w/o location],metaboliteInfo[suggested category],"")</f>
        <v>RNA</v>
      </c>
      <c r="E13" s="21">
        <f>_xlfn.XLOOKUP(mets2733[[#This Row],[name w/o location]],metaboliteInfo[name w/o location],metaboliteInfo[MW for biomass normalization (g/mol)],0)</f>
        <v>328.19800099999998</v>
      </c>
      <c r="F13" s="21">
        <f>_xlfn.NUMBERVALUE(SUBSTITUTE(_xlfn.TEXTAFTER(mets2733[[#This Row],[pasted JSON metabolite keys and values from GSM biomass rxn]],":"),",",""))</f>
        <v>-251.29943800000001</v>
      </c>
      <c r="G13" s="21" cm="1">
        <f t="array" ref="G13">_xlfn.LET(_xlpm.id,mets2733[[#This Row],[name w/o location]],IF(IsElementOfSet_DIY(_xlpm.id,{"atp","adp","h","pi","h2o"}),SIGN(mets2733[[#This Row],[raw (GSM) coefficient]])*(ABS(mets2733[[#This Row],[raw (GSM) coefficient]])-$J$2),mets2733[[#This Row],[raw (GSM) coefficient]]))</f>
        <v>-6.6601000000019894E-2</v>
      </c>
      <c r="H13" s="21">
        <f>mets2733[[#This Row],[coeff. w/o GAM]]</f>
        <v>-6.6601000000019894E-2</v>
      </c>
      <c r="I13" s="161">
        <f t="shared" si="0"/>
        <v>-6.6177665297354693E-2</v>
      </c>
      <c r="J13" s="21" cm="1">
        <f t="array" ref="J13">_xlfn.LET(_xlpm.id,mets2733[[#This Row],[name w/o location]],_xlpm.oldcoeff,mets2733[[#This Row],[normalized coeffs]],_xlpm.gam,$J$2-$G$2,_xlfn.IFS(IFERROR(MATCH(_xlpm.id,{"atp","h2o"},0),0)&gt;0,_xlpm.oldcoeff-_xlpm.gam,IFERROR(MATCH(_xlpm.id,{"adp","h","pi"},0),0)&gt;0,_xlpm.oldcoeff+_xlpm.gam,TRUE,_xlpm.oldcoeff))</f>
        <v>-242.79901466529734</v>
      </c>
      <c r="K13" t="str" cm="1">
        <f t="array" ref="K13">"BIOSYN-"&amp;_xlfn.IFS(IFERROR(MATCH(mets2733[[#This Row],[category]],{0,"0",""},0),0)&gt;0,mets2733[[#This Row],[name]],TRUE,mets2733[[#This Row],[category]]&amp;"-"&amp;mets2733[[#This Row],[name]])</f>
        <v>BIOSYN-RNA-atp_c</v>
      </c>
      <c r="L13" s="149" t="str" cm="1">
        <f t="array" ref="L13">IF(IsElementOfSet_DIY(mets2733[[#This Row],[category]],{"ignore","PROT"}),"",_xlfn.LET(_xlpm.mw,mets2733[[#This Row],[MW for biomass normalization (g/mol)]],"MET-"&amp;mets2733[[#This Row],[name]]&amp;" --&gt; "&amp;IF((mets2733[[#This Row],[category]]="DNA")+(mets2733[[#This Row],[category]]="RNA"),"MET-ppi_c + ","")&amp;ROUND(ABS(_xlpm.mw/1000),6)&amp;" BIO-"&amp;mets2733[[#This Row],[name]]))</f>
        <v>MET-atp_c --&gt; MET-ppi_c + 0.328198 BIO-atp_c</v>
      </c>
      <c r="M13" s="149" cm="1">
        <f t="array" ref="M1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-251.29943798692833</v>
      </c>
      <c r="N13" s="149"/>
      <c r="O13" s="162" t="str">
        <v>BIOSYN-PROT</v>
      </c>
      <c r="P13" s="158" t="str">
        <f t="shared" si="1"/>
        <v>BIOSYN-PROT</v>
      </c>
      <c r="Q13" s="158" t="s">
        <v>21</v>
      </c>
      <c r="R13" s="160" cm="1">
        <f t="array" ref="R13">SUM(_xlfn._xlws.FILTER(-mets2733[MW for biomass normalization (g/mol)]*mets2733[normalized coeffs]/1000,mets2733[category]=_xlfn.TEXTAFTER(O13,"BIOSYN-"),""))</f>
        <v>0.46502526026865576</v>
      </c>
      <c r="S13" s="160"/>
      <c r="T13" s="160">
        <v>0.46800000000000003</v>
      </c>
      <c r="U13" s="158"/>
      <c r="V13" s="158" t="str" cm="1">
        <f t="array" ref="V13">IFERROR(_xlfn.TEXTJOIN(" + ",TRUE,_xlfn._xlws.FILTER((-mets2733[normalized coeffs]*biomassComponents2632[[#This Row],[normalized coeffs]]/biomassComponents2632[[#This Row],[original coeffs from input]])&amp;" BIO-"&amp;mets2733[name],mets2733[category]=_xlfn.TEXTAFTER(P13,"BIOSYN-"),"")),"")</f>
        <v>0.417215855547621 BIO-alatrna_c + 0.164836511699347 BIO-argtrna_c + 0.198145486722372 BIO-asntrna_c + 0.198145486722372 BIO-asptrna_c + 0.00597824405906228 BIO-cystrna_c + 0.330527205106584 BIO-glntrna_c + 0.330527205106584 BIO-glutrna_c + 0.379636999881312 BIO-glytrna_c + 0.0824187697977531 BIO-histrna_c + 0.251525162140385 BIO-iletrna_c + 0.342057116318843 BIO-leutrna_c + 0.280564256520126 BIO-lystrna_c + 0.0486821899727044 BIO-mettrna_c + 0.160566631056063 BIO-phetrna_c + 0.180209726649027 BIO-protrna_c + 0.229666950325399 BIO-sertrna_c + 0.237860310606483 BIO-thrtrna_c + 0.0277573078698277 BIO-trptrna_c + 0.0836995284115068 BIO-tyrtrna_c + 0.313019049835262 BIO-valtrna_c</v>
      </c>
      <c r="X13" s="154" t="s">
        <v>52</v>
      </c>
      <c r="Y13" s="152" t="s">
        <v>59</v>
      </c>
      <c r="Z13" s="152" t="s">
        <v>60</v>
      </c>
      <c r="AB13" t="str">
        <v>BIOSYN-TRNA</v>
      </c>
      <c r="AC13" t="str">
        <v>0.19588374824683 BIO-atp_c + 0.316900744147928 BIO-ctp_c + 0.314204061946823 BIO-gtp_c + 0.166653156227493 BIO-utp_c --&gt; BIO-trna</v>
      </c>
    </row>
    <row r="14" spans="1:33" ht="16" customHeight="1" x14ac:dyDescent="0.2">
      <c r="A14" s="144" t="s">
        <v>1429</v>
      </c>
      <c r="B14" t="str">
        <f>SUBSTITUTE(_xlfn.TEXTBEFORE(mets2733[[#This Row],[pasted JSON metabolite keys and values from GSM biomass rxn]],":"),CHAR(34),"")</f>
        <v>ca2_c</v>
      </c>
      <c r="C14" t="str">
        <f>_xlfn.TEXTBEFORE(mets2733[[#This Row],[name]],"_",-1)</f>
        <v>ca2</v>
      </c>
      <c r="D14" t="str">
        <f>_xlfn.XLOOKUP(mets2733[[#This Row],[name w/o location]],metaboliteInfo[name w/o location],metaboliteInfo[suggested category],"")</f>
        <v>METAL</v>
      </c>
      <c r="E14" s="21">
        <f>_xlfn.XLOOKUP(mets2733[[#This Row],[name w/o location]],metaboliteInfo[name w/o location],metaboliteInfo[MW for biomass normalization (g/mol)],0)</f>
        <v>40.078000000000003</v>
      </c>
      <c r="F14" s="21">
        <f>_xlfn.NUMBERVALUE(SUBSTITUTE(_xlfn.TEXTAFTER(mets2733[[#This Row],[pasted JSON metabolite keys and values from GSM biomass rxn]],":"),",",""))</f>
        <v>-1.25314645456112E-3</v>
      </c>
      <c r="G14" s="21" cm="1">
        <f t="array" ref="G14">_xlfn.LET(_xlpm.id,mets2733[[#This Row],[name w/o location]],IF(IsElementOfSet_DIY(_xlpm.id,{"atp","adp","h","pi","h2o"}),SIGN(mets2733[[#This Row],[raw (GSM) coefficient]])*(ABS(mets2733[[#This Row],[raw (GSM) coefficient]])-$J$2),mets2733[[#This Row],[raw (GSM) coefficient]]))</f>
        <v>-1.25314645456112E-3</v>
      </c>
      <c r="H14" s="21">
        <f>mets2733[[#This Row],[coeff. w/o GAM]]</f>
        <v>-1.25314645456112E-3</v>
      </c>
      <c r="I14" s="161">
        <f t="shared" si="0"/>
        <v>-1.2451811029637353E-3</v>
      </c>
      <c r="J14" s="21" cm="1">
        <f t="array" ref="J14">_xlfn.LET(_xlpm.id,mets2733[[#This Row],[name w/o location]],_xlpm.oldcoeff,mets2733[[#This Row],[normalized coeffs]],_xlpm.gam,$J$2-$G$2,_xlfn.IFS(IFERROR(MATCH(_xlpm.id,{"atp","h2o"},0),0)&gt;0,_xlpm.oldcoeff-_xlpm.gam,IFERROR(MATCH(_xlpm.id,{"adp","h","pi"},0),0)&gt;0,_xlpm.oldcoeff+_xlpm.gam,TRUE,_xlpm.oldcoeff))</f>
        <v>-1.2451811029637353E-3</v>
      </c>
      <c r="K14" t="str" cm="1">
        <f t="array" ref="K14">"BIOSYN-"&amp;_xlfn.IFS(IFERROR(MATCH(mets2733[[#This Row],[category]],{0,"0",""},0),0)&gt;0,mets2733[[#This Row],[name]],TRUE,mets2733[[#This Row],[category]]&amp;"-"&amp;mets2733[[#This Row],[name]])</f>
        <v>BIOSYN-METAL-ca2_c</v>
      </c>
      <c r="L14" s="149" t="str" cm="1">
        <f t="array" ref="L14">IF(IsElementOfSet_DIY(mets2733[[#This Row],[category]],{"ignore","PROT"}),"",_xlfn.LET(_xlpm.mw,mets2733[[#This Row],[MW for biomass normalization (g/mol)]],"MET-"&amp;mets2733[[#This Row],[name]]&amp;" --&gt; "&amp;IF((mets2733[[#This Row],[category]]="DNA")+(mets2733[[#This Row],[category]]="RNA"),"MET-ppi_c + ","")&amp;ROUND(ABS(_xlpm.mw/1000),6)&amp;" BIO-"&amp;mets2733[[#This Row],[name]]))</f>
        <v>MET-ca2_c --&gt; 0.040078 BIO-ca2_c</v>
      </c>
      <c r="M14" s="149" cm="1">
        <f t="array" ref="M1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-1.25314645456112E-3</v>
      </c>
      <c r="N14" s="149"/>
      <c r="O14" s="162" t="str">
        <v>BIOSYN-RNA</v>
      </c>
      <c r="P14" s="158" t="str">
        <f t="shared" si="1"/>
        <v>BIOSYN-RNA</v>
      </c>
      <c r="Q14" s="158" t="str">
        <f>SUBSTITUTE(LOWER(biomassComponents2632[[#This Row],[rxn name]]),"biosyn-","BIO-")</f>
        <v>BIO-rna</v>
      </c>
      <c r="R14" s="160" cm="1">
        <f t="array" ref="R14">SUM(_xlfn._xlws.FILTER(-mets2733[MW for biomass normalization (g/mol)]*mets2733[normalized coeffs]/1000,mets2733[category]=_xlfn.TEXTAFTER(O14,"BIOSYN-"),""))</f>
        <v>0.11017224425919336</v>
      </c>
      <c r="S14" s="160"/>
      <c r="T14" s="160">
        <v>0.11087698798081137</v>
      </c>
      <c r="U14" s="172" t="s">
        <v>81</v>
      </c>
      <c r="V14" s="158" t="str" cm="1">
        <f t="array" ref="V14">IFERROR(_xlfn.TEXTJOIN(" + ",TRUE,_xlfn._xlws.FILTER((-mets2733[normalized coeffs]*biomassComponents2632[[#This Row],[normalized coeffs]]/biomassComponents2632[[#This Row],[original coeffs from input]])&amp;" BIO-"&amp;mets2733[name],mets2733[category]=_xlfn.TEXTAFTER(P14,"BIOSYN-"),"")),"")</f>
        <v>0.0666009869283449 BIO-atp_c + 0.116254159392965 BIO-ctp_c + 0.101863441501267 BIO-gtp_c + 0.060939350270388 BIO-utp_c</v>
      </c>
      <c r="X14" s="154" t="s">
        <v>52</v>
      </c>
      <c r="Y14" s="152" t="s">
        <v>61</v>
      </c>
      <c r="Z14" s="152" t="s">
        <v>62</v>
      </c>
      <c r="AB14" t="str">
        <v>BIOSYN-RRNA</v>
      </c>
      <c r="AC14" t="str">
        <v>0.19588374824683 BIO-atp_c + 0.316900744147928 BIO-ctp_c + 0.314204061946823 BIO-gtp_c + 0.166653156227493 BIO-utp_c --&gt; BIO-rrna</v>
      </c>
    </row>
    <row r="15" spans="1:33" ht="16" customHeight="1" x14ac:dyDescent="0.2">
      <c r="A15" s="144" t="s">
        <v>1430</v>
      </c>
      <c r="B15" t="str">
        <f>SUBSTITUTE(_xlfn.TEXTBEFORE(mets2733[[#This Row],[pasted JSON metabolite keys and values from GSM biomass rxn]],":"),CHAR(34),"")</f>
        <v>chtn_c</v>
      </c>
      <c r="C15" t="str">
        <f>_xlfn.TEXTBEFORE(mets2733[[#This Row],[name]],"_",-1)</f>
        <v>chtn</v>
      </c>
      <c r="D15" t="str">
        <f>_xlfn.XLOOKUP(mets2733[[#This Row],[name w/o location]],metaboliteInfo[name w/o location],metaboliteInfo[suggested category],"")</f>
        <v>CARB</v>
      </c>
      <c r="E15" s="21">
        <f>_xlfn.XLOOKUP(mets2733[[#This Row],[name w/o location]],metaboliteInfo[name w/o location],metaboliteInfo[MW for biomass normalization (g/mol)],0)</f>
        <v>203.19252</v>
      </c>
      <c r="F15" s="21">
        <f>_xlfn.NUMBERVALUE(SUBSTITUTE(_xlfn.TEXTAFTER(mets2733[[#This Row],[pasted JSON metabolite keys and values from GSM biomass rxn]],":"),",",""))</f>
        <v>-1.5770546050246598E-2</v>
      </c>
      <c r="G15" s="21" cm="1">
        <f t="array" ref="G15">_xlfn.LET(_xlpm.id,mets2733[[#This Row],[name w/o location]],IF(IsElementOfSet_DIY(_xlpm.id,{"atp","adp","h","pi","h2o"}),SIGN(mets2733[[#This Row],[raw (GSM) coefficient]])*(ABS(mets2733[[#This Row],[raw (GSM) coefficient]])-$J$2),mets2733[[#This Row],[raw (GSM) coefficient]]))</f>
        <v>-1.5770546050246598E-2</v>
      </c>
      <c r="H15" s="21">
        <f>mets2733[[#This Row],[coeff. w/o GAM]]</f>
        <v>-1.5770546050246598E-2</v>
      </c>
      <c r="I15" s="161">
        <f t="shared" si="0"/>
        <v>-1.5670304020501596E-2</v>
      </c>
      <c r="J15" s="21" cm="1">
        <f t="array" ref="J15">_xlfn.LET(_xlpm.id,mets2733[[#This Row],[name w/o location]],_xlpm.oldcoeff,mets2733[[#This Row],[normalized coeffs]],_xlpm.gam,$J$2-$G$2,_xlfn.IFS(IFERROR(MATCH(_xlpm.id,{"atp","h2o"},0),0)&gt;0,_xlpm.oldcoeff-_xlpm.gam,IFERROR(MATCH(_xlpm.id,{"adp","h","pi"},0),0)&gt;0,_xlpm.oldcoeff+_xlpm.gam,TRUE,_xlpm.oldcoeff))</f>
        <v>-1.5670304020501596E-2</v>
      </c>
      <c r="K15" t="str" cm="1">
        <f t="array" ref="K15">"BIOSYN-"&amp;_xlfn.IFS(IFERROR(MATCH(mets2733[[#This Row],[category]],{0,"0",""},0),0)&gt;0,mets2733[[#This Row],[name]],TRUE,mets2733[[#This Row],[category]]&amp;"-"&amp;mets2733[[#This Row],[name]])</f>
        <v>BIOSYN-CARB-chtn_c</v>
      </c>
      <c r="L15" s="149" t="str" cm="1">
        <f t="array" ref="L15">IF(IsElementOfSet_DIY(mets2733[[#This Row],[category]],{"ignore","PROT"}),"",_xlfn.LET(_xlpm.mw,mets2733[[#This Row],[MW for biomass normalization (g/mol)]],"MET-"&amp;mets2733[[#This Row],[name]]&amp;" --&gt; "&amp;IF((mets2733[[#This Row],[category]]="DNA")+(mets2733[[#This Row],[category]]="RNA"),"MET-ppi_c + ","")&amp;ROUND(ABS(_xlpm.mw/1000),6)&amp;" BIO-"&amp;mets2733[[#This Row],[name]]))</f>
        <v>MET-chtn_c --&gt; 0.203193 BIO-chtn_c</v>
      </c>
      <c r="M15" s="149" cm="1">
        <f t="array" ref="M1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-1.5770546050246595E-2</v>
      </c>
      <c r="N15" s="149"/>
      <c r="O15" s="149" t="str">
        <v>BIOSYN-SO4</v>
      </c>
      <c r="P15" s="158" t="str">
        <f>O15</f>
        <v>BIOSYN-SO4</v>
      </c>
      <c r="Q15" s="158" t="str">
        <f>SUBSTITUTE(LOWER(biomassComponents2632[[#This Row],[rxn name]]),"biosyn-","BIO-")</f>
        <v>BIO-so4</v>
      </c>
      <c r="R15" s="160" cm="1">
        <f t="array" ref="R15">SUM(_xlfn._xlws.FILTER(-mets2733[MW for biomass normalization (g/mol)]*mets2733[normalized coeffs]/1000,mets2733[category]=_xlfn.TEXTAFTER(O15,"BIOSYN-"),""))</f>
        <v>2.9041598603420696E-3</v>
      </c>
      <c r="S15" s="160"/>
      <c r="T15" s="160">
        <v>2.9227376032322982E-3</v>
      </c>
      <c r="U15" s="158" t="str" cm="1">
        <f t="array" ref="U15">_xlfn.TEXTJOIN(" + ",TRUE,_xlfn._xlws.FILTER(ROUND(-mets2733[MW for biomass normalization (g/mol)]*mets2733[normalized coeffs]*(biomassComponents2632[[#This Row],[normalized coeffs]]/biomassComponents2632[[#This Row],[original coeffs from input]])/(1000*biomassComponents2632[[#This Row],[normalized coeffs]]),6)&amp;" BIO-"&amp;mets2733[name],mets2733[category]=_xlfn.TEXTAFTER(O15,"BIOSYN-"),""))&amp;" --&gt; "&amp;biomassComponents2632[[#This Row],[product name]]</f>
        <v>1 BIO-so4_c --&gt; BIO-so4</v>
      </c>
      <c r="V15" s="158" t="str" cm="1">
        <f t="array" ref="V15">IFERROR(_xlfn.TEXTJOIN(" + ",TRUE,_xlfn._xlws.FILTER((-mets2733[normalized coeffs]*biomassComponents2632[[#This Row],[normalized coeffs]]/biomassComponents2632[[#This Row],[original coeffs from input]])&amp;" BIO-"&amp;mets2733[name],mets2733[category]=_xlfn.TEXTAFTER(P15,"BIOSYN-"),"")),"")</f>
        <v>0.0304253435075909 BIO-so4_c</v>
      </c>
      <c r="X15" s="154"/>
      <c r="Y15" s="152" t="s">
        <v>763</v>
      </c>
      <c r="Z15" s="152" t="str" cm="1">
        <f t="array" ref="Z15">_xlfn.LET(_xlpm.RNAmass,_xlfn.XLOOKUP("BIOSYN-RNA",biomassComponents2632[rxn name],biomassComponents2632[normalized coeffs],0),_xlpm.coeff,1/_xlpm.RNAmass,_xlfn.TEXTJOIN(" + ",TRUE,_xlfn._xlws.FILTER(ROUND(-mets2733[MW for biomass normalization (g/mol)]*mets2733[normalized coeffs]/(1000),6)*_xlpm.coeff&amp;" BIO-"&amp;mets2733[name],mets2733[category]="RNA",""))&amp;" --&gt; "&amp;SUBSTITUTE(LOWER(ExtraRxns2531[[#This Row],[name]]),"biosyn-","BIO-"))</f>
        <v>0.19588374824683 BIO-atp_c + 0.316900744147928 BIO-ctp_c + 0.314204061946823 BIO-gtp_c + 0.166653156227493 BIO-utp_c --&gt; BIO-trna</v>
      </c>
      <c r="AB15" t="str">
        <v>BIOSYN-MRNA</v>
      </c>
      <c r="AC15" t="str">
        <v>0.19588374824683 BIO-atp_c + 0.316900744147928 BIO-ctp_c + 0.314204061946823 BIO-gtp_c + 0.166653156227493 BIO-utp_c --&gt; BIO-mrna</v>
      </c>
    </row>
    <row r="16" spans="1:33" ht="16" customHeight="1" x14ac:dyDescent="0.2">
      <c r="A16" s="144" t="s">
        <v>1431</v>
      </c>
      <c r="B16" t="str">
        <f>SUBSTITUTE(_xlfn.TEXTBEFORE(mets2733[[#This Row],[pasted JSON metabolite keys and values from GSM biomass rxn]],":"),CHAR(34),"")</f>
        <v>co2_c</v>
      </c>
      <c r="C16" t="str">
        <f>_xlfn.TEXTBEFORE(mets2733[[#This Row],[name]],"_",-1)</f>
        <v>co2</v>
      </c>
      <c r="D16" t="str">
        <f>_xlfn.XLOOKUP(mets2733[[#This Row],[name w/o location]],metaboliteInfo[name w/o location],metaboliteInfo[suggested category],"")</f>
        <v>other</v>
      </c>
      <c r="E16" s="21">
        <f>_xlfn.XLOOKUP(mets2733[[#This Row],[name w/o location]],metaboliteInfo[name w/o location],metaboliteInfo[MW for biomass normalization (g/mol)],0)</f>
        <v>44.009500000000003</v>
      </c>
      <c r="F16" s="21">
        <f>_xlfn.NUMBERVALUE(SUBSTITUTE(_xlfn.TEXTAFTER(mets2733[[#This Row],[pasted JSON metabolite keys and values from GSM biomass rxn]],":"),",",""))</f>
        <v>1.9489058391308201E-3</v>
      </c>
      <c r="G16" s="21" cm="1">
        <f t="array" ref="G16">_xlfn.LET(_xlpm.id,mets2733[[#This Row],[name w/o location]],IF(IsElementOfSet_DIY(_xlpm.id,{"atp","adp","h","pi","h2o"}),SIGN(mets2733[[#This Row],[raw (GSM) coefficient]])*(ABS(mets2733[[#This Row],[raw (GSM) coefficient]])-$J$2),mets2733[[#This Row],[raw (GSM) coefficient]]))</f>
        <v>1.9489058391308201E-3</v>
      </c>
      <c r="H16" s="21">
        <f>mets2733[[#This Row],[coeff. w/o GAM]]</f>
        <v>1.9489058391308201E-3</v>
      </c>
      <c r="I16" s="161">
        <f t="shared" si="0"/>
        <v>1.9365180450446851E-3</v>
      </c>
      <c r="J16" s="21" cm="1">
        <f t="array" ref="J16">_xlfn.LET(_xlpm.id,mets2733[[#This Row],[name w/o location]],_xlpm.oldcoeff,mets2733[[#This Row],[normalized coeffs]],_xlpm.gam,$J$2-$G$2,_xlfn.IFS(IFERROR(MATCH(_xlpm.id,{"atp","h2o"},0),0)&gt;0,_xlpm.oldcoeff-_xlpm.gam,IFERROR(MATCH(_xlpm.id,{"adp","h","pi"},0),0)&gt;0,_xlpm.oldcoeff+_xlpm.gam,TRUE,_xlpm.oldcoeff))</f>
        <v>1.9365180450446851E-3</v>
      </c>
      <c r="K16" t="str" cm="1">
        <f t="array" ref="K16">"BIOSYN-"&amp;_xlfn.IFS(IFERROR(MATCH(mets2733[[#This Row],[category]],{0,"0",""},0),0)&gt;0,mets2733[[#This Row],[name]],TRUE,mets2733[[#This Row],[category]]&amp;"-"&amp;mets2733[[#This Row],[name]])</f>
        <v>BIOSYN-other-co2_c</v>
      </c>
      <c r="L16" s="149" t="str" cm="1">
        <f t="array" ref="L16">IF(IsElementOfSet_DIY(mets2733[[#This Row],[category]],{"ignore","PROT"}),"",_xlfn.LET(_xlpm.mw,mets2733[[#This Row],[MW for biomass normalization (g/mol)]],"MET-"&amp;mets2733[[#This Row],[name]]&amp;" --&gt; "&amp;IF((mets2733[[#This Row],[category]]="DNA")+(mets2733[[#This Row],[category]]="RNA"),"MET-ppi_c + ","")&amp;ROUND(ABS(_xlpm.mw/1000),6)&amp;" BIO-"&amp;mets2733[[#This Row],[name]]))</f>
        <v>MET-co2_c --&gt; 0.04401 BIO-co2_c</v>
      </c>
      <c r="M16" s="149" cm="1">
        <f t="array" ref="M1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1.9489058391308268E-3</v>
      </c>
      <c r="N16" s="149"/>
      <c r="O16" s="149"/>
      <c r="P16" s="145"/>
      <c r="Q16" s="166"/>
      <c r="R16" s="95"/>
      <c r="S16" s="149"/>
      <c r="T16" s="149"/>
      <c r="U16" s="149"/>
      <c r="V16" s="149"/>
      <c r="X16" s="154"/>
      <c r="Y16" s="152" t="s">
        <v>765</v>
      </c>
      <c r="Z16" s="152" t="str" cm="1">
        <f t="array" ref="Z16">_xlfn.LET(_xlpm.RNAmass,_xlfn.XLOOKUP("BIOSYN-RNA",biomassComponents2632[rxn name],biomassComponents2632[normalized coeffs],0),_xlpm.coeff,1/_xlpm.RNAmass,_xlfn.TEXTJOIN(" + ",TRUE,_xlfn._xlws.FILTER(ROUND(-mets2733[MW for biomass normalization (g/mol)]*mets2733[normalized coeffs]/(1000),6)*_xlpm.coeff&amp;" BIO-"&amp;mets2733[name],mets2733[category]="RNA",""))&amp;" --&gt; "&amp;SUBSTITUTE(LOWER(ExtraRxns2531[[#This Row],[name]]),"biosyn-","BIO-"))</f>
        <v>0.19588374824683 BIO-atp_c + 0.316900744147928 BIO-ctp_c + 0.314204061946823 BIO-gtp_c + 0.166653156227493 BIO-utp_c --&gt; BIO-rrna</v>
      </c>
      <c r="AB16" t="str">
        <v>DM-BIO-other</v>
      </c>
      <c r="AC16" t="str">
        <v xml:space="preserve">BIO-other --&gt; </v>
      </c>
    </row>
    <row r="17" spans="1:29" ht="16" customHeight="1" x14ac:dyDescent="0.2">
      <c r="A17" s="144" t="s">
        <v>1432</v>
      </c>
      <c r="B17" t="str">
        <f>SUBSTITUTE(_xlfn.TEXTBEFORE(mets2733[[#This Row],[pasted JSON metabolite keys and values from GSM biomass rxn]],":"),CHAR(34),"")</f>
        <v>coa_c</v>
      </c>
      <c r="C17" t="str">
        <f>_xlfn.TEXTBEFORE(mets2733[[#This Row],[name]],"_",-1)</f>
        <v>coa</v>
      </c>
      <c r="D17" t="str">
        <f>_xlfn.XLOOKUP(mets2733[[#This Row],[name w/o location]],metaboliteInfo[name w/o location],metaboliteInfo[suggested category],"")</f>
        <v>COFACTOR</v>
      </c>
      <c r="E17" s="21">
        <f>_xlfn.XLOOKUP(mets2733[[#This Row],[name w/o location]],metaboliteInfo[name w/o location],metaboliteInfo[MW for biomass normalization (g/mol)],0)</f>
        <v>763.50236299999995</v>
      </c>
      <c r="F17" s="21">
        <f>_xlfn.NUMBERVALUE(SUBSTITUTE(_xlfn.TEXTAFTER(mets2733[[#This Row],[pasted JSON metabolite keys and values from GSM biomass rxn]],":"),",",""))</f>
        <v>4.6218301974987504E-3</v>
      </c>
      <c r="G17" s="21" cm="1">
        <f t="array" ref="G17">_xlfn.LET(_xlpm.id,mets2733[[#This Row],[name w/o location]],IF(IsElementOfSet_DIY(_xlpm.id,{"atp","adp","h","pi","h2o"}),SIGN(mets2733[[#This Row],[raw (GSM) coefficient]])*(ABS(mets2733[[#This Row],[raw (GSM) coefficient]])-$J$2),mets2733[[#This Row],[raw (GSM) coefficient]]))</f>
        <v>4.6218301974987504E-3</v>
      </c>
      <c r="H17" s="21">
        <f>mets2733[[#This Row],[coeff. w/o GAM]]</f>
        <v>4.6218301974987504E-3</v>
      </c>
      <c r="I17" s="161">
        <f t="shared" si="0"/>
        <v>4.5924525438234814E-3</v>
      </c>
      <c r="J17" s="21" cm="1">
        <f t="array" ref="J17">_xlfn.LET(_xlpm.id,mets2733[[#This Row],[name w/o location]],_xlpm.oldcoeff,mets2733[[#This Row],[normalized coeffs]],_xlpm.gam,$J$2-$G$2,_xlfn.IFS(IFERROR(MATCH(_xlpm.id,{"atp","h2o"},0),0)&gt;0,_xlpm.oldcoeff-_xlpm.gam,IFERROR(MATCH(_xlpm.id,{"adp","h","pi"},0),0)&gt;0,_xlpm.oldcoeff+_xlpm.gam,TRUE,_xlpm.oldcoeff))</f>
        <v>4.5924525438234814E-3</v>
      </c>
      <c r="K17" t="str" cm="1">
        <f t="array" ref="K17">"BIOSYN-"&amp;_xlfn.IFS(IFERROR(MATCH(mets2733[[#This Row],[category]],{0,"0",""},0),0)&gt;0,mets2733[[#This Row],[name]],TRUE,mets2733[[#This Row],[category]]&amp;"-"&amp;mets2733[[#This Row],[name]])</f>
        <v>BIOSYN-COFACTOR-coa_c</v>
      </c>
      <c r="L17" s="149" t="str" cm="1">
        <f t="array" ref="L17">IF(IsElementOfSet_DIY(mets2733[[#This Row],[category]],{"ignore","PROT"}),"",_xlfn.LET(_xlpm.mw,mets2733[[#This Row],[MW for biomass normalization (g/mol)]],"MET-"&amp;mets2733[[#This Row],[name]]&amp;" --&gt; "&amp;IF((mets2733[[#This Row],[category]]="DNA")+(mets2733[[#This Row],[category]]="RNA"),"MET-ppi_c + ","")&amp;ROUND(ABS(_xlpm.mw/1000),6)&amp;" BIO-"&amp;mets2733[[#This Row],[name]]))</f>
        <v>MET-coa_c --&gt; 0.763502 BIO-coa_c</v>
      </c>
      <c r="M17" s="149" cm="1">
        <f t="array" ref="M1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4.6218301974987495E-3</v>
      </c>
      <c r="N17" s="149"/>
      <c r="O17" s="149"/>
      <c r="P17" s="149"/>
      <c r="Q17" s="167"/>
      <c r="R17" s="149"/>
      <c r="S17" s="149"/>
      <c r="T17" s="149"/>
      <c r="U17" s="149"/>
      <c r="V17" s="149"/>
      <c r="X17" s="154"/>
      <c r="Y17" s="152" t="s">
        <v>764</v>
      </c>
      <c r="Z17" s="152" t="str" cm="1">
        <f t="array" ref="Z17">_xlfn.LET(_xlpm.RNAmass,_xlfn.XLOOKUP("BIOSYN-RNA",biomassComponents2632[rxn name],biomassComponents2632[normalized coeffs],0),_xlpm.coeff,1/_xlpm.RNAmass,_xlfn.TEXTJOIN(" + ",TRUE,_xlfn._xlws.FILTER(ROUND(-mets2733[MW for biomass normalization (g/mol)]*mets2733[normalized coeffs]/(1000),6)*_xlpm.coeff&amp;" BIO-"&amp;mets2733[name],mets2733[category]="RNA",""))&amp;" --&gt; "&amp;SUBSTITUTE(LOWER(ExtraRxns2531[[#This Row],[name]]),"biosyn-","BIO-"))</f>
        <v>0.19588374824683 BIO-atp_c + 0.316900744147928 BIO-ctp_c + 0.314204061946823 BIO-gtp_c + 0.166653156227493 BIO-utp_c --&gt; BIO-mrna</v>
      </c>
      <c r="AB17" t="str">
        <v>DM-BIO-cofactor</v>
      </c>
      <c r="AC17" t="str">
        <v xml:space="preserve">BIO-cofactor --&gt; </v>
      </c>
    </row>
    <row r="18" spans="1:29" ht="16" customHeight="1" x14ac:dyDescent="0.2">
      <c r="A18" s="144" t="s">
        <v>1433</v>
      </c>
      <c r="B18" t="str">
        <f>SUBSTITUTE(_xlfn.TEXTBEFORE(mets2733[[#This Row],[pasted JSON metabolite keys and values from GSM biomass rxn]],":"),CHAR(34),"")</f>
        <v>ctp_c</v>
      </c>
      <c r="C18" t="str">
        <f>_xlfn.TEXTBEFORE(mets2733[[#This Row],[name]],"_",-1)</f>
        <v>ctp</v>
      </c>
      <c r="D18" t="str">
        <f>_xlfn.XLOOKUP(mets2733[[#This Row],[name w/o location]],metaboliteInfo[name w/o location],metaboliteInfo[suggested category],"")</f>
        <v>RNA</v>
      </c>
      <c r="E18" s="21">
        <f>_xlfn.XLOOKUP(mets2733[[#This Row],[name w/o location]],metaboliteInfo[name w/o location],metaboliteInfo[MW for biomass normalization (g/mol)],0)</f>
        <v>304.17330100000004</v>
      </c>
      <c r="F18" s="21">
        <f>_xlfn.NUMBERVALUE(SUBSTITUTE(_xlfn.TEXTAFTER(mets2733[[#This Row],[pasted JSON metabolite keys and values from GSM biomass rxn]],":"),",",""))</f>
        <v>-0.11625418220999301</v>
      </c>
      <c r="G18" s="21" cm="1">
        <f t="array" ref="G18">_xlfn.LET(_xlpm.id,mets2733[[#This Row],[name w/o location]],IF(IsElementOfSet_DIY(_xlpm.id,{"atp","adp","h","pi","h2o"}),SIGN(mets2733[[#This Row],[raw (GSM) coefficient]])*(ABS(mets2733[[#This Row],[raw (GSM) coefficient]])-$J$2),mets2733[[#This Row],[raw (GSM) coefficient]]))</f>
        <v>-0.11625418220999301</v>
      </c>
      <c r="H18" s="21">
        <f>mets2733[[#This Row],[coeff. w/o GAM]]</f>
        <v>-0.11625418220999301</v>
      </c>
      <c r="I18" s="161">
        <f t="shared" si="0"/>
        <v>-0.11551523790496097</v>
      </c>
      <c r="J18" s="21" cm="1">
        <f t="array" ref="J18">_xlfn.LET(_xlpm.id,mets2733[[#This Row],[name w/o location]],_xlpm.oldcoeff,mets2733[[#This Row],[normalized coeffs]],_xlpm.gam,$J$2-$G$2,_xlfn.IFS(IFERROR(MATCH(_xlpm.id,{"atp","h2o"},0),0)&gt;0,_xlpm.oldcoeff-_xlpm.gam,IFERROR(MATCH(_xlpm.id,{"adp","h","pi"},0),0)&gt;0,_xlpm.oldcoeff+_xlpm.gam,TRUE,_xlpm.oldcoeff))</f>
        <v>-0.11551523790496097</v>
      </c>
      <c r="K18" t="str" cm="1">
        <f t="array" ref="K18">"BIOSYN-"&amp;_xlfn.IFS(IFERROR(MATCH(mets2733[[#This Row],[category]],{0,"0",""},0),0)&gt;0,mets2733[[#This Row],[name]],TRUE,mets2733[[#This Row],[category]]&amp;"-"&amp;mets2733[[#This Row],[name]])</f>
        <v>BIOSYN-RNA-ctp_c</v>
      </c>
      <c r="L18" s="149" t="str" cm="1">
        <f t="array" ref="L18">IF(IsElementOfSet_DIY(mets2733[[#This Row],[category]],{"ignore","PROT"}),"",_xlfn.LET(_xlpm.mw,mets2733[[#This Row],[MW for biomass normalization (g/mol)]],"MET-"&amp;mets2733[[#This Row],[name]]&amp;" --&gt; "&amp;IF((mets2733[[#This Row],[category]]="DNA")+(mets2733[[#This Row],[category]]="RNA"),"MET-ppi_c + ","")&amp;ROUND(ABS(_xlpm.mw/1000),6)&amp;" BIO-"&amp;mets2733[[#This Row],[name]]))</f>
        <v>MET-ctp_c --&gt; MET-ppi_c + 0.304173 BIO-ctp_c</v>
      </c>
      <c r="M18" s="149" cm="1">
        <f t="array" ref="M1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-0.11625415939296486</v>
      </c>
      <c r="N18" s="149"/>
      <c r="O18" s="149"/>
      <c r="P18" s="149"/>
      <c r="Q18" s="149"/>
      <c r="R18" s="167" t="s">
        <v>1310</v>
      </c>
      <c r="S18" s="149"/>
      <c r="T18" s="149"/>
      <c r="U18" s="149"/>
      <c r="V18" s="149"/>
      <c r="X18" s="154"/>
      <c r="Y18" s="152" t="s">
        <v>1423</v>
      </c>
      <c r="Z18" s="152" t="s">
        <v>1420</v>
      </c>
      <c r="AB18" t="str">
        <v>BIOSYN-CARB</v>
      </c>
      <c r="AC18" t="str">
        <v>0.360165 BIO-13BDglucan_c + 0.09478 BIO-16BDglucan_en + 0.010671 BIO-chtn_c + 0.123543 BIO-glycogen_c + 0.257886 BIO-mannan_c + 0.152955 BIO-tre_c --&gt; BIO-carb</v>
      </c>
    </row>
    <row r="19" spans="1:29" ht="29" customHeight="1" thickBot="1" x14ac:dyDescent="0.25">
      <c r="A19" s="144" t="s">
        <v>1434</v>
      </c>
      <c r="B19" t="str">
        <f>SUBSTITUTE(_xlfn.TEXTBEFORE(mets2733[[#This Row],[pasted JSON metabolite keys and values from GSM biomass rxn]],":"),CHAR(34),"")</f>
        <v>cu2_c</v>
      </c>
      <c r="C19" t="str">
        <f>_xlfn.TEXTBEFORE(mets2733[[#This Row],[name]],"_",-1)</f>
        <v>cu2</v>
      </c>
      <c r="D19" t="str">
        <f>_xlfn.XLOOKUP(mets2733[[#This Row],[name w/o location]],metaboliteInfo[name w/o location],metaboliteInfo[suggested category],"")</f>
        <v>METAL</v>
      </c>
      <c r="E19" s="21">
        <f>_xlfn.XLOOKUP(mets2733[[#This Row],[name w/o location]],metaboliteInfo[name w/o location],metaboliteInfo[MW for biomass normalization (g/mol)],0)</f>
        <v>63.545999999999999</v>
      </c>
      <c r="F19" s="21">
        <f>_xlfn.NUMBERVALUE(SUBSTITUTE(_xlfn.TEXTAFTER(mets2733[[#This Row],[pasted JSON metabolite keys and values from GSM biomass rxn]],":"),",",""))</f>
        <v>-1.11087632830457E-4</v>
      </c>
      <c r="G19" s="21" cm="1">
        <f t="array" ref="G19">_xlfn.LET(_xlpm.id,mets2733[[#This Row],[name w/o location]],IF(IsElementOfSet_DIY(_xlpm.id,{"atp","adp","h","pi","h2o"}),SIGN(mets2733[[#This Row],[raw (GSM) coefficient]])*(ABS(mets2733[[#This Row],[raw (GSM) coefficient]])-$J$2),mets2733[[#This Row],[raw (GSM) coefficient]]))</f>
        <v>-1.11087632830457E-4</v>
      </c>
      <c r="H19" s="21">
        <f>mets2733[[#This Row],[coeff. w/o GAM]]</f>
        <v>-1.11087632830457E-4</v>
      </c>
      <c r="I19" s="161">
        <f t="shared" si="0"/>
        <v>-1.1038152856754731E-4</v>
      </c>
      <c r="J19" s="21" cm="1">
        <f t="array" ref="J19">_xlfn.LET(_xlpm.id,mets2733[[#This Row],[name w/o location]],_xlpm.oldcoeff,mets2733[[#This Row],[normalized coeffs]],_xlpm.gam,$J$2-$G$2,_xlfn.IFS(IFERROR(MATCH(_xlpm.id,{"atp","h2o"},0),0)&gt;0,_xlpm.oldcoeff-_xlpm.gam,IFERROR(MATCH(_xlpm.id,{"adp","h","pi"},0),0)&gt;0,_xlpm.oldcoeff+_xlpm.gam,TRUE,_xlpm.oldcoeff))</f>
        <v>-1.1038152856754731E-4</v>
      </c>
      <c r="K19" t="str" cm="1">
        <f t="array" ref="K19">"BIOSYN-"&amp;_xlfn.IFS(IFERROR(MATCH(mets2733[[#This Row],[category]],{0,"0",""},0),0)&gt;0,mets2733[[#This Row],[name]],TRUE,mets2733[[#This Row],[category]]&amp;"-"&amp;mets2733[[#This Row],[name]])</f>
        <v>BIOSYN-METAL-cu2_c</v>
      </c>
      <c r="L19" s="149" t="str" cm="1">
        <f t="array" ref="L19">IF(IsElementOfSet_DIY(mets2733[[#This Row],[category]],{"ignore","PROT"}),"",_xlfn.LET(_xlpm.mw,mets2733[[#This Row],[MW for biomass normalization (g/mol)]],"MET-"&amp;mets2733[[#This Row],[name]]&amp;" --&gt; "&amp;IF((mets2733[[#This Row],[category]]="DNA")+(mets2733[[#This Row],[category]]="RNA"),"MET-ppi_c + ","")&amp;ROUND(ABS(_xlpm.mw/1000),6)&amp;" BIO-"&amp;mets2733[[#This Row],[name]]))</f>
        <v>MET-cu2_c --&gt; 0.063546 BIO-cu2_c</v>
      </c>
      <c r="M19" s="149" cm="1">
        <f t="array" ref="M1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-1.11087632830457E-4</v>
      </c>
      <c r="N19" s="149"/>
      <c r="O19" s="149"/>
      <c r="P19" s="175" t="s">
        <v>762</v>
      </c>
      <c r="Q19" s="175" t="s">
        <v>753</v>
      </c>
      <c r="R19" s="175" t="s">
        <v>627</v>
      </c>
      <c r="S19" s="149"/>
      <c r="T19" s="149"/>
      <c r="U19" s="149"/>
      <c r="V19" s="149">
        <f>SUM(U20:U29)</f>
        <v>0.58717494220823685</v>
      </c>
      <c r="X19" s="154"/>
      <c r="Y19" s="152" t="s">
        <v>1424</v>
      </c>
      <c r="Z19" s="152" t="s">
        <v>1421</v>
      </c>
      <c r="AB19" t="str">
        <v>BIOSYN-COFACTOR</v>
      </c>
      <c r="AC19" t="str">
        <v>0.614705 BIO-nadph_c --&gt; BIO-cofactor + 1.000836 MET-coa_c + 0.613869 MET-nadp_c</v>
      </c>
    </row>
    <row r="20" spans="1:29" ht="16" x14ac:dyDescent="0.2">
      <c r="A20" s="144" t="s">
        <v>1665</v>
      </c>
      <c r="B20" t="str">
        <f>SUBSTITUTE(_xlfn.TEXTBEFORE(mets2733[[#This Row],[pasted JSON metabolite keys and values from GSM biomass rxn]],":"),CHAR(34),"")</f>
        <v>cystrna_c</v>
      </c>
      <c r="C20" t="str">
        <f>_xlfn.TEXTBEFORE(mets2733[[#This Row],[name]],"_",-1)</f>
        <v>cystrna</v>
      </c>
      <c r="D20" t="str">
        <f>_xlfn.XLOOKUP(mets2733[[#This Row],[name w/o location]],metaboliteInfo[name w/o location],metaboliteInfo[suggested category],"")</f>
        <v>PROT</v>
      </c>
      <c r="E20" s="21">
        <f>_xlfn.XLOOKUP(mets2733[[#This Row],[name w/o location]],metaboliteInfo[name w/o location],metaboliteInfo[MW for biomass normalization (g/mol)],0)</f>
        <v>104.15084</v>
      </c>
      <c r="F20" s="21">
        <f>_xlfn.NUMBERVALUE(SUBSTITUTE(_xlfn.TEXTAFTER(mets2733[[#This Row],[pasted JSON metabolite keys and values from GSM biomass rxn]],":"),",",""))</f>
        <v>-5.97824405906228E-3</v>
      </c>
      <c r="G20" s="21" cm="1">
        <f t="array" ref="G20">_xlfn.LET(_xlpm.id,mets2733[[#This Row],[name w/o location]],IF(IsElementOfSet_DIY(_xlpm.id,{"atp","adp","h","pi","h2o"}),SIGN(mets2733[[#This Row],[raw (GSM) coefficient]])*(ABS(mets2733[[#This Row],[raw (GSM) coefficient]])-$J$2),mets2733[[#This Row],[raw (GSM) coefficient]]))</f>
        <v>-5.97824405906228E-3</v>
      </c>
      <c r="H20" s="21">
        <f>mets2733[[#This Row],[coeff. w/o GAM]]</f>
        <v>-5.97824405906228E-3</v>
      </c>
      <c r="I20" s="161">
        <f t="shared" si="0"/>
        <v>-5.9402446570832948E-3</v>
      </c>
      <c r="J20" s="21" cm="1">
        <f t="array" ref="J20">_xlfn.LET(_xlpm.id,mets2733[[#This Row],[name w/o location]],_xlpm.oldcoeff,mets2733[[#This Row],[normalized coeffs]],_xlpm.gam,$J$2-$G$2,_xlfn.IFS(IFERROR(MATCH(_xlpm.id,{"atp","h2o"},0),0)&gt;0,_xlpm.oldcoeff-_xlpm.gam,IFERROR(MATCH(_xlpm.id,{"adp","h","pi"},0),0)&gt;0,_xlpm.oldcoeff+_xlpm.gam,TRUE,_xlpm.oldcoeff))</f>
        <v>-5.9402446570832948E-3</v>
      </c>
      <c r="K20" t="str" cm="1">
        <f t="array" ref="K20">"BIOSYN-"&amp;_xlfn.IFS(IFERROR(MATCH(mets2733[[#This Row],[category]],{0,"0",""},0),0)&gt;0,mets2733[[#This Row],[name]],TRUE,mets2733[[#This Row],[category]]&amp;"-"&amp;mets2733[[#This Row],[name]])</f>
        <v>BIOSYN-PROT-cystrna_c</v>
      </c>
      <c r="L20" s="149" t="str" cm="1">
        <f t="array" ref="L20">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20" s="149" cm="1">
        <f t="array" ref="M2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-5.9782440590622809E-3</v>
      </c>
      <c r="N20" s="149"/>
      <c r="O20" s="149"/>
      <c r="P20" s="176" t="s">
        <v>64</v>
      </c>
      <c r="Q20" s="176" t="s">
        <v>274</v>
      </c>
      <c r="R20" s="177">
        <v>0.47399999999999998</v>
      </c>
      <c r="S20" s="149"/>
      <c r="T20" s="149"/>
      <c r="U20" s="149">
        <v>0</v>
      </c>
      <c r="V20" s="149" cm="1">
        <f t="array" ref="V20:V29">U20:U29/V19</f>
        <v>0</v>
      </c>
      <c r="AB20" t="str">
        <v>BIOSYN-DNA</v>
      </c>
      <c r="AC20" t="str">
        <v>0.197916 BIO-datp_c + 0.28514 BIO-dctp_c + 0.324743 BIO-dgtp_c + 0.192202 BIO-dttp_c --&gt; BIO-dna</v>
      </c>
    </row>
    <row r="21" spans="1:29" ht="16" customHeight="1" x14ac:dyDescent="0.2">
      <c r="A21" s="144" t="s">
        <v>1435</v>
      </c>
      <c r="B21" t="str">
        <f>SUBSTITUTE(_xlfn.TEXTBEFORE(mets2733[[#This Row],[pasted JSON metabolite keys and values from GSM biomass rxn]],":"),CHAR(34),"")</f>
        <v>dag_c</v>
      </c>
      <c r="C21" t="str">
        <f>_xlfn.TEXTBEFORE(mets2733[[#This Row],[name]],"_",-1)</f>
        <v>dag</v>
      </c>
      <c r="D21" t="str">
        <f>_xlfn.XLOOKUP(mets2733[[#This Row],[name w/o location]],metaboliteInfo[name w/o location],metaboliteInfo[suggested category],"")</f>
        <v>LIPID</v>
      </c>
      <c r="E21" s="21">
        <f>_xlfn.XLOOKUP(mets2733[[#This Row],[name w/o location]],metaboliteInfo[name w/o location],metaboliteInfo[MW for biomass normalization (g/mol)],0)</f>
        <v>317.07794000000001</v>
      </c>
      <c r="F21" s="21">
        <f>_xlfn.NUMBERVALUE(SUBSTITUTE(_xlfn.TEXTAFTER(mets2733[[#This Row],[pasted JSON metabolite keys and values from GSM biomass rxn]],":"),",",""))</f>
        <v>1.9489058391308201E-3</v>
      </c>
      <c r="G21" s="21" cm="1">
        <f t="array" ref="G21">_xlfn.LET(_xlpm.id,mets2733[[#This Row],[name w/o location]],IF(IsElementOfSet_DIY(_xlpm.id,{"atp","adp","h","pi","h2o"}),SIGN(mets2733[[#This Row],[raw (GSM) coefficient]])*(ABS(mets2733[[#This Row],[raw (GSM) coefficient]])-$J$2),mets2733[[#This Row],[raw (GSM) coefficient]]))</f>
        <v>1.9489058391308201E-3</v>
      </c>
      <c r="H21" s="21">
        <f>mets2733[[#This Row],[coeff. w/o GAM]]</f>
        <v>1.9489058391308201E-3</v>
      </c>
      <c r="I21" s="161">
        <f t="shared" si="0"/>
        <v>1.9365180450446851E-3</v>
      </c>
      <c r="J21" s="21" cm="1">
        <f t="array" ref="J21">_xlfn.LET(_xlpm.id,mets2733[[#This Row],[name w/o location]],_xlpm.oldcoeff,mets2733[[#This Row],[normalized coeffs]],_xlpm.gam,$J$2-$G$2,_xlfn.IFS(IFERROR(MATCH(_xlpm.id,{"atp","h2o"},0),0)&gt;0,_xlpm.oldcoeff-_xlpm.gam,IFERROR(MATCH(_xlpm.id,{"adp","h","pi"},0),0)&gt;0,_xlpm.oldcoeff+_xlpm.gam,TRUE,_xlpm.oldcoeff))</f>
        <v>1.9365180450446851E-3</v>
      </c>
      <c r="K21" t="str" cm="1">
        <f t="array" ref="K21">"BIOSYN-"&amp;_xlfn.IFS(IFERROR(MATCH(mets2733[[#This Row],[category]],{0,"0",""},0),0)&gt;0,mets2733[[#This Row],[name]],TRUE,mets2733[[#This Row],[category]]&amp;"-"&amp;mets2733[[#This Row],[name]])</f>
        <v>BIOSYN-LIPID-dag_c</v>
      </c>
      <c r="L21" s="149" t="str" cm="1">
        <f t="array" ref="L21">IF(IsElementOfSet_DIY(mets2733[[#This Row],[category]],{"ignore","PROT"}),"",_xlfn.LET(_xlpm.mw,mets2733[[#This Row],[MW for biomass normalization (g/mol)]],"MET-"&amp;mets2733[[#This Row],[name]]&amp;" --&gt; "&amp;IF((mets2733[[#This Row],[category]]="DNA")+(mets2733[[#This Row],[category]]="RNA"),"MET-ppi_c + ","")&amp;ROUND(ABS(_xlpm.mw/1000),6)&amp;" BIO-"&amp;mets2733[[#This Row],[name]]))</f>
        <v>MET-dag_c --&gt; 0.317078 BIO-dag_c</v>
      </c>
      <c r="M21" s="149" cm="1">
        <f t="array" ref="M2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1.9489058391308201E-3</v>
      </c>
      <c r="N21" s="149"/>
      <c r="O21" s="149"/>
      <c r="P21" s="176" t="s">
        <v>164</v>
      </c>
      <c r="Q21" s="176" t="s">
        <v>28</v>
      </c>
      <c r="R21" s="177"/>
      <c r="S21" s="149"/>
      <c r="T21" s="149"/>
      <c r="U21" s="149">
        <v>0.18248193945823896</v>
      </c>
      <c r="V21" s="149">
        <v>0.31077950767443208</v>
      </c>
      <c r="AB21" t="str">
        <v>BIOSYN-LIPID</v>
      </c>
      <c r="AC21" t="str">
        <v>-0.007957 MET-dag_c + 0.00019 BIO-docoscoa_c + 0.213353 BIO-ergst_c + 0.088078 BIO-ergstest_c + 0.014332 BIO-hxccoa_c + 0.003402 BIO-linocoa_c + 0.000836 BIO-linolncoa_c + 0.001985 BIO-odecoa_c + 0.105347 BIO-pail_c + 0.283936 BIO-pc_c + 0.072079 BIO-pe_c + 0.026726 BIO-pmtcoa_c + 0.065524 BIO-ps_c + 0.001083 BIO-stcoa_c + 0.116602 BIO-tag_c + 0.014485 BIO-ttccoa_c --&gt; BIO-lipid</v>
      </c>
    </row>
    <row r="22" spans="1:29" ht="16" customHeight="1" x14ac:dyDescent="0.2">
      <c r="A22" s="144" t="s">
        <v>1436</v>
      </c>
      <c r="B22" t="str">
        <f>SUBSTITUTE(_xlfn.TEXTBEFORE(mets2733[[#This Row],[pasted JSON metabolite keys and values from GSM biomass rxn]],":"),CHAR(34),"")</f>
        <v>datp_c</v>
      </c>
      <c r="C22" t="str">
        <f>_xlfn.TEXTBEFORE(mets2733[[#This Row],[name]],"_",-1)</f>
        <v>datp</v>
      </c>
      <c r="D22" t="str">
        <f>_xlfn.XLOOKUP(mets2733[[#This Row],[name w/o location]],metaboliteInfo[name w/o location],metaboliteInfo[suggested category],"")</f>
        <v>DNA</v>
      </c>
      <c r="E22" s="21">
        <f>_xlfn.XLOOKUP(mets2733[[#This Row],[name w/o location]],metaboliteInfo[name w/o location],metaboliteInfo[MW for biomass normalization (g/mol)],0)</f>
        <v>312.19860099999994</v>
      </c>
      <c r="F22" s="21">
        <f>_xlfn.NUMBERVALUE(SUBSTITUTE(_xlfn.TEXTAFTER(mets2733[[#This Row],[pasted JSON metabolite keys and values from GSM biomass rxn]],":"),",",""))</f>
        <v>-5.85548759366856E-3</v>
      </c>
      <c r="G22" s="21" cm="1">
        <f t="array" ref="G22">_xlfn.LET(_xlpm.id,mets2733[[#This Row],[name w/o location]],IF(IsElementOfSet_DIY(_xlpm.id,{"atp","adp","h","pi","h2o"}),SIGN(mets2733[[#This Row],[raw (GSM) coefficient]])*(ABS(mets2733[[#This Row],[raw (GSM) coefficient]])-$J$2),mets2733[[#This Row],[raw (GSM) coefficient]]))</f>
        <v>-5.85548759366856E-3</v>
      </c>
      <c r="H22" s="21">
        <f>mets2733[[#This Row],[coeff. w/o GAM]]</f>
        <v>-5.85548759366856E-3</v>
      </c>
      <c r="I22" s="161">
        <f t="shared" si="0"/>
        <v>-5.8182684663367675E-3</v>
      </c>
      <c r="J22" s="21" cm="1">
        <f t="array" ref="J22">_xlfn.LET(_xlpm.id,mets2733[[#This Row],[name w/o location]],_xlpm.oldcoeff,mets2733[[#This Row],[normalized coeffs]],_xlpm.gam,$J$2-$G$2,_xlfn.IFS(IFERROR(MATCH(_xlpm.id,{"atp","h2o"},0),0)&gt;0,_xlpm.oldcoeff-_xlpm.gam,IFERROR(MATCH(_xlpm.id,{"adp","h","pi"},0),0)&gt;0,_xlpm.oldcoeff+_xlpm.gam,TRUE,_xlpm.oldcoeff))</f>
        <v>-5.8182684663367675E-3</v>
      </c>
      <c r="K22" t="str" cm="1">
        <f t="array" ref="K22">"BIOSYN-"&amp;_xlfn.IFS(IFERROR(MATCH(mets2733[[#This Row],[category]],{0,"0",""},0),0)&gt;0,mets2733[[#This Row],[name]],TRUE,mets2733[[#This Row],[category]]&amp;"-"&amp;mets2733[[#This Row],[name]])</f>
        <v>BIOSYN-DNA-datp_c</v>
      </c>
      <c r="L22" s="149" t="str" cm="1">
        <f t="array" ref="L22">IF(IsElementOfSet_DIY(mets2733[[#This Row],[category]],{"ignore","PROT"}),"",_xlfn.LET(_xlpm.mw,mets2733[[#This Row],[MW for biomass normalization (g/mol)]],"MET-"&amp;mets2733[[#This Row],[name]]&amp;" --&gt; "&amp;IF((mets2733[[#This Row],[category]]="DNA")+(mets2733[[#This Row],[category]]="RNA"),"MET-ppi_c + ","")&amp;ROUND(ABS(_xlpm.mw/1000),6)&amp;" BIO-"&amp;mets2733[[#This Row],[name]]))</f>
        <v>MET-datp_c --&gt; MET-ppi_c + 0.312199 BIO-datp_c</v>
      </c>
      <c r="M22" s="149" cm="1">
        <f t="array" ref="M2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-5.8554875936685609E-3</v>
      </c>
      <c r="N22" s="149"/>
      <c r="O22" s="149"/>
      <c r="P22" s="176" t="s">
        <v>128</v>
      </c>
      <c r="Q22" s="176" t="s">
        <v>24</v>
      </c>
      <c r="R22" s="177">
        <v>8.0000000000000002E-3</v>
      </c>
      <c r="S22" s="149"/>
      <c r="T22" s="149"/>
      <c r="U22" s="149">
        <v>5.6127957785683785E-3</v>
      </c>
      <c r="V22" s="149">
        <v>9.5589838310536183E-3</v>
      </c>
      <c r="AB22" t="str">
        <v>BIOSYN-METAL</v>
      </c>
      <c r="AC22" t="str">
        <v>0.002033 BIO-ca2_c + 0.000286 BIO-cu2_c + 0.001463 BIO-fe2_c + 0.93097 BIO-k_c + 0.060981 BIO-mg2_c + 0.000204 BIO-mn2_c + 0.004064 BIO-zn2_c --&gt; BIO-metal</v>
      </c>
    </row>
    <row r="23" spans="1:29" ht="16" customHeight="1" x14ac:dyDescent="0.2">
      <c r="A23" s="144" t="s">
        <v>1437</v>
      </c>
      <c r="B23" t="str">
        <f>SUBSTITUTE(_xlfn.TEXTBEFORE(mets2733[[#This Row],[pasted JSON metabolite keys and values from GSM biomass rxn]],":"),CHAR(34),"")</f>
        <v>dctp_c</v>
      </c>
      <c r="C23" t="str">
        <f>_xlfn.TEXTBEFORE(mets2733[[#This Row],[name]],"_",-1)</f>
        <v>dctp</v>
      </c>
      <c r="D23" t="str">
        <f>_xlfn.XLOOKUP(mets2733[[#This Row],[name w/o location]],metaboliteInfo[name w/o location],metaboliteInfo[suggested category],"")</f>
        <v>DNA</v>
      </c>
      <c r="E23" s="21">
        <f>_xlfn.XLOOKUP(mets2733[[#This Row],[name w/o location]],metaboliteInfo[name w/o location],metaboliteInfo[MW for biomass normalization (g/mol)],0)</f>
        <v>288.173901</v>
      </c>
      <c r="F23" s="21">
        <f>_xlfn.NUMBERVALUE(SUBSTITUTE(_xlfn.TEXTAFTER(mets2733[[#This Row],[pasted JSON metabolite keys and values from GSM biomass rxn]],":"),",",""))</f>
        <v>-9.1393939326040001E-3</v>
      </c>
      <c r="G23" s="21" cm="1">
        <f t="array" ref="G23">_xlfn.LET(_xlpm.id,mets2733[[#This Row],[name w/o location]],IF(IsElementOfSet_DIY(_xlpm.id,{"atp","adp","h","pi","h2o"}),SIGN(mets2733[[#This Row],[raw (GSM) coefficient]])*(ABS(mets2733[[#This Row],[raw (GSM) coefficient]])-$J$2),mets2733[[#This Row],[raw (GSM) coefficient]]))</f>
        <v>-9.1393939326040001E-3</v>
      </c>
      <c r="H23" s="21">
        <f>mets2733[[#This Row],[coeff. w/o GAM]]</f>
        <v>-9.1393939326040001E-3</v>
      </c>
      <c r="I23" s="161">
        <f t="shared" si="0"/>
        <v>-9.081301372237071E-3</v>
      </c>
      <c r="J23" s="21" cm="1">
        <f t="array" ref="J23">_xlfn.LET(_xlpm.id,mets2733[[#This Row],[name w/o location]],_xlpm.oldcoeff,mets2733[[#This Row],[normalized coeffs]],_xlpm.gam,$J$2-$G$2,_xlfn.IFS(IFERROR(MATCH(_xlpm.id,{"atp","h2o"},0),0)&gt;0,_xlpm.oldcoeff-_xlpm.gam,IFERROR(MATCH(_xlpm.id,{"adp","h","pi"},0),0)&gt;0,_xlpm.oldcoeff+_xlpm.gam,TRUE,_xlpm.oldcoeff))</f>
        <v>-9.081301372237071E-3</v>
      </c>
      <c r="K23" t="str" cm="1">
        <f t="array" ref="K23">"BIOSYN-"&amp;_xlfn.IFS(IFERROR(MATCH(mets2733[[#This Row],[category]],{0,"0",""},0),0)&gt;0,mets2733[[#This Row],[name]],TRUE,mets2733[[#This Row],[category]]&amp;"-"&amp;mets2733[[#This Row],[name]])</f>
        <v>BIOSYN-DNA-dctp_c</v>
      </c>
      <c r="L23" s="149" t="str" cm="1">
        <f t="array" ref="L23">IF(IsElementOfSet_DIY(mets2733[[#This Row],[category]],{"ignore","PROT"}),"",_xlfn.LET(_xlpm.mw,mets2733[[#This Row],[MW for biomass normalization (g/mol)]],"MET-"&amp;mets2733[[#This Row],[name]]&amp;" --&gt; "&amp;IF((mets2733[[#This Row],[category]]="DNA")+(mets2733[[#This Row],[category]]="RNA"),"MET-ppi_c + ","")&amp;ROUND(ABS(_xlpm.mw/1000),6)&amp;" BIO-"&amp;mets2733[[#This Row],[name]]))</f>
        <v>MET-dctp_c --&gt; MET-ppi_c + 0.288174 BIO-dctp_c</v>
      </c>
      <c r="M23" s="149" cm="1">
        <f t="array" ref="M2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-9.1393939326040018E-3</v>
      </c>
      <c r="N23" s="149"/>
      <c r="O23" s="149"/>
      <c r="P23" s="176" t="s">
        <v>99</v>
      </c>
      <c r="Q23" s="176" t="s">
        <v>22</v>
      </c>
      <c r="R23" s="177">
        <v>9.0999999999999998E-2</v>
      </c>
      <c r="S23" s="149"/>
      <c r="T23" s="149"/>
      <c r="U23" s="149">
        <v>3.941387565385928E-2</v>
      </c>
      <c r="V23" s="149">
        <v>6.7124587274845715E-2</v>
      </c>
      <c r="AB23" t="str">
        <v>BIOSYN-other</v>
      </c>
      <c r="AC23" t="str">
        <v>0.571201 BIO-o2_c --&gt; BIO-other + 1.571201 MET-co2_c</v>
      </c>
    </row>
    <row r="24" spans="1:29" ht="16" customHeight="1" x14ac:dyDescent="0.2">
      <c r="A24" s="144" t="s">
        <v>1438</v>
      </c>
      <c r="B24" t="str">
        <f>SUBSTITUTE(_xlfn.TEXTBEFORE(mets2733[[#This Row],[pasted JSON metabolite keys and values from GSM biomass rxn]],":"),CHAR(34),"")</f>
        <v>dgtp_c</v>
      </c>
      <c r="C24" t="str">
        <f>_xlfn.TEXTBEFORE(mets2733[[#This Row],[name]],"_",-1)</f>
        <v>dgtp</v>
      </c>
      <c r="D24" t="str">
        <f>_xlfn.XLOOKUP(mets2733[[#This Row],[name w/o location]],metaboliteInfo[name w/o location],metaboliteInfo[suggested category],"")</f>
        <v>DNA</v>
      </c>
      <c r="E24" s="21">
        <f>_xlfn.XLOOKUP(mets2733[[#This Row],[name w/o location]],metaboliteInfo[name w/o location],metaboliteInfo[MW for biomass normalization (g/mol)],0)</f>
        <v>328.19800099999998</v>
      </c>
      <c r="F24" s="21">
        <f>_xlfn.NUMBERVALUE(SUBSTITUTE(_xlfn.TEXTAFTER(mets2733[[#This Row],[pasted JSON metabolite keys and values from GSM biomass rxn]],":"),",",""))</f>
        <v>-9.1393939326040001E-3</v>
      </c>
      <c r="G24" s="21" cm="1">
        <f t="array" ref="G24">_xlfn.LET(_xlpm.id,mets2733[[#This Row],[name w/o location]],IF(IsElementOfSet_DIY(_xlpm.id,{"atp","adp","h","pi","h2o"}),SIGN(mets2733[[#This Row],[raw (GSM) coefficient]])*(ABS(mets2733[[#This Row],[raw (GSM) coefficient]])-$J$2),mets2733[[#This Row],[raw (GSM) coefficient]]))</f>
        <v>-9.1393939326040001E-3</v>
      </c>
      <c r="H24" s="21">
        <f>mets2733[[#This Row],[coeff. w/o GAM]]</f>
        <v>-9.1393939326040001E-3</v>
      </c>
      <c r="I24" s="161">
        <f t="shared" si="0"/>
        <v>-9.081301372237071E-3</v>
      </c>
      <c r="J24" s="21" cm="1">
        <f t="array" ref="J24">_xlfn.LET(_xlpm.id,mets2733[[#This Row],[name w/o location]],_xlpm.oldcoeff,mets2733[[#This Row],[normalized coeffs]],_xlpm.gam,$J$2-$G$2,_xlfn.IFS(IFERROR(MATCH(_xlpm.id,{"atp","h2o"},0),0)&gt;0,_xlpm.oldcoeff-_xlpm.gam,IFERROR(MATCH(_xlpm.id,{"adp","h","pi"},0),0)&gt;0,_xlpm.oldcoeff+_xlpm.gam,TRUE,_xlpm.oldcoeff))</f>
        <v>-9.081301372237071E-3</v>
      </c>
      <c r="K24" t="str" cm="1">
        <f t="array" ref="K24">"BIOSYN-"&amp;_xlfn.IFS(IFERROR(MATCH(mets2733[[#This Row],[category]],{0,"0",""},0),0)&gt;0,mets2733[[#This Row],[name]],TRUE,mets2733[[#This Row],[category]]&amp;"-"&amp;mets2733[[#This Row],[name]])</f>
        <v>BIOSYN-DNA-dgtp_c</v>
      </c>
      <c r="L24" s="149" t="str" cm="1">
        <f t="array" ref="L24">IF(IsElementOfSet_DIY(mets2733[[#This Row],[category]],{"ignore","PROT"}),"",_xlfn.LET(_xlpm.mw,mets2733[[#This Row],[MW for biomass normalization (g/mol)]],"MET-"&amp;mets2733[[#This Row],[name]]&amp;" --&gt; "&amp;IF((mets2733[[#This Row],[category]]="DNA")+(mets2733[[#This Row],[category]]="RNA"),"MET-ppi_c + ","")&amp;ROUND(ABS(_xlpm.mw/1000),6)&amp;" BIO-"&amp;mets2733[[#This Row],[name]]))</f>
        <v>MET-dgtp_c --&gt; MET-ppi_c + 0.328198 BIO-dgtp_c</v>
      </c>
      <c r="M24" s="149" cm="1">
        <f t="array" ref="M2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-9.1393939326040018E-3</v>
      </c>
      <c r="N24" s="149"/>
      <c r="O24" s="149"/>
      <c r="P24" s="176" t="s">
        <v>141</v>
      </c>
      <c r="Q24" s="176" t="s">
        <v>26</v>
      </c>
      <c r="R24" s="177"/>
      <c r="S24" s="149"/>
      <c r="T24" s="149"/>
      <c r="U24" s="149">
        <v>1.5011832191139624E-2</v>
      </c>
      <c r="V24" s="149">
        <v>2.5566200312777992E-2</v>
      </c>
      <c r="AB24" t="str">
        <v>BIOSYN-PI</v>
      </c>
      <c r="AC24" t="str">
        <v>1 BIO-pi_c --&gt; BIO-pi</v>
      </c>
    </row>
    <row r="25" spans="1:29" ht="16" customHeight="1" x14ac:dyDescent="0.2">
      <c r="A25" s="144" t="s">
        <v>1666</v>
      </c>
      <c r="B25" t="str">
        <f>SUBSTITUTE(_xlfn.TEXTBEFORE(mets2733[[#This Row],[pasted JSON metabolite keys and values from GSM biomass rxn]],":"),CHAR(34),"")</f>
        <v>docoscoa_c</v>
      </c>
      <c r="C25" t="str">
        <f>_xlfn.TEXTBEFORE(mets2733[[#This Row],[name]],"_",-1)</f>
        <v>docoscoa</v>
      </c>
      <c r="D25" t="str">
        <f>_xlfn.XLOOKUP(mets2733[[#This Row],[name w/o location]],metaboliteInfo[name w/o location],metaboliteInfo[suggested category],"")</f>
        <v>LIPID</v>
      </c>
      <c r="E25" s="21">
        <f>_xlfn.XLOOKUP(mets2733[[#This Row],[name w/o location]],metaboliteInfo[name w/o location],metaboliteInfo[MW for biomass normalization (g/mol)],0)</f>
        <v>1086.070643</v>
      </c>
      <c r="F25" s="21">
        <f>_xlfn.NUMBERVALUE(SUBSTITUTE(_xlfn.TEXTAFTER(mets2733[[#This Row],[pasted JSON metabolite keys and values from GSM biomass rxn]],":"),",",""))</f>
        <v>-1.35753472356956E-5</v>
      </c>
      <c r="G25" s="21" cm="1">
        <f t="array" ref="G25">_xlfn.LET(_xlpm.id,mets2733[[#This Row],[name w/o location]],IF(IsElementOfSet_DIY(_xlpm.id,{"atp","adp","h","pi","h2o"}),SIGN(mets2733[[#This Row],[raw (GSM) coefficient]])*(ABS(mets2733[[#This Row],[raw (GSM) coefficient]])-$J$2),mets2733[[#This Row],[raw (GSM) coefficient]]))</f>
        <v>-1.35753472356956E-5</v>
      </c>
      <c r="H25" s="21">
        <f>mets2733[[#This Row],[coeff. w/o GAM]]</f>
        <v>-1.35753472356956E-5</v>
      </c>
      <c r="I25" s="161">
        <f t="shared" si="0"/>
        <v>-1.3489058507514367E-5</v>
      </c>
      <c r="J25" s="21" cm="1">
        <f t="array" ref="J25">_xlfn.LET(_xlpm.id,mets2733[[#This Row],[name w/o location]],_xlpm.oldcoeff,mets2733[[#This Row],[normalized coeffs]],_xlpm.gam,$J$2-$G$2,_xlfn.IFS(IFERROR(MATCH(_xlpm.id,{"atp","h2o"},0),0)&gt;0,_xlpm.oldcoeff-_xlpm.gam,IFERROR(MATCH(_xlpm.id,{"adp","h","pi"},0),0)&gt;0,_xlpm.oldcoeff+_xlpm.gam,TRUE,_xlpm.oldcoeff))</f>
        <v>-1.3489058507514367E-5</v>
      </c>
      <c r="K25" t="str" cm="1">
        <f t="array" ref="K25">"BIOSYN-"&amp;_xlfn.IFS(IFERROR(MATCH(mets2733[[#This Row],[category]],{0,"0",""},0),0)&gt;0,mets2733[[#This Row],[name]],TRUE,mets2733[[#This Row],[category]]&amp;"-"&amp;mets2733[[#This Row],[name]])</f>
        <v>BIOSYN-LIPID-docoscoa_c</v>
      </c>
      <c r="L25" s="149" t="str" cm="1">
        <f t="array" ref="L25">IF(IsElementOfSet_DIY(mets2733[[#This Row],[category]],{"ignore","PROT"}),"",_xlfn.LET(_xlpm.mw,mets2733[[#This Row],[MW for biomass normalization (g/mol)]],"MET-"&amp;mets2733[[#This Row],[name]]&amp;" --&gt; "&amp;IF((mets2733[[#This Row],[category]]="DNA")+(mets2733[[#This Row],[category]]="RNA"),"MET-ppi_c + ","")&amp;ROUND(ABS(_xlpm.mw/1000),6)&amp;" BIO-"&amp;mets2733[[#This Row],[name]]))</f>
        <v>MET-docoscoa_c --&gt; 1.086071 BIO-docoscoa_c</v>
      </c>
      <c r="M25" s="149" cm="1">
        <f t="array" ref="M2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-1.35753472356956E-5</v>
      </c>
      <c r="N25" s="149"/>
      <c r="O25" s="149"/>
      <c r="P25" s="176" t="s">
        <v>192</v>
      </c>
      <c r="Q25" s="176" t="s">
        <v>32</v>
      </c>
      <c r="R25" s="177"/>
      <c r="S25" s="149"/>
      <c r="T25" s="149"/>
      <c r="U25" s="149"/>
      <c r="V25" s="149">
        <v>0</v>
      </c>
      <c r="AB25" t="str">
        <v>BIOSYN-RNA</v>
      </c>
      <c r="AC25" t="str">
        <v>0.15 BIO-trna + 0.05 BIO-mrna + 0.80 BIO-rrna --&gt; BIO-rna</v>
      </c>
    </row>
    <row r="26" spans="1:29" ht="16" customHeight="1" x14ac:dyDescent="0.2">
      <c r="A26" s="144" t="s">
        <v>1440</v>
      </c>
      <c r="B26" t="str">
        <f>SUBSTITUTE(_xlfn.TEXTBEFORE(mets2733[[#This Row],[pasted JSON metabolite keys and values from GSM biomass rxn]],":"),CHAR(34),"")</f>
        <v>dttp_c</v>
      </c>
      <c r="C26" t="str">
        <f>_xlfn.TEXTBEFORE(mets2733[[#This Row],[name]],"_",-1)</f>
        <v>dttp</v>
      </c>
      <c r="D26" t="str">
        <f>_xlfn.XLOOKUP(mets2733[[#This Row],[name w/o location]],metaboliteInfo[name w/o location],metaboliteInfo[suggested category],"")</f>
        <v>DNA</v>
      </c>
      <c r="E26" s="21">
        <f>_xlfn.XLOOKUP(mets2733[[#This Row],[name w/o location]],metaboliteInfo[name w/o location],metaboliteInfo[MW for biomass normalization (g/mol)],0)</f>
        <v>303.18524100000002</v>
      </c>
      <c r="F26" s="21">
        <f>_xlfn.NUMBERVALUE(SUBSTITUTE(_xlfn.TEXTAFTER(mets2733[[#This Row],[pasted JSON metabolite keys and values from GSM biomass rxn]],":"),",",""))</f>
        <v>-5.85548759366856E-3</v>
      </c>
      <c r="G26" s="21" cm="1">
        <f t="array" ref="G26">_xlfn.LET(_xlpm.id,mets2733[[#This Row],[name w/o location]],IF(IsElementOfSet_DIY(_xlpm.id,{"atp","adp","h","pi","h2o"}),SIGN(mets2733[[#This Row],[raw (GSM) coefficient]])*(ABS(mets2733[[#This Row],[raw (GSM) coefficient]])-$J$2),mets2733[[#This Row],[raw (GSM) coefficient]]))</f>
        <v>-5.85548759366856E-3</v>
      </c>
      <c r="H26" s="21">
        <f>mets2733[[#This Row],[coeff. w/o GAM]]</f>
        <v>-5.85548759366856E-3</v>
      </c>
      <c r="I26" s="161">
        <f t="shared" si="0"/>
        <v>-5.8182684663367675E-3</v>
      </c>
      <c r="J26" s="21" cm="1">
        <f t="array" ref="J26">_xlfn.LET(_xlpm.id,mets2733[[#This Row],[name w/o location]],_xlpm.oldcoeff,mets2733[[#This Row],[normalized coeffs]],_xlpm.gam,$J$2-$G$2,_xlfn.IFS(IFERROR(MATCH(_xlpm.id,{"atp","h2o"},0),0)&gt;0,_xlpm.oldcoeff-_xlpm.gam,IFERROR(MATCH(_xlpm.id,{"adp","h","pi"},0),0)&gt;0,_xlpm.oldcoeff+_xlpm.gam,TRUE,_xlpm.oldcoeff))</f>
        <v>-5.8182684663367675E-3</v>
      </c>
      <c r="K26" t="str" cm="1">
        <f t="array" ref="K26">"BIOSYN-"&amp;_xlfn.IFS(IFERROR(MATCH(mets2733[[#This Row],[category]],{0,"0",""},0),0)&gt;0,mets2733[[#This Row],[name]],TRUE,mets2733[[#This Row],[category]]&amp;"-"&amp;mets2733[[#This Row],[name]])</f>
        <v>BIOSYN-DNA-dttp_c</v>
      </c>
      <c r="L26" s="149" t="str" cm="1">
        <f t="array" ref="L26">IF(IsElementOfSet_DIY(mets2733[[#This Row],[category]],{"ignore","PROT"}),"",_xlfn.LET(_xlpm.mw,mets2733[[#This Row],[MW for biomass normalization (g/mol)]],"MET-"&amp;mets2733[[#This Row],[name]]&amp;" --&gt; "&amp;IF((mets2733[[#This Row],[category]]="DNA")+(mets2733[[#This Row],[category]]="RNA"),"MET-ppi_c + ","")&amp;ROUND(ABS(_xlpm.mw/1000),6)&amp;" BIO-"&amp;mets2733[[#This Row],[name]]))</f>
        <v>MET-dttp_c --&gt; MET-ppi_c + 0.303185 BIO-dttp_c</v>
      </c>
      <c r="M26" s="149" cm="1">
        <f t="array" ref="M2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-5.8554875936685609E-3</v>
      </c>
      <c r="N26" s="149"/>
      <c r="O26" s="149"/>
      <c r="P26" s="176" t="s">
        <v>298</v>
      </c>
      <c r="Q26" s="176" t="s">
        <v>21</v>
      </c>
      <c r="R26" s="177">
        <v>0.36899999999999999</v>
      </c>
      <c r="S26" s="149"/>
      <c r="T26" s="149"/>
      <c r="U26" s="149">
        <v>6.0047345343965048E-3</v>
      </c>
      <c r="V26" s="149">
        <v>1.0226482948700107E-2</v>
      </c>
      <c r="AB26" t="str">
        <v>BIOSYN-SO4</v>
      </c>
      <c r="AC26" t="str">
        <v>1 BIO-so4_c --&gt; BIO-so4</v>
      </c>
    </row>
    <row r="27" spans="1:29" ht="16" customHeight="1" x14ac:dyDescent="0.2">
      <c r="A27" s="144" t="s">
        <v>1441</v>
      </c>
      <c r="B27" t="str">
        <f>SUBSTITUTE(_xlfn.TEXTBEFORE(mets2733[[#This Row],[pasted JSON metabolite keys and values from GSM biomass rxn]],":"),CHAR(34),"")</f>
        <v>ergst_c</v>
      </c>
      <c r="C27" t="str">
        <f>_xlfn.TEXTBEFORE(mets2733[[#This Row],[name]],"_",-1)</f>
        <v>ergst</v>
      </c>
      <c r="D27" t="str">
        <f>_xlfn.XLOOKUP(mets2733[[#This Row],[name w/o location]],metaboliteInfo[name w/o location],metaboliteInfo[suggested category],"")</f>
        <v>LIPID</v>
      </c>
      <c r="E27" s="21">
        <f>_xlfn.XLOOKUP(mets2733[[#This Row],[name w/o location]],metaboliteInfo[name w/o location],metaboliteInfo[MW for biomass normalization (g/mol)],0)</f>
        <v>396.648359999999</v>
      </c>
      <c r="F27" s="21">
        <f>_xlfn.NUMBERVALUE(SUBSTITUTE(_xlfn.TEXTAFTER(mets2733[[#This Row],[pasted JSON metabolite keys and values from GSM biomass rxn]],":"),",",""))</f>
        <v>-4.17718733030105E-2</v>
      </c>
      <c r="G27" s="21" cm="1">
        <f t="array" ref="G27">_xlfn.LET(_xlpm.id,mets2733[[#This Row],[name w/o location]],IF(IsElementOfSet_DIY(_xlpm.id,{"atp","adp","h","pi","h2o"}),SIGN(mets2733[[#This Row],[raw (GSM) coefficient]])*(ABS(mets2733[[#This Row],[raw (GSM) coefficient]])-$J$2),mets2733[[#This Row],[raw (GSM) coefficient]]))</f>
        <v>-4.17718733030105E-2</v>
      </c>
      <c r="H27" s="21">
        <f>mets2733[[#This Row],[coeff. w/o GAM]]</f>
        <v>-4.17718733030105E-2</v>
      </c>
      <c r="I27" s="161">
        <f t="shared" si="0"/>
        <v>-4.1506359518465326E-2</v>
      </c>
      <c r="J27" s="21" cm="1">
        <f t="array" ref="J27">_xlfn.LET(_xlpm.id,mets2733[[#This Row],[name w/o location]],_xlpm.oldcoeff,mets2733[[#This Row],[normalized coeffs]],_xlpm.gam,$J$2-$G$2,_xlfn.IFS(IFERROR(MATCH(_xlpm.id,{"atp","h2o"},0),0)&gt;0,_xlpm.oldcoeff-_xlpm.gam,IFERROR(MATCH(_xlpm.id,{"adp","h","pi"},0),0)&gt;0,_xlpm.oldcoeff+_xlpm.gam,TRUE,_xlpm.oldcoeff))</f>
        <v>-4.1506359518465326E-2</v>
      </c>
      <c r="K27" t="str" cm="1">
        <f t="array" ref="K27">"BIOSYN-"&amp;_xlfn.IFS(IFERROR(MATCH(mets2733[[#This Row],[category]],{0,"0",""},0),0)&gt;0,mets2733[[#This Row],[name]],TRUE,mets2733[[#This Row],[category]]&amp;"-"&amp;mets2733[[#This Row],[name]])</f>
        <v>BIOSYN-LIPID-ergst_c</v>
      </c>
      <c r="L27" s="149" t="str" cm="1">
        <f t="array" ref="L27">IF(IsElementOfSet_DIY(mets2733[[#This Row],[category]],{"ignore","PROT"}),"",_xlfn.LET(_xlpm.mw,mets2733[[#This Row],[MW for biomass normalization (g/mol)]],"MET-"&amp;mets2733[[#This Row],[name]]&amp;" --&gt; "&amp;IF((mets2733[[#This Row],[category]]="DNA")+(mets2733[[#This Row],[category]]="RNA"),"MET-ppi_c + ","")&amp;ROUND(ABS(_xlpm.mw/1000),6)&amp;" BIO-"&amp;mets2733[[#This Row],[name]]))</f>
        <v>MET-ergst_c --&gt; 0.396648 BIO-ergst_c</v>
      </c>
      <c r="M27" s="149" cm="1">
        <f t="array" ref="M2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-4.17718733030105E-2</v>
      </c>
      <c r="N27" s="149"/>
      <c r="O27" s="149"/>
      <c r="P27" s="176" t="s">
        <v>80</v>
      </c>
      <c r="Q27" s="176" t="s">
        <v>273</v>
      </c>
      <c r="R27" s="177">
        <v>5.8000000000000003E-2</v>
      </c>
      <c r="S27" s="149"/>
      <c r="T27" s="149"/>
      <c r="U27" s="149">
        <v>0.26949748058189982</v>
      </c>
      <c r="V27" s="149">
        <v>0.4589730610239916</v>
      </c>
      <c r="AB27" t="str">
        <v>BIOSYN-CARB-13BDglucan_c</v>
      </c>
      <c r="AC27" t="str">
        <v>MET-13BDglucan_c --&gt; 0.162141 BIO-13BDglucan_c</v>
      </c>
    </row>
    <row r="28" spans="1:29" ht="16" customHeight="1" x14ac:dyDescent="0.2">
      <c r="A28" s="144" t="s">
        <v>1442</v>
      </c>
      <c r="B28" t="str">
        <f>SUBSTITUTE(_xlfn.TEXTBEFORE(mets2733[[#This Row],[pasted JSON metabolite keys and values from GSM biomass rxn]],":"),CHAR(34),"")</f>
        <v>ergstest_c</v>
      </c>
      <c r="C28" t="str">
        <f>_xlfn.TEXTBEFORE(mets2733[[#This Row],[name]],"_",-1)</f>
        <v>ergstest</v>
      </c>
      <c r="D28" t="str">
        <f>_xlfn.XLOOKUP(mets2733[[#This Row],[name w/o location]],metaboliteInfo[name w/o location],metaboliteInfo[suggested category],"")</f>
        <v>LIPID</v>
      </c>
      <c r="E28" s="21">
        <f>_xlfn.XLOOKUP(mets2733[[#This Row],[name w/o location]],metaboliteInfo[name w/o location],metaboliteInfo[MW for biomass normalization (g/mol)],0)</f>
        <v>660.083753333299</v>
      </c>
      <c r="F28" s="21">
        <f>_xlfn.NUMBERVALUE(SUBSTITUTE(_xlfn.TEXTAFTER(mets2733[[#This Row],[pasted JSON metabolite keys and values from GSM biomass rxn]],":"),",",""))</f>
        <v>-1.03623323466586E-2</v>
      </c>
      <c r="G28" s="21" cm="1">
        <f t="array" ref="G28">_xlfn.LET(_xlpm.id,mets2733[[#This Row],[name w/o location]],IF(IsElementOfSet_DIY(_xlpm.id,{"atp","adp","h","pi","h2o"}),SIGN(mets2733[[#This Row],[raw (GSM) coefficient]])*(ABS(mets2733[[#This Row],[raw (GSM) coefficient]])-$J$2),mets2733[[#This Row],[raw (GSM) coefficient]]))</f>
        <v>-1.03623323466586E-2</v>
      </c>
      <c r="H28" s="21">
        <f>mets2733[[#This Row],[coeff. w/o GAM]]</f>
        <v>-1.03623323466586E-2</v>
      </c>
      <c r="I28" s="161">
        <f t="shared" si="0"/>
        <v>-1.029646644550262E-2</v>
      </c>
      <c r="J28" s="21" cm="1">
        <f t="array" ref="J28">_xlfn.LET(_xlpm.id,mets2733[[#This Row],[name w/o location]],_xlpm.oldcoeff,mets2733[[#This Row],[normalized coeffs]],_xlpm.gam,$J$2-$G$2,_xlfn.IFS(IFERROR(MATCH(_xlpm.id,{"atp","h2o"},0),0)&gt;0,_xlpm.oldcoeff-_xlpm.gam,IFERROR(MATCH(_xlpm.id,{"adp","h","pi"},0),0)&gt;0,_xlpm.oldcoeff+_xlpm.gam,TRUE,_xlpm.oldcoeff))</f>
        <v>-1.029646644550262E-2</v>
      </c>
      <c r="K28" t="str" cm="1">
        <f t="array" ref="K28">"BIOSYN-"&amp;_xlfn.IFS(IFERROR(MATCH(mets2733[[#This Row],[category]],{0,"0",""},0),0)&gt;0,mets2733[[#This Row],[name]],TRUE,mets2733[[#This Row],[category]]&amp;"-"&amp;mets2733[[#This Row],[name]])</f>
        <v>BIOSYN-LIPID-ergstest_c</v>
      </c>
      <c r="L28" s="149" t="str" cm="1">
        <f t="array" ref="L28">IF(IsElementOfSet_DIY(mets2733[[#This Row],[category]],{"ignore","PROT"}),"",_xlfn.LET(_xlpm.mw,mets2733[[#This Row],[MW for biomass normalization (g/mol)]],"MET-"&amp;mets2733[[#This Row],[name]]&amp;" --&gt; "&amp;IF((mets2733[[#This Row],[category]]="DNA")+(mets2733[[#This Row],[category]]="RNA"),"MET-ppi_c + ","")&amp;ROUND(ABS(_xlpm.mw/1000),6)&amp;" BIO-"&amp;mets2733[[#This Row],[name]]))</f>
        <v>MET-ergstest_c --&gt; 0.660084 BIO-ergstest_c</v>
      </c>
      <c r="M28" s="149" cm="1">
        <f t="array" ref="M2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-1.03623323466586E-2</v>
      </c>
      <c r="N28" s="149"/>
      <c r="O28" s="149"/>
      <c r="P28" s="176" t="s">
        <v>188</v>
      </c>
      <c r="Q28" s="176" t="s">
        <v>30</v>
      </c>
      <c r="R28" s="177"/>
      <c r="S28" s="149"/>
      <c r="T28" s="149"/>
      <c r="U28" s="149">
        <v>6.7376234201678889E-2</v>
      </c>
      <c r="V28" s="149">
        <v>0.11474643987410561</v>
      </c>
      <c r="AB28" t="str">
        <v>BIOSYN-CARB-16BDglucan_en</v>
      </c>
      <c r="AC28" t="str">
        <v>MET-16BDglucan_en --&gt; 0.162141 BIO-16BDglucan_en</v>
      </c>
    </row>
    <row r="29" spans="1:29" ht="16" customHeight="1" x14ac:dyDescent="0.2">
      <c r="A29" s="144" t="s">
        <v>1443</v>
      </c>
      <c r="B29" t="str">
        <f>SUBSTITUTE(_xlfn.TEXTBEFORE(mets2733[[#This Row],[pasted JSON metabolite keys and values from GSM biomass rxn]],":"),CHAR(34),"")</f>
        <v>fe2_c</v>
      </c>
      <c r="C29" t="str">
        <f>_xlfn.TEXTBEFORE(mets2733[[#This Row],[name]],"_",-1)</f>
        <v>fe2</v>
      </c>
      <c r="D29" t="str">
        <f>_xlfn.XLOOKUP(mets2733[[#This Row],[name w/o location]],metaboliteInfo[name w/o location],metaboliteInfo[suggested category],"")</f>
        <v>METAL</v>
      </c>
      <c r="E29" s="21">
        <f>_xlfn.XLOOKUP(mets2733[[#This Row],[name w/o location]],metaboliteInfo[name w/o location],metaboliteInfo[MW for biomass normalization (g/mol)],0)</f>
        <v>55.844999999999999</v>
      </c>
      <c r="F29" s="21">
        <f>_xlfn.NUMBERVALUE(SUBSTITUTE(_xlfn.TEXTAFTER(mets2733[[#This Row],[pasted JSON metabolite keys and values from GSM biomass rxn]],":"),",",""))</f>
        <v>-6.4703673859143403E-4</v>
      </c>
      <c r="G29" s="21" cm="1">
        <f t="array" ref="G29">_xlfn.LET(_xlpm.id,mets2733[[#This Row],[name w/o location]],IF(IsElementOfSet_DIY(_xlpm.id,{"atp","adp","h","pi","h2o"}),SIGN(mets2733[[#This Row],[raw (GSM) coefficient]])*(ABS(mets2733[[#This Row],[raw (GSM) coefficient]])-$J$2),mets2733[[#This Row],[raw (GSM) coefficient]]))</f>
        <v>-6.4703673859143403E-4</v>
      </c>
      <c r="H29" s="21">
        <f>mets2733[[#This Row],[coeff. w/o GAM]]</f>
        <v>-6.4703673859143403E-4</v>
      </c>
      <c r="I29" s="161">
        <f t="shared" si="0"/>
        <v>-6.4292399095483728E-4</v>
      </c>
      <c r="J29" s="21" cm="1">
        <f t="array" ref="J29">_xlfn.LET(_xlpm.id,mets2733[[#This Row],[name w/o location]],_xlpm.oldcoeff,mets2733[[#This Row],[normalized coeffs]],_xlpm.gam,$J$2-$G$2,_xlfn.IFS(IFERROR(MATCH(_xlpm.id,{"atp","h2o"},0),0)&gt;0,_xlpm.oldcoeff-_xlpm.gam,IFERROR(MATCH(_xlpm.id,{"adp","h","pi"},0),0)&gt;0,_xlpm.oldcoeff+_xlpm.gam,TRUE,_xlpm.oldcoeff))</f>
        <v>-6.4292399095483728E-4</v>
      </c>
      <c r="K29" t="str" cm="1">
        <f t="array" ref="K29">"BIOSYN-"&amp;_xlfn.IFS(IFERROR(MATCH(mets2733[[#This Row],[category]],{0,"0",""},0),0)&gt;0,mets2733[[#This Row],[name]],TRUE,mets2733[[#This Row],[category]]&amp;"-"&amp;mets2733[[#This Row],[name]])</f>
        <v>BIOSYN-METAL-fe2_c</v>
      </c>
      <c r="L29" s="149" t="str" cm="1">
        <f t="array" ref="L29">IF(IsElementOfSet_DIY(mets2733[[#This Row],[category]],{"ignore","PROT"}),"",_xlfn.LET(_xlpm.mw,mets2733[[#This Row],[MW for biomass normalization (g/mol)]],"MET-"&amp;mets2733[[#This Row],[name]]&amp;" --&gt; "&amp;IF((mets2733[[#This Row],[category]]="DNA")+(mets2733[[#This Row],[category]]="RNA"),"MET-ppi_c + ","")&amp;ROUND(ABS(_xlpm.mw/1000),6)&amp;" BIO-"&amp;mets2733[[#This Row],[name]]))</f>
        <v>MET-fe2_c --&gt; 0.055845 BIO-fe2_c</v>
      </c>
      <c r="M29" s="149" cm="1">
        <f t="array" ref="M2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-6.4703673859143403E-4</v>
      </c>
      <c r="N29" s="149"/>
      <c r="O29" s="149"/>
      <c r="P29" s="149"/>
      <c r="Q29" s="149"/>
      <c r="R29" s="149"/>
      <c r="S29" s="149"/>
      <c r="T29" s="149"/>
      <c r="U29" s="149">
        <v>1.7760498084554112E-3</v>
      </c>
      <c r="V29" s="149">
        <v>3.0247370600933266E-3</v>
      </c>
      <c r="AB29" t="str">
        <v>BIOSYN-CARB-chtn_c</v>
      </c>
      <c r="AC29" t="str">
        <v>MET-chtn_c --&gt; 0.203193 BIO-chtn_c</v>
      </c>
    </row>
    <row r="30" spans="1:29" ht="16" x14ac:dyDescent="0.2">
      <c r="A30" s="144" t="s">
        <v>1667</v>
      </c>
      <c r="B30" t="str">
        <f>SUBSTITUTE(_xlfn.TEXTBEFORE(mets2733[[#This Row],[pasted JSON metabolite keys and values from GSM biomass rxn]],":"),CHAR(34),"")</f>
        <v>glntrna_c</v>
      </c>
      <c r="C30" t="str">
        <f>_xlfn.TEXTBEFORE(mets2733[[#This Row],[name]],"_",-1)</f>
        <v>glntrna</v>
      </c>
      <c r="D30" t="str">
        <f>_xlfn.XLOOKUP(mets2733[[#This Row],[name w/o location]],metaboliteInfo[name w/o location],metaboliteInfo[suggested category],"")</f>
        <v>PROT</v>
      </c>
      <c r="E30" s="21">
        <f>_xlfn.XLOOKUP(mets2733[[#This Row],[name w/o location]],metaboliteInfo[name w/o location],metaboliteInfo[MW for biomass normalization (g/mol)],0)</f>
        <v>129.13715999999999</v>
      </c>
      <c r="F30" s="21">
        <f>_xlfn.NUMBERVALUE(SUBSTITUTE(_xlfn.TEXTAFTER(mets2733[[#This Row],[pasted JSON metabolite keys and values from GSM biomass rxn]],":"),",",""))</f>
        <v>-0.33052720510658401</v>
      </c>
      <c r="G30" s="21" cm="1">
        <f t="array" ref="G30">_xlfn.LET(_xlpm.id,mets2733[[#This Row],[name w/o location]],IF(IsElementOfSet_DIY(_xlpm.id,{"atp","adp","h","pi","h2o"}),SIGN(mets2733[[#This Row],[raw (GSM) coefficient]])*(ABS(mets2733[[#This Row],[raw (GSM) coefficient]])-$J$2),mets2733[[#This Row],[raw (GSM) coefficient]]))</f>
        <v>-0.33052720510658401</v>
      </c>
      <c r="H30" s="21">
        <f>mets2733[[#This Row],[coeff. w/o GAM]]</f>
        <v>-0.33052720510658401</v>
      </c>
      <c r="I30" s="161">
        <f t="shared" si="0"/>
        <v>-0.32842628115504402</v>
      </c>
      <c r="J30" s="21" cm="1">
        <f t="array" ref="J30">_xlfn.LET(_xlpm.id,mets2733[[#This Row],[name w/o location]],_xlpm.oldcoeff,mets2733[[#This Row],[normalized coeffs]],_xlpm.gam,$J$2-$G$2,_xlfn.IFS(IFERROR(MATCH(_xlpm.id,{"atp","h2o"},0),0)&gt;0,_xlpm.oldcoeff-_xlpm.gam,IFERROR(MATCH(_xlpm.id,{"adp","h","pi"},0),0)&gt;0,_xlpm.oldcoeff+_xlpm.gam,TRUE,_xlpm.oldcoeff))</f>
        <v>-0.32842628115504402</v>
      </c>
      <c r="K30" t="str" cm="1">
        <f t="array" ref="K30">"BIOSYN-"&amp;_xlfn.IFS(IFERROR(MATCH(mets2733[[#This Row],[category]],{0,"0",""},0),0)&gt;0,mets2733[[#This Row],[name]],TRUE,mets2733[[#This Row],[category]]&amp;"-"&amp;mets2733[[#This Row],[name]])</f>
        <v>BIOSYN-PROT-glntrna_c</v>
      </c>
      <c r="L30" s="149" t="str" cm="1">
        <f t="array" ref="L30">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30" s="149" cm="1">
        <f t="array" ref="M3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-0.33052720510658407</v>
      </c>
      <c r="N30" s="149"/>
      <c r="O30" s="149"/>
      <c r="P30" s="149" t="s">
        <v>1312</v>
      </c>
      <c r="Q30" s="95" t="s">
        <v>1313</v>
      </c>
      <c r="R30" s="149"/>
      <c r="S30" s="149"/>
      <c r="T30" s="95" t="s">
        <v>1366</v>
      </c>
      <c r="U30" s="149"/>
      <c r="V30" s="149"/>
      <c r="AB30" t="str">
        <v>BIOSYN-CARB-glycogen_c</v>
      </c>
      <c r="AC30" t="str">
        <v>MET-glycogen_c --&gt; 0.162141 BIO-glycogen_c</v>
      </c>
    </row>
    <row r="31" spans="1:29" ht="16" x14ac:dyDescent="0.2">
      <c r="A31" s="144" t="s">
        <v>1668</v>
      </c>
      <c r="B31" t="str">
        <f>SUBSTITUTE(_xlfn.TEXTBEFORE(mets2733[[#This Row],[pasted JSON metabolite keys and values from GSM biomass rxn]],":"),CHAR(34),"")</f>
        <v>glutrna_c</v>
      </c>
      <c r="C31" t="str">
        <f>_xlfn.TEXTBEFORE(mets2733[[#This Row],[name]],"_",-1)</f>
        <v>glutrna</v>
      </c>
      <c r="D31" t="str">
        <f>_xlfn.XLOOKUP(mets2733[[#This Row],[name w/o location]],metaboliteInfo[name w/o location],metaboliteInfo[suggested category],"")</f>
        <v>PROT</v>
      </c>
      <c r="E31" s="21">
        <f>_xlfn.XLOOKUP(mets2733[[#This Row],[name w/o location]],metaboliteInfo[name w/o location],metaboliteInfo[MW for biomass normalization (g/mol)],0)</f>
        <v>129.11398</v>
      </c>
      <c r="F31" s="21">
        <f>_xlfn.NUMBERVALUE(SUBSTITUTE(_xlfn.TEXTAFTER(mets2733[[#This Row],[pasted JSON metabolite keys and values from GSM biomass rxn]],":"),",",""))</f>
        <v>-0.33052720510658401</v>
      </c>
      <c r="G31" s="21" cm="1">
        <f t="array" ref="G31">_xlfn.LET(_xlpm.id,mets2733[[#This Row],[name w/o location]],IF(IsElementOfSet_DIY(_xlpm.id,{"atp","adp","h","pi","h2o"}),SIGN(mets2733[[#This Row],[raw (GSM) coefficient]])*(ABS(mets2733[[#This Row],[raw (GSM) coefficient]])-$J$2),mets2733[[#This Row],[raw (GSM) coefficient]]))</f>
        <v>-0.33052720510658401</v>
      </c>
      <c r="H31" s="21">
        <f>mets2733[[#This Row],[coeff. w/o GAM]]</f>
        <v>-0.33052720510658401</v>
      </c>
      <c r="I31" s="161">
        <f t="shared" si="0"/>
        <v>-0.32842628115504402</v>
      </c>
      <c r="J31" s="21" cm="1">
        <f t="array" ref="J31">_xlfn.LET(_xlpm.id,mets2733[[#This Row],[name w/o location]],_xlpm.oldcoeff,mets2733[[#This Row],[normalized coeffs]],_xlpm.gam,$J$2-$G$2,_xlfn.IFS(IFERROR(MATCH(_xlpm.id,{"atp","h2o"},0),0)&gt;0,_xlpm.oldcoeff-_xlpm.gam,IFERROR(MATCH(_xlpm.id,{"adp","h","pi"},0),0)&gt;0,_xlpm.oldcoeff+_xlpm.gam,TRUE,_xlpm.oldcoeff))</f>
        <v>-0.32842628115504402</v>
      </c>
      <c r="K31" t="str" cm="1">
        <f t="array" ref="K31">"BIOSYN-"&amp;_xlfn.IFS(IFERROR(MATCH(mets2733[[#This Row],[category]],{0,"0",""},0),0)&gt;0,mets2733[[#This Row],[name]],TRUE,mets2733[[#This Row],[category]]&amp;"-"&amp;mets2733[[#This Row],[name]])</f>
        <v>BIOSYN-PROT-glutrna_c</v>
      </c>
      <c r="L31" s="149" t="str" cm="1">
        <f t="array" ref="L31">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31" s="149" cm="1">
        <f t="array" ref="M3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-0.33052720510658407</v>
      </c>
      <c r="N31" s="149"/>
      <c r="O31" s="149"/>
      <c r="P31" s="95" t="s">
        <v>1311</v>
      </c>
      <c r="Q31" s="149"/>
      <c r="R31" s="149"/>
      <c r="S31" s="149"/>
      <c r="T31" t="s">
        <v>1365</v>
      </c>
      <c r="U31" s="149"/>
      <c r="V31" s="149"/>
      <c r="AB31" t="str">
        <v>BIOSYN-CARB-mannan_c</v>
      </c>
      <c r="AC31" t="str">
        <v>MET-mannan_c --&gt; 0.162141 BIO-mannan_c</v>
      </c>
    </row>
    <row r="32" spans="1:29" ht="16" x14ac:dyDescent="0.2">
      <c r="A32" s="144" t="s">
        <v>1444</v>
      </c>
      <c r="B32" t="str">
        <f>SUBSTITUTE(_xlfn.TEXTBEFORE(mets2733[[#This Row],[pasted JSON metabolite keys and values from GSM biomass rxn]],":"),CHAR(34),"")</f>
        <v>glycogen_c</v>
      </c>
      <c r="C32" t="str">
        <f>_xlfn.TEXTBEFORE(mets2733[[#This Row],[name]],"_",-1)</f>
        <v>glycogen</v>
      </c>
      <c r="D32" t="str">
        <f>_xlfn.XLOOKUP(mets2733[[#This Row],[name w/o location]],metaboliteInfo[name w/o location],metaboliteInfo[suggested category],"")</f>
        <v>CARB</v>
      </c>
      <c r="E32" s="21">
        <f>_xlfn.XLOOKUP(mets2733[[#This Row],[name w/o location]],metaboliteInfo[name w/o location],metaboliteInfo[MW for biomass normalization (g/mol)],0)</f>
        <v>162.14060000000001</v>
      </c>
      <c r="F32" s="21">
        <f>_xlfn.NUMBERVALUE(SUBSTITUTE(_xlfn.TEXTAFTER(mets2733[[#This Row],[pasted JSON metabolite keys and values from GSM biomass rxn]],":"),",",""))</f>
        <v>-0.228812264496074</v>
      </c>
      <c r="G32" s="21" cm="1">
        <f t="array" ref="G32">_xlfn.LET(_xlpm.id,mets2733[[#This Row],[name w/o location]],IF(IsElementOfSet_DIY(_xlpm.id,{"atp","adp","h","pi","h2o"}),SIGN(mets2733[[#This Row],[raw (GSM) coefficient]])*(ABS(mets2733[[#This Row],[raw (GSM) coefficient]])-$J$2),mets2733[[#This Row],[raw (GSM) coefficient]]))</f>
        <v>-0.228812264496074</v>
      </c>
      <c r="H32" s="21">
        <f>mets2733[[#This Row],[coeff. w/o GAM]]</f>
        <v>-0.228812264496074</v>
      </c>
      <c r="I32" s="161">
        <f t="shared" si="0"/>
        <v>-0.2273578693374943</v>
      </c>
      <c r="J32" s="21" cm="1">
        <f t="array" ref="J32">_xlfn.LET(_xlpm.id,mets2733[[#This Row],[name w/o location]],_xlpm.oldcoeff,mets2733[[#This Row],[normalized coeffs]],_xlpm.gam,$J$2-$G$2,_xlfn.IFS(IFERROR(MATCH(_xlpm.id,{"atp","h2o"},0),0)&gt;0,_xlpm.oldcoeff-_xlpm.gam,IFERROR(MATCH(_xlpm.id,{"adp","h","pi"},0),0)&gt;0,_xlpm.oldcoeff+_xlpm.gam,TRUE,_xlpm.oldcoeff))</f>
        <v>-0.2273578693374943</v>
      </c>
      <c r="K32" t="str" cm="1">
        <f t="array" ref="K32">"BIOSYN-"&amp;_xlfn.IFS(IFERROR(MATCH(mets2733[[#This Row],[category]],{0,"0",""},0),0)&gt;0,mets2733[[#This Row],[name]],TRUE,mets2733[[#This Row],[category]]&amp;"-"&amp;mets2733[[#This Row],[name]])</f>
        <v>BIOSYN-CARB-glycogen_c</v>
      </c>
      <c r="L32" s="149" t="str" cm="1">
        <f t="array" ref="L32">IF(IsElementOfSet_DIY(mets2733[[#This Row],[category]],{"ignore","PROT"}),"",_xlfn.LET(_xlpm.mw,mets2733[[#This Row],[MW for biomass normalization (g/mol)]],"MET-"&amp;mets2733[[#This Row],[name]]&amp;" --&gt; "&amp;IF((mets2733[[#This Row],[category]]="DNA")+(mets2733[[#This Row],[category]]="RNA"),"MET-ppi_c + ","")&amp;ROUND(ABS(_xlpm.mw/1000),6)&amp;" BIO-"&amp;mets2733[[#This Row],[name]]))</f>
        <v>MET-glycogen_c --&gt; 0.162141 BIO-glycogen_c</v>
      </c>
      <c r="M32" s="149" cm="1">
        <f t="array" ref="M3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-0.22881226449607397</v>
      </c>
      <c r="N32" s="149"/>
      <c r="O32" s="149"/>
      <c r="P32" t="s">
        <v>1362</v>
      </c>
      <c r="R32" t="s">
        <v>1361</v>
      </c>
      <c r="S32" s="149"/>
      <c r="U32" s="149"/>
      <c r="V32" s="149"/>
      <c r="AB32" t="str">
        <v>BIOSYN-CARB-tre_c</v>
      </c>
      <c r="AC32" t="str">
        <v>MET-tre_c --&gt; 0.342296 BIO-tre_c</v>
      </c>
    </row>
    <row r="33" spans="1:29" ht="16" customHeight="1" x14ac:dyDescent="0.2">
      <c r="A33" s="144" t="s">
        <v>1669</v>
      </c>
      <c r="B33" t="str">
        <f>SUBSTITUTE(_xlfn.TEXTBEFORE(mets2733[[#This Row],[pasted JSON metabolite keys and values from GSM biomass rxn]],":"),CHAR(34),"")</f>
        <v>glytrna_c</v>
      </c>
      <c r="C33" t="str">
        <f>_xlfn.TEXTBEFORE(mets2733[[#This Row],[name]],"_",-1)</f>
        <v>glytrna</v>
      </c>
      <c r="D33" t="str">
        <f>_xlfn.XLOOKUP(mets2733[[#This Row],[name w/o location]],metaboliteInfo[name w/o location],metaboliteInfo[suggested category],"")</f>
        <v>PROT</v>
      </c>
      <c r="E33" s="21">
        <f>_xlfn.XLOOKUP(mets2733[[#This Row],[name w/o location]],metaboliteInfo[name w/o location],metaboliteInfo[MW for biomass normalization (g/mol)],0)</f>
        <v>58.059260000000002</v>
      </c>
      <c r="F33" s="21">
        <f>_xlfn.NUMBERVALUE(SUBSTITUTE(_xlfn.TEXTAFTER(mets2733[[#This Row],[pasted JSON metabolite keys and values from GSM biomass rxn]],":"),",",""))</f>
        <v>-0.379636999881312</v>
      </c>
      <c r="G33" s="21" cm="1">
        <f t="array" ref="G33">_xlfn.LET(_xlpm.id,mets2733[[#This Row],[name w/o location]],IF(IsElementOfSet_DIY(_xlpm.id,{"atp","adp","h","pi","h2o"}),SIGN(mets2733[[#This Row],[raw (GSM) coefficient]])*(ABS(mets2733[[#This Row],[raw (GSM) coefficient]])-$J$2),mets2733[[#This Row],[raw (GSM) coefficient]]))</f>
        <v>-0.379636999881312</v>
      </c>
      <c r="H33" s="21">
        <f>mets2733[[#This Row],[coeff. w/o GAM]]</f>
        <v>-0.379636999881312</v>
      </c>
      <c r="I33" s="161">
        <f t="shared" si="0"/>
        <v>-0.3772239202508948</v>
      </c>
      <c r="J33" s="21" cm="1">
        <f t="array" ref="J33">_xlfn.LET(_xlpm.id,mets2733[[#This Row],[name w/o location]],_xlpm.oldcoeff,mets2733[[#This Row],[normalized coeffs]],_xlpm.gam,$J$2-$G$2,_xlfn.IFS(IFERROR(MATCH(_xlpm.id,{"atp","h2o"},0),0)&gt;0,_xlpm.oldcoeff-_xlpm.gam,IFERROR(MATCH(_xlpm.id,{"adp","h","pi"},0),0)&gt;0,_xlpm.oldcoeff+_xlpm.gam,TRUE,_xlpm.oldcoeff))</f>
        <v>-0.3772239202508948</v>
      </c>
      <c r="K33" t="str" cm="1">
        <f t="array" ref="K33">"BIOSYN-"&amp;_xlfn.IFS(IFERROR(MATCH(mets2733[[#This Row],[category]],{0,"0",""},0),0)&gt;0,mets2733[[#This Row],[name]],TRUE,mets2733[[#This Row],[category]]&amp;"-"&amp;mets2733[[#This Row],[name]])</f>
        <v>BIOSYN-PROT-glytrna_c</v>
      </c>
      <c r="L33" s="149" t="str" cm="1">
        <f t="array" ref="L33">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33" s="149" cm="1">
        <f t="array" ref="M3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-0.37963699988131205</v>
      </c>
      <c r="N33" s="149"/>
      <c r="O33" s="149"/>
      <c r="P33" s="149" t="str" cm="1">
        <f t="array" ref="P33:P88">_xlfn.LET(_xlpm.rxn,_xlfn.TEXTSPLIT(SUBSTITUTE(SUBSTITUTE(P31," --&gt; ","+")," + ","+")," ","+"),_xlpm.rxnWithTRNA,_xlfn.VSTACK(_xlpm.rxn,_xlfn._xlws.FILTER(_xlpm.rxn,ISNUMBER(FIND("__L_c",_xlfn.CHOOSECOLS(_xlpm.rxn,2))))),CHAR(34)&amp;_xlfn.CHOOSECOLS(_xlpm.rxn,2)&amp;CHAR(34)&amp;":"&amp;_xlfn.CHOOSECOLS(_xlpm.rxn,1))</f>
        <v>"13BDglucan_c":0.684548</v>
      </c>
      <c r="R33" s="149" t="str" cm="1">
        <f t="array" ref="R33:R107">_xlfn.UNIQUE(_xlfn.VSTACK(SUBSTITUTE(SUBSTITUTE(_xlfn.ANCHORARRAY(P33),"__L_c","trna_c"),":",":-"),SUBSTITUTE(SUBSTITUTE("trna"&amp;_xlfn._xlws.FILTER(_xlfn.ANCHORARRAY(P33),ISNUMBER(FIND("__L_c",_xlfn.ANCHORARRAY(P33))),""),"trna"&amp;CHAR(34),CHAR(34)&amp;"trna"),"__L","")))</f>
        <v>"13BDglucan_c":-0.684548</v>
      </c>
      <c r="S33" s="149"/>
      <c r="T33" s="149" t="str" cm="1">
        <f t="array" ref="T33:U43">_xlfn.LET(_xlpm.rxn,_xlfn.TEXTSPLIT(SUBSTITUTE(SUBSTITUTE(T31," --&gt; ","+")," + ","+")," ","+"),_xlpm.rxnWithTRNA,_xlfn.VSTACK(_xlpm.rxn,_xlfn._xlws.FILTER(_xlpm.rxn,ISNUMBER(FIND("__L_c",_xlfn.CHOOSECOLS(_xlpm.rxn,2))))),_xlpm.new,CHAR(34)&amp;_xlfn.CHOOSECOLS(_xlpm.rxn,2)&amp;CHAR(34)&amp;":"&amp;_xlfn.CHOOSECOLS(_xlpm.rxn,1),_xlpm.rxn)</f>
        <v>0.01875</v>
      </c>
      <c r="U33" s="149" t="str">
        <v>docoscoa_c</v>
      </c>
      <c r="V33" s="149"/>
      <c r="AB33" t="str">
        <v>BIOSYN-COFACTOR-coa_c</v>
      </c>
      <c r="AC33" t="str">
        <v>MET-coa_c --&gt; 0.763502 BIO-coa_c</v>
      </c>
    </row>
    <row r="34" spans="1:29" ht="16" customHeight="1" x14ac:dyDescent="0.2">
      <c r="A34" s="144" t="s">
        <v>1445</v>
      </c>
      <c r="B34" t="str">
        <f>SUBSTITUTE(_xlfn.TEXTBEFORE(mets2733[[#This Row],[pasted JSON metabolite keys and values from GSM biomass rxn]],":"),CHAR(34),"")</f>
        <v>gtp_c</v>
      </c>
      <c r="C34" t="str">
        <f>_xlfn.TEXTBEFORE(mets2733[[#This Row],[name]],"_",-1)</f>
        <v>gtp</v>
      </c>
      <c r="D34" t="str">
        <f>_xlfn.XLOOKUP(mets2733[[#This Row],[name w/o location]],metaboliteInfo[name w/o location],metaboliteInfo[suggested category],"")</f>
        <v>RNA</v>
      </c>
      <c r="E34" s="21">
        <f>_xlfn.XLOOKUP(mets2733[[#This Row],[name w/o location]],metaboliteInfo[name w/o location],metaboliteInfo[MW for biomass normalization (g/mol)],0)</f>
        <v>344.19740100000001</v>
      </c>
      <c r="F34" s="21">
        <f>_xlfn.NUMBERVALUE(SUBSTITUTE(_xlfn.TEXTAFTER(mets2733[[#This Row],[pasted JSON metabolite keys and values from GSM biomass rxn]],":"),",",""))</f>
        <v>-0.101863461493851</v>
      </c>
      <c r="G34" s="21" cm="1">
        <f t="array" ref="G34">_xlfn.LET(_xlpm.id,mets2733[[#This Row],[name w/o location]],IF(IsElementOfSet_DIY(_xlpm.id,{"atp","adp","h","pi","h2o"}),SIGN(mets2733[[#This Row],[raw (GSM) coefficient]])*(ABS(mets2733[[#This Row],[raw (GSM) coefficient]])-$J$2),mets2733[[#This Row],[raw (GSM) coefficient]]))</f>
        <v>-0.101863461493851</v>
      </c>
      <c r="H34" s="21">
        <f>mets2733[[#This Row],[coeff. w/o GAM]]</f>
        <v>-0.101863461493851</v>
      </c>
      <c r="I34" s="161">
        <f t="shared" si="0"/>
        <v>-0.10121598866035099</v>
      </c>
      <c r="J34" s="21" cm="1">
        <f t="array" ref="J34">_xlfn.LET(_xlpm.id,mets2733[[#This Row],[name w/o location]],_xlpm.oldcoeff,mets2733[[#This Row],[normalized coeffs]],_xlpm.gam,$J$2-$G$2,_xlfn.IFS(IFERROR(MATCH(_xlpm.id,{"atp","h2o"},0),0)&gt;0,_xlpm.oldcoeff-_xlpm.gam,IFERROR(MATCH(_xlpm.id,{"adp","h","pi"},0),0)&gt;0,_xlpm.oldcoeff+_xlpm.gam,TRUE,_xlpm.oldcoeff))</f>
        <v>-0.10121598866035099</v>
      </c>
      <c r="K34" t="str" cm="1">
        <f t="array" ref="K34">"BIOSYN-"&amp;_xlfn.IFS(IFERROR(MATCH(mets2733[[#This Row],[category]],{0,"0",""},0),0)&gt;0,mets2733[[#This Row],[name]],TRUE,mets2733[[#This Row],[category]]&amp;"-"&amp;mets2733[[#This Row],[name]])</f>
        <v>BIOSYN-RNA-gtp_c</v>
      </c>
      <c r="L34" s="149" t="str" cm="1">
        <f t="array" ref="L34">IF(IsElementOfSet_DIY(mets2733[[#This Row],[category]],{"ignore","PROT"}),"",_xlfn.LET(_xlpm.mw,mets2733[[#This Row],[MW for biomass normalization (g/mol)]],"MET-"&amp;mets2733[[#This Row],[name]]&amp;" --&gt; "&amp;IF((mets2733[[#This Row],[category]]="DNA")+(mets2733[[#This Row],[category]]="RNA"),"MET-ppi_c + ","")&amp;ROUND(ABS(_xlpm.mw/1000),6)&amp;" BIO-"&amp;mets2733[[#This Row],[name]]))</f>
        <v>MET-gtp_c --&gt; MET-ppi_c + 0.344197 BIO-gtp_c</v>
      </c>
      <c r="M34" s="149" cm="1">
        <f t="array" ref="M3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-0.10186344150126732</v>
      </c>
      <c r="N34" s="149"/>
      <c r="O34" s="149"/>
      <c r="P34" s="149" t="str">
        <v>"16BDglucan_c":0.180144</v>
      </c>
      <c r="R34" s="149" t="str">
        <v>"16BDglucan_c":-0.180144</v>
      </c>
      <c r="S34" s="149"/>
      <c r="T34" s="149" t="str">
        <v>1</v>
      </c>
      <c r="U34" s="149" t="str">
        <v>h2o_c</v>
      </c>
      <c r="V34" s="149"/>
      <c r="AB34" t="str">
        <v>BIOSYN-COFACTOR-nadp_c</v>
      </c>
      <c r="AC34" t="str">
        <v>MET-nadp_c --&gt; 0.740381 BIO-nadp_c</v>
      </c>
    </row>
    <row r="35" spans="1:29" ht="16" customHeight="1" x14ac:dyDescent="0.2">
      <c r="A35" s="144" t="s">
        <v>1657</v>
      </c>
      <c r="B35" t="str">
        <f>SUBSTITUTE(_xlfn.TEXTBEFORE(mets2733[[#This Row],[pasted JSON metabolite keys and values from GSM biomass rxn]],":"),CHAR(34),"")</f>
        <v>h2o_c</v>
      </c>
      <c r="C35" t="str">
        <f>_xlfn.TEXTBEFORE(mets2733[[#This Row],[name]],"_",-1)</f>
        <v>h2o</v>
      </c>
      <c r="D35" t="str">
        <f>_xlfn.XLOOKUP(mets2733[[#This Row],[name w/o location]],metaboliteInfo[name w/o location],metaboliteInfo[suggested category],"")</f>
        <v>GAM</v>
      </c>
      <c r="E35" s="21">
        <f>_xlfn.XLOOKUP(mets2733[[#This Row],[name w/o location]],metaboliteInfo[name w/o location],metaboliteInfo[MW for biomass normalization (g/mol)],0)</f>
        <v>18.015280000000001</v>
      </c>
      <c r="F35" s="21">
        <f>_xlfn.NUMBERVALUE(SUBSTITUTE(_xlfn.TEXTAFTER(mets2733[[#This Row],[pasted JSON metabolite keys and values from GSM biomass rxn]],":"),",",""))</f>
        <v>-247.144701</v>
      </c>
      <c r="G35" s="21" cm="1">
        <f t="array" ref="G35">_xlfn.LET(_xlpm.id,mets2733[[#This Row],[name w/o location]],IF(IsElementOfSet_DIY(_xlpm.id,{"atp","adp","h","pi","h2o"}),SIGN(mets2733[[#This Row],[raw (GSM) coefficient]])*(ABS(mets2733[[#This Row],[raw (GSM) coefficient]])-$J$2),mets2733[[#This Row],[raw (GSM) coefficient]]))</f>
        <v>4.0881359999999916</v>
      </c>
      <c r="H35" s="21">
        <f>mets2733[[#This Row],[coeff. w/o GAM]]</f>
        <v>4.0881359999999916</v>
      </c>
      <c r="I35" s="161">
        <f t="shared" si="0"/>
        <v>4.0621506568667893</v>
      </c>
      <c r="J35" s="21" cm="1">
        <f t="array" ref="J35">_xlfn.LET(_xlpm.id,mets2733[[#This Row],[name w/o location]],_xlpm.oldcoeff,mets2733[[#This Row],[normalized coeffs]],_xlpm.gam,$J$2-$G$2,_xlfn.IFS(IFERROR(MATCH(_xlpm.id,{"atp","h2o"},0),0)&gt;0,_xlpm.oldcoeff-_xlpm.gam,IFERROR(MATCH(_xlpm.id,{"adp","h","pi"},0),0)&gt;0,_xlpm.oldcoeff+_xlpm.gam,TRUE,_xlpm.oldcoeff))</f>
        <v>-238.67068634313321</v>
      </c>
      <c r="K35" t="str" cm="1">
        <f t="array" ref="K35">"BIOSYN-"&amp;_xlfn.IFS(IFERROR(MATCH(mets2733[[#This Row],[category]],{0,"0",""},0),0)&gt;0,mets2733[[#This Row],[name]],TRUE,mets2733[[#This Row],[category]]&amp;"-"&amp;mets2733[[#This Row],[name]])</f>
        <v>BIOSYN-GAM-h2o_c</v>
      </c>
      <c r="L35" s="149" t="str" cm="1">
        <f t="array" ref="L35">IF(IsElementOfSet_DIY(mets2733[[#This Row],[category]],{"ignore","PROT"}),"",_xlfn.LET(_xlpm.mw,mets2733[[#This Row],[MW for biomass normalization (g/mol)]],"MET-"&amp;mets2733[[#This Row],[name]]&amp;" --&gt; "&amp;IF((mets2733[[#This Row],[category]]="DNA")+(mets2733[[#This Row],[category]]="RNA"),"MET-ppi_c + ","")&amp;ROUND(ABS(_xlpm.mw/1000),6)&amp;" BIO-"&amp;mets2733[[#This Row],[name]]))</f>
        <v>MET-h2o_c --&gt; 0.018015 BIO-h2o_c</v>
      </c>
      <c r="M35" s="149" cm="1">
        <f t="array" ref="M3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-247.17068634313321</v>
      </c>
      <c r="N35" s="149"/>
      <c r="O35" s="149"/>
      <c r="P35" s="149" t="str">
        <v>"ala__L_c":0.405893</v>
      </c>
      <c r="R35" s="149" t="str">
        <v>"alatrna_c":-0.405893</v>
      </c>
      <c r="S35" s="149"/>
      <c r="T35" s="149" t="str">
        <v>0.355664</v>
      </c>
      <c r="U35" s="149" t="str">
        <v>linocoa_c</v>
      </c>
      <c r="V35" s="149"/>
      <c r="AB35" t="str">
        <v>BIOSYN-COFACTOR-nadph_c</v>
      </c>
      <c r="AC35" t="str">
        <v>MET-nadph_c --&gt; 0.741389 BIO-nadph_c</v>
      </c>
    </row>
    <row r="36" spans="1:29" ht="16" customHeight="1" x14ac:dyDescent="0.2">
      <c r="A36" s="144" t="s">
        <v>1658</v>
      </c>
      <c r="B36" t="str">
        <f>SUBSTITUTE(_xlfn.TEXTBEFORE(mets2733[[#This Row],[pasted JSON metabolite keys and values from GSM biomass rxn]],":"),CHAR(34),"")</f>
        <v>h_c</v>
      </c>
      <c r="C36" t="str">
        <f>_xlfn.TEXTBEFORE(mets2733[[#This Row],[name]],"_",-1)</f>
        <v>h</v>
      </c>
      <c r="D36" t="str">
        <f>_xlfn.XLOOKUP(mets2733[[#This Row],[name w/o location]],metaboliteInfo[name w/o location],metaboliteInfo[suggested category],"")</f>
        <v>GAM</v>
      </c>
      <c r="E36" s="21">
        <f>_xlfn.XLOOKUP(mets2733[[#This Row],[name w/o location]],metaboliteInfo[name w/o location],metaboliteInfo[MW for biomass normalization (g/mol)],0)</f>
        <v>1.0079400000000001</v>
      </c>
      <c r="F36" s="21">
        <f>_xlfn.NUMBERVALUE(SUBSTITUTE(_xlfn.TEXTAFTER(mets2733[[#This Row],[pasted JSON metabolite keys and values from GSM biomass rxn]],":"),",",""))</f>
        <v>251.234556</v>
      </c>
      <c r="G36" s="21" cm="1">
        <f t="array" ref="G36">_xlfn.LET(_xlpm.id,mets2733[[#This Row],[name w/o location]],IF(IsElementOfSet_DIY(_xlpm.id,{"atp","adp","h","pi","h2o"}),SIGN(mets2733[[#This Row],[raw (GSM) coefficient]])*(ABS(mets2733[[#This Row],[raw (GSM) coefficient]])-$J$2),mets2733[[#This Row],[raw (GSM) coefficient]]))</f>
        <v>1.7190000000084638E-3</v>
      </c>
      <c r="H36" s="21">
        <f>mets2733[[#This Row],[coeff. w/o GAM]]</f>
        <v>1.7190000000084638E-3</v>
      </c>
      <c r="I36" s="161">
        <f t="shared" si="0"/>
        <v>1.7080735521490496E-3</v>
      </c>
      <c r="J36" s="21" cm="1">
        <f t="array" ref="J36">_xlfn.LET(_xlpm.id,mets2733[[#This Row],[name w/o location]],_xlpm.oldcoeff,mets2733[[#This Row],[normalized coeffs]],_xlpm.gam,$J$2-$G$2,_xlfn.IFS(IFERROR(MATCH(_xlpm.id,{"atp","h2o"},0),0)&gt;0,_xlpm.oldcoeff-_xlpm.gam,IFERROR(MATCH(_xlpm.id,{"adp","h","pi"},0),0)&gt;0,_xlpm.oldcoeff+_xlpm.gam,TRUE,_xlpm.oldcoeff))</f>
        <v>242.73454507355214</v>
      </c>
      <c r="K36" t="str" cm="1">
        <f t="array" ref="K36">"BIOSYN-"&amp;_xlfn.IFS(IFERROR(MATCH(mets2733[[#This Row],[category]],{0,"0",""},0),0)&gt;0,mets2733[[#This Row],[name]],TRUE,mets2733[[#This Row],[category]]&amp;"-"&amp;mets2733[[#This Row],[name]])</f>
        <v>BIOSYN-GAM-h_c</v>
      </c>
      <c r="L36" s="149" t="str" cm="1">
        <f t="array" ref="L36">IF(IsElementOfSet_DIY(mets2733[[#This Row],[category]],{"ignore","PROT"}),"",_xlfn.LET(_xlpm.mw,mets2733[[#This Row],[MW for biomass normalization (g/mol)]],"MET-"&amp;mets2733[[#This Row],[name]]&amp;" --&gt; "&amp;IF((mets2733[[#This Row],[category]]="DNA")+(mets2733[[#This Row],[category]]="RNA"),"MET-ppi_c + ","")&amp;ROUND(ABS(_xlpm.mw/1000),6)&amp;" BIO-"&amp;mets2733[[#This Row],[name]]))</f>
        <v>MET-h_c --&gt; 0.001008 BIO-h_c</v>
      </c>
      <c r="M36" s="149" cm="1">
        <f t="array" ref="M3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251.23454507355214</v>
      </c>
      <c r="N36" s="149"/>
      <c r="O36" s="149"/>
      <c r="P36" s="149" t="str">
        <v>"arg__L_c":0.160363</v>
      </c>
      <c r="R36" s="149" t="str">
        <v>"argtrna_c":-0.160363</v>
      </c>
      <c r="S36" s="149"/>
      <c r="T36" s="149" t="str">
        <v>0.087612</v>
      </c>
      <c r="U36" s="149" t="str">
        <v>linolncoa_c</v>
      </c>
      <c r="V36" s="149"/>
      <c r="AB36" t="str">
        <v>BIOSYN-DNA-datp_c</v>
      </c>
      <c r="AC36" t="str">
        <v>MET-datp_c --&gt; MET-ppi_c + 0.312199 BIO-datp_c</v>
      </c>
    </row>
    <row r="37" spans="1:29" ht="16" x14ac:dyDescent="0.2">
      <c r="A37" s="144" t="s">
        <v>1670</v>
      </c>
      <c r="B37" t="str">
        <f>SUBSTITUTE(_xlfn.TEXTBEFORE(mets2733[[#This Row],[pasted JSON metabolite keys and values from GSM biomass rxn]],":"),CHAR(34),"")</f>
        <v>histrna_c</v>
      </c>
      <c r="C37" t="str">
        <f>_xlfn.TEXTBEFORE(mets2733[[#This Row],[name]],"_",-1)</f>
        <v>histrna</v>
      </c>
      <c r="D37" t="str">
        <f>_xlfn.XLOOKUP(mets2733[[#This Row],[name w/o location]],metaboliteInfo[name w/o location],metaboliteInfo[suggested category],"")</f>
        <v>PROT</v>
      </c>
      <c r="E37" s="21">
        <f>_xlfn.XLOOKUP(mets2733[[#This Row],[name w/o location]],metaboliteInfo[name w/o location],metaboliteInfo[MW for biomass normalization (g/mol)],0)</f>
        <v>138.14722</v>
      </c>
      <c r="F37" s="21">
        <f>_xlfn.NUMBERVALUE(SUBSTITUTE(_xlfn.TEXTAFTER(mets2733[[#This Row],[pasted JSON metabolite keys and values from GSM biomass rxn]],":"),",",""))</f>
        <v>-8.2418769797753103E-2</v>
      </c>
      <c r="G37" s="21" cm="1">
        <f t="array" ref="G37">_xlfn.LET(_xlpm.id,mets2733[[#This Row],[name w/o location]],IF(IsElementOfSet_DIY(_xlpm.id,{"atp","adp","h","pi","h2o"}),SIGN(mets2733[[#This Row],[raw (GSM) coefficient]])*(ABS(mets2733[[#This Row],[raw (GSM) coefficient]])-$J$2),mets2733[[#This Row],[raw (GSM) coefficient]]))</f>
        <v>-8.2418769797753103E-2</v>
      </c>
      <c r="H37" s="21">
        <f>mets2733[[#This Row],[coeff. w/o GAM]]</f>
        <v>-8.2418769797753103E-2</v>
      </c>
      <c r="I37" s="161">
        <f t="shared" si="0"/>
        <v>-8.1894892897911464E-2</v>
      </c>
      <c r="J37" s="21" cm="1">
        <f t="array" ref="J37">_xlfn.LET(_xlpm.id,mets2733[[#This Row],[name w/o location]],_xlpm.oldcoeff,mets2733[[#This Row],[normalized coeffs]],_xlpm.gam,$J$2-$G$2,_xlfn.IFS(IFERROR(MATCH(_xlpm.id,{"atp","h2o"},0),0)&gt;0,_xlpm.oldcoeff-_xlpm.gam,IFERROR(MATCH(_xlpm.id,{"adp","h","pi"},0),0)&gt;0,_xlpm.oldcoeff+_xlpm.gam,TRUE,_xlpm.oldcoeff))</f>
        <v>-8.1894892897911464E-2</v>
      </c>
      <c r="K37" t="str" cm="1">
        <f t="array" ref="K37">"BIOSYN-"&amp;_xlfn.IFS(IFERROR(MATCH(mets2733[[#This Row],[category]],{0,"0",""},0),0)&gt;0,mets2733[[#This Row],[name]],TRUE,mets2733[[#This Row],[category]]&amp;"-"&amp;mets2733[[#This Row],[name]])</f>
        <v>BIOSYN-PROT-histrna_c</v>
      </c>
      <c r="L37" s="149" t="str" cm="1">
        <f t="array" ref="L37">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37" s="149" cm="1">
        <f t="array" ref="M3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-8.2418769797753116E-2</v>
      </c>
      <c r="N37" s="149"/>
      <c r="O37" s="149"/>
      <c r="P37" s="149" t="str">
        <v>"asn__L_c":0.192768</v>
      </c>
      <c r="R37" s="149" t="str">
        <v>"asntrna_c":-0.192768</v>
      </c>
      <c r="S37" s="149"/>
      <c r="T37" s="149" t="str">
        <v>0.207129</v>
      </c>
      <c r="U37" s="149" t="str">
        <v>odecoa_c</v>
      </c>
      <c r="V37" s="149"/>
      <c r="AB37" t="str">
        <v>BIOSYN-DNA-dctp_c</v>
      </c>
      <c r="AC37" t="str">
        <v>MET-dctp_c --&gt; MET-ppi_c + 0.288174 BIO-dctp_c</v>
      </c>
    </row>
    <row r="38" spans="1:29" ht="16" customHeight="1" x14ac:dyDescent="0.2">
      <c r="A38" s="144" t="s">
        <v>1448</v>
      </c>
      <c r="B38" t="str">
        <f>SUBSTITUTE(_xlfn.TEXTBEFORE(mets2733[[#This Row],[pasted JSON metabolite keys and values from GSM biomass rxn]],":"),CHAR(34),"")</f>
        <v>hxccoa_c</v>
      </c>
      <c r="C38" t="str">
        <f>_xlfn.TEXTBEFORE(mets2733[[#This Row],[name]],"_",-1)</f>
        <v>hxccoa</v>
      </c>
      <c r="D38" t="str">
        <f>_xlfn.XLOOKUP(mets2733[[#This Row],[name w/o location]],metaboliteInfo[name w/o location],metaboliteInfo[suggested category],"")</f>
        <v>LIPID</v>
      </c>
      <c r="E38" s="21">
        <f>_xlfn.XLOOKUP(mets2733[[#This Row],[name w/o location]],metaboliteInfo[name w/o location],metaboliteInfo[MW for biomass normalization (g/mol)],0)</f>
        <v>1142.1769629999999</v>
      </c>
      <c r="F38" s="21">
        <f>_xlfn.NUMBERVALUE(SUBSTITUTE(_xlfn.TEXTAFTER(mets2733[[#This Row],[pasted JSON metabolite keys and values from GSM biomass rxn]],":"),",",""))</f>
        <v>-9.7445291956541199E-4</v>
      </c>
      <c r="G38" s="21" cm="1">
        <f t="array" ref="G38">_xlfn.LET(_xlpm.id,mets2733[[#This Row],[name w/o location]],IF(IsElementOfSet_DIY(_xlpm.id,{"atp","adp","h","pi","h2o"}),SIGN(mets2733[[#This Row],[raw (GSM) coefficient]])*(ABS(mets2733[[#This Row],[raw (GSM) coefficient]])-$J$2),mets2733[[#This Row],[raw (GSM) coefficient]]))</f>
        <v>-9.7445291956541199E-4</v>
      </c>
      <c r="H38" s="21">
        <f>mets2733[[#This Row],[coeff. w/o GAM]]</f>
        <v>-9.7445291956541199E-4</v>
      </c>
      <c r="I38" s="161">
        <f t="shared" si="0"/>
        <v>-9.6825902252234452E-4</v>
      </c>
      <c r="J38" s="21" cm="1">
        <f t="array" ref="J38">_xlfn.LET(_xlpm.id,mets2733[[#This Row],[name w/o location]],_xlpm.oldcoeff,mets2733[[#This Row],[normalized coeffs]],_xlpm.gam,$J$2-$G$2,_xlfn.IFS(IFERROR(MATCH(_xlpm.id,{"atp","h2o"},0),0)&gt;0,_xlpm.oldcoeff-_xlpm.gam,IFERROR(MATCH(_xlpm.id,{"adp","h","pi"},0),0)&gt;0,_xlpm.oldcoeff+_xlpm.gam,TRUE,_xlpm.oldcoeff))</f>
        <v>-9.6825902252234452E-4</v>
      </c>
      <c r="K38" t="str" cm="1">
        <f t="array" ref="K38">"BIOSYN-"&amp;_xlfn.IFS(IFERROR(MATCH(mets2733[[#This Row],[category]],{0,"0",""},0),0)&gt;0,mets2733[[#This Row],[name]],TRUE,mets2733[[#This Row],[category]]&amp;"-"&amp;mets2733[[#This Row],[name]])</f>
        <v>BIOSYN-LIPID-hxccoa_c</v>
      </c>
      <c r="L38" s="149" t="str" cm="1">
        <f t="array" ref="L38">IF(IsElementOfSet_DIY(mets2733[[#This Row],[category]],{"ignore","PROT"}),"",_xlfn.LET(_xlpm.mw,mets2733[[#This Row],[MW for biomass normalization (g/mol)]],"MET-"&amp;mets2733[[#This Row],[name]]&amp;" --&gt; "&amp;IF((mets2733[[#This Row],[category]]="DNA")+(mets2733[[#This Row],[category]]="RNA"),"MET-ppi_c + ","")&amp;ROUND(ABS(_xlpm.mw/1000),6)&amp;" BIO-"&amp;mets2733[[#This Row],[name]]))</f>
        <v>MET-hxccoa_c --&gt; 1.142177 BIO-hxccoa_c</v>
      </c>
      <c r="M38" s="149" cm="1">
        <f t="array" ref="M3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-9.7445291956541199E-4</v>
      </c>
      <c r="N38" s="149"/>
      <c r="O38" s="149"/>
      <c r="P38" s="149" t="str">
        <v>"asp__L_c":0.192768</v>
      </c>
      <c r="R38" s="149" t="str">
        <v>"asptrna_c":-0.192768</v>
      </c>
      <c r="S38" s="149"/>
      <c r="T38" s="149" t="str">
        <v>0.1694</v>
      </c>
      <c r="U38" s="149" t="str">
        <v>pmtcoa_c</v>
      </c>
      <c r="V38" s="149"/>
      <c r="AB38" t="str">
        <v>BIOSYN-DNA-dgtp_c</v>
      </c>
      <c r="AC38" t="str">
        <v>MET-dgtp_c --&gt; MET-ppi_c + 0.328198 BIO-dgtp_c</v>
      </c>
    </row>
    <row r="39" spans="1:29" ht="16" x14ac:dyDescent="0.2">
      <c r="A39" s="144" t="s">
        <v>1671</v>
      </c>
      <c r="B39" t="str">
        <f>SUBSTITUTE(_xlfn.TEXTBEFORE(mets2733[[#This Row],[pasted JSON metabolite keys and values from GSM biomass rxn]],":"),CHAR(34),"")</f>
        <v>iletrna_c</v>
      </c>
      <c r="C39" t="str">
        <f>_xlfn.TEXTBEFORE(mets2733[[#This Row],[name]],"_",-1)</f>
        <v>iletrna</v>
      </c>
      <c r="D39" t="str">
        <f>_xlfn.XLOOKUP(mets2733[[#This Row],[name w/o location]],metaboliteInfo[name w/o location],metaboliteInfo[suggested category],"")</f>
        <v>PROT</v>
      </c>
      <c r="E39" s="21">
        <f>_xlfn.XLOOKUP(mets2733[[#This Row],[name w/o location]],metaboliteInfo[name w/o location],metaboliteInfo[MW for biomass normalization (g/mol)],0)</f>
        <v>114.16558000000001</v>
      </c>
      <c r="F39" s="21">
        <f>_xlfn.NUMBERVALUE(SUBSTITUTE(_xlfn.TEXTAFTER(mets2733[[#This Row],[pasted JSON metabolite keys and values from GSM biomass rxn]],":"),",",""))</f>
        <v>-0.25152516214038501</v>
      </c>
      <c r="G39" s="21" cm="1">
        <f t="array" ref="G39">_xlfn.LET(_xlpm.id,mets2733[[#This Row],[name w/o location]],IF(IsElementOfSet_DIY(_xlpm.id,{"atp","adp","h","pi","h2o"}),SIGN(mets2733[[#This Row],[raw (GSM) coefficient]])*(ABS(mets2733[[#This Row],[raw (GSM) coefficient]])-$J$2),mets2733[[#This Row],[raw (GSM) coefficient]]))</f>
        <v>-0.25152516214038501</v>
      </c>
      <c r="H39" s="21">
        <f>mets2733[[#This Row],[coeff. w/o GAM]]</f>
        <v>-0.25152516214038501</v>
      </c>
      <c r="I39" s="161">
        <f t="shared" si="0"/>
        <v>-0.2499263974112145</v>
      </c>
      <c r="J39" s="21" cm="1">
        <f t="array" ref="J39">_xlfn.LET(_xlpm.id,mets2733[[#This Row],[name w/o location]],_xlpm.oldcoeff,mets2733[[#This Row],[normalized coeffs]],_xlpm.gam,$J$2-$G$2,_xlfn.IFS(IFERROR(MATCH(_xlpm.id,{"atp","h2o"},0),0)&gt;0,_xlpm.oldcoeff-_xlpm.gam,IFERROR(MATCH(_xlpm.id,{"adp","h","pi"},0),0)&gt;0,_xlpm.oldcoeff+_xlpm.gam,TRUE,_xlpm.oldcoeff))</f>
        <v>-0.2499263974112145</v>
      </c>
      <c r="K39" t="str" cm="1">
        <f t="array" ref="K39">"BIOSYN-"&amp;_xlfn.IFS(IFERROR(MATCH(mets2733[[#This Row],[category]],{0,"0",""},0),0)&gt;0,mets2733[[#This Row],[name]],TRUE,mets2733[[#This Row],[category]]&amp;"-"&amp;mets2733[[#This Row],[name]])</f>
        <v>BIOSYN-PROT-iletrna_c</v>
      </c>
      <c r="L39" s="149" t="str" cm="1">
        <f t="array" ref="L39">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39" s="149" cm="1">
        <f t="array" ref="M3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-0.25152516214038506</v>
      </c>
      <c r="N39" s="149"/>
      <c r="O39" s="149"/>
      <c r="P39" s="149" t="str">
        <v>"atp_c":190.647337</v>
      </c>
      <c r="R39" s="149" t="str">
        <v>"atp_c":-190.647337</v>
      </c>
      <c r="S39" s="149"/>
      <c r="T39" s="149" t="str">
        <v>0.112806</v>
      </c>
      <c r="U39" s="149" t="str">
        <v>stcoa_c</v>
      </c>
      <c r="V39" s="149"/>
      <c r="AB39" t="str">
        <v>BIOSYN-DNA-dttp_c</v>
      </c>
      <c r="AC39" t="str">
        <v>MET-dttp_c --&gt; MET-ppi_c + 0.303185 BIO-dttp_c</v>
      </c>
    </row>
    <row r="40" spans="1:29" ht="16" customHeight="1" x14ac:dyDescent="0.2">
      <c r="A40" s="144" t="s">
        <v>1449</v>
      </c>
      <c r="B40" t="str">
        <f>SUBSTITUTE(_xlfn.TEXTBEFORE(mets2733[[#This Row],[pasted JSON metabolite keys and values from GSM biomass rxn]],":"),CHAR(34),"")</f>
        <v>k_c</v>
      </c>
      <c r="C40" t="str">
        <f>_xlfn.TEXTBEFORE(mets2733[[#This Row],[name]],"_",-1)</f>
        <v>k</v>
      </c>
      <c r="D40" t="str">
        <f>_xlfn.XLOOKUP(mets2733[[#This Row],[name w/o location]],metaboliteInfo[name w/o location],metaboliteInfo[suggested category],"")</f>
        <v>METAL</v>
      </c>
      <c r="E40" s="21">
        <f>_xlfn.XLOOKUP(mets2733[[#This Row],[name w/o location]],metaboliteInfo[name w/o location],metaboliteInfo[MW for biomass normalization (g/mol)],0)</f>
        <v>39.098300000000002</v>
      </c>
      <c r="F40" s="21">
        <f>_xlfn.NUMBERVALUE(SUBSTITUTE(_xlfn.TEXTAFTER(mets2733[[#This Row],[pasted JSON metabolite keys and values from GSM biomass rxn]],":"),",",""))</f>
        <v>-0.58822850489566103</v>
      </c>
      <c r="G40" s="21" cm="1">
        <f t="array" ref="G40">_xlfn.LET(_xlpm.id,mets2733[[#This Row],[name w/o location]],IF(IsElementOfSet_DIY(_xlpm.id,{"atp","adp","h","pi","h2o"}),SIGN(mets2733[[#This Row],[raw (GSM) coefficient]])*(ABS(mets2733[[#This Row],[raw (GSM) coefficient]])-$J$2),mets2733[[#This Row],[raw (GSM) coefficient]]))</f>
        <v>-0.58822850489566103</v>
      </c>
      <c r="H40" s="21">
        <f>mets2733[[#This Row],[coeff. w/o GAM]]</f>
        <v>-0.58822850489566103</v>
      </c>
      <c r="I40" s="161">
        <f t="shared" si="0"/>
        <v>-0.58448955894561339</v>
      </c>
      <c r="J40" s="21" cm="1">
        <f t="array" ref="J40">_xlfn.LET(_xlpm.id,mets2733[[#This Row],[name w/o location]],_xlpm.oldcoeff,mets2733[[#This Row],[normalized coeffs]],_xlpm.gam,$J$2-$G$2,_xlfn.IFS(IFERROR(MATCH(_xlpm.id,{"atp","h2o"},0),0)&gt;0,_xlpm.oldcoeff-_xlpm.gam,IFERROR(MATCH(_xlpm.id,{"adp","h","pi"},0),0)&gt;0,_xlpm.oldcoeff+_xlpm.gam,TRUE,_xlpm.oldcoeff))</f>
        <v>-0.58448955894561339</v>
      </c>
      <c r="K40" t="str" cm="1">
        <f t="array" ref="K40">"BIOSYN-"&amp;_xlfn.IFS(IFERROR(MATCH(mets2733[[#This Row],[category]],{0,"0",""},0),0)&gt;0,mets2733[[#This Row],[name]],TRUE,mets2733[[#This Row],[category]]&amp;"-"&amp;mets2733[[#This Row],[name]])</f>
        <v>BIOSYN-METAL-k_c</v>
      </c>
      <c r="L40" s="149" t="str" cm="1">
        <f t="array" ref="L40">IF(IsElementOfSet_DIY(mets2733[[#This Row],[category]],{"ignore","PROT"}),"",_xlfn.LET(_xlpm.mw,mets2733[[#This Row],[MW for biomass normalization (g/mol)]],"MET-"&amp;mets2733[[#This Row],[name]]&amp;" --&gt; "&amp;IF((mets2733[[#This Row],[category]]="DNA")+(mets2733[[#This Row],[category]]="RNA"),"MET-ppi_c + ","")&amp;ROUND(ABS(_xlpm.mw/1000),6)&amp;" BIO-"&amp;mets2733[[#This Row],[name]]))</f>
        <v>MET-k_c --&gt; 0.039098 BIO-k_c</v>
      </c>
      <c r="M40" s="149" cm="1">
        <f t="array" ref="M4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-0.58822850489566103</v>
      </c>
      <c r="N40" s="149"/>
      <c r="O40" s="149"/>
      <c r="P40" s="149" t="str">
        <v>"ca2_c":0.001286</v>
      </c>
      <c r="R40" s="149" t="str">
        <v>"ca2_c":-0.001286</v>
      </c>
      <c r="S40" s="149"/>
      <c r="T40" s="149" t="str">
        <v>0.048639</v>
      </c>
      <c r="U40" s="149" t="str">
        <v>ttccoa_c</v>
      </c>
      <c r="V40" s="149"/>
      <c r="AB40" t="str">
        <v>BIOSYN-LIPID-dag_c</v>
      </c>
      <c r="AC40" t="str">
        <v>MET-dag_c --&gt; 0.317078 BIO-dag_c</v>
      </c>
    </row>
    <row r="41" spans="1:29" ht="16" x14ac:dyDescent="0.2">
      <c r="A41" s="144" t="s">
        <v>1672</v>
      </c>
      <c r="B41" t="str">
        <f>SUBSTITUTE(_xlfn.TEXTBEFORE(mets2733[[#This Row],[pasted JSON metabolite keys and values from GSM biomass rxn]],":"),CHAR(34),"")</f>
        <v>leutrna_c</v>
      </c>
      <c r="C41" t="str">
        <f>_xlfn.TEXTBEFORE(mets2733[[#This Row],[name]],"_",-1)</f>
        <v>leutrna</v>
      </c>
      <c r="D41" t="str">
        <f>_xlfn.XLOOKUP(mets2733[[#This Row],[name w/o location]],metaboliteInfo[name w/o location],metaboliteInfo[suggested category],"")</f>
        <v>PROT</v>
      </c>
      <c r="E41" s="21">
        <f>_xlfn.XLOOKUP(mets2733[[#This Row],[name w/o location]],metaboliteInfo[name w/o location],metaboliteInfo[MW for biomass normalization (g/mol)],0)</f>
        <v>114.16558000000001</v>
      </c>
      <c r="F41" s="21">
        <f>_xlfn.NUMBERVALUE(SUBSTITUTE(_xlfn.TEXTAFTER(mets2733[[#This Row],[pasted JSON metabolite keys and values from GSM biomass rxn]],":"),",",""))</f>
        <v>-0.342057116318843</v>
      </c>
      <c r="G41" s="21" cm="1">
        <f t="array" ref="G41">_xlfn.LET(_xlpm.id,mets2733[[#This Row],[name w/o location]],IF(IsElementOfSet_DIY(_xlpm.id,{"atp","adp","h","pi","h2o"}),SIGN(mets2733[[#This Row],[raw (GSM) coefficient]])*(ABS(mets2733[[#This Row],[raw (GSM) coefficient]])-$J$2),mets2733[[#This Row],[raw (GSM) coefficient]]))</f>
        <v>-0.342057116318843</v>
      </c>
      <c r="H41" s="21">
        <f>mets2733[[#This Row],[coeff. w/o GAM]]</f>
        <v>-0.342057116318843</v>
      </c>
      <c r="I41" s="161">
        <f t="shared" si="0"/>
        <v>-0.33988290500623042</v>
      </c>
      <c r="J41" s="21" cm="1">
        <f t="array" ref="J41">_xlfn.LET(_xlpm.id,mets2733[[#This Row],[name w/o location]],_xlpm.oldcoeff,mets2733[[#This Row],[normalized coeffs]],_xlpm.gam,$J$2-$G$2,_xlfn.IFS(IFERROR(MATCH(_xlpm.id,{"atp","h2o"},0),0)&gt;0,_xlpm.oldcoeff-_xlpm.gam,IFERROR(MATCH(_xlpm.id,{"adp","h","pi"},0),0)&gt;0,_xlpm.oldcoeff+_xlpm.gam,TRUE,_xlpm.oldcoeff))</f>
        <v>-0.33988290500623042</v>
      </c>
      <c r="K41" t="str" cm="1">
        <f t="array" ref="K41">"BIOSYN-"&amp;_xlfn.IFS(IFERROR(MATCH(mets2733[[#This Row],[category]],{0,"0",""},0),0)&gt;0,mets2733[[#This Row],[name]],TRUE,mets2733[[#This Row],[category]]&amp;"-"&amp;mets2733[[#This Row],[name]])</f>
        <v>BIOSYN-PROT-leutrna_c</v>
      </c>
      <c r="L41" s="149" t="str" cm="1">
        <f t="array" ref="L41">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41" s="149" cm="1">
        <f t="array" ref="M4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-0.34205711631884306</v>
      </c>
      <c r="N41" s="149"/>
      <c r="O41" s="149"/>
      <c r="P41" s="149" t="str">
        <v>"chtn_c":0.016184</v>
      </c>
      <c r="R41" s="149" t="str">
        <v>"chtn_c":-0.016184</v>
      </c>
      <c r="S41" s="149"/>
      <c r="T41" s="149" t="str">
        <v>1</v>
      </c>
      <c r="U41" s="149" t="str">
        <v>coa_c</v>
      </c>
      <c r="V41" s="149"/>
      <c r="AB41" t="str">
        <v>BIOSYN-LIPID-docoscoa_c</v>
      </c>
      <c r="AC41" t="str">
        <v>MET-docoscoa_c --&gt; 1.086071 BIO-docoscoa_c</v>
      </c>
    </row>
    <row r="42" spans="1:29" ht="16" customHeight="1" x14ac:dyDescent="0.2">
      <c r="A42" s="144" t="s">
        <v>1450</v>
      </c>
      <c r="B42" t="str">
        <f>SUBSTITUTE(_xlfn.TEXTBEFORE(mets2733[[#This Row],[pasted JSON metabolite keys and values from GSM biomass rxn]],":"),CHAR(34),"")</f>
        <v>linocoa_c</v>
      </c>
      <c r="C42" t="str">
        <f>_xlfn.TEXTBEFORE(mets2733[[#This Row],[name]],"_",-1)</f>
        <v>linocoa</v>
      </c>
      <c r="D42" t="str">
        <f>_xlfn.XLOOKUP(mets2733[[#This Row],[name w/o location]],metaboliteInfo[name w/o location],metaboliteInfo[suggested category],"")</f>
        <v>LIPID</v>
      </c>
      <c r="E42" s="21">
        <f>_xlfn.XLOOKUP(mets2733[[#This Row],[name w/o location]],metaboliteInfo[name w/o location],metaboliteInfo[MW for biomass normalization (g/mol)],0)</f>
        <v>1025.9325630000001</v>
      </c>
      <c r="F42" s="21">
        <f>_xlfn.NUMBERVALUE(SUBSTITUTE(_xlfn.TEXTAFTER(mets2733[[#This Row],[pasted JSON metabolite keys and values from GSM biomass rxn]],":"),",",""))</f>
        <v>-2.57507322625944E-4</v>
      </c>
      <c r="G42" s="21" cm="1">
        <f t="array" ref="G42">_xlfn.LET(_xlpm.id,mets2733[[#This Row],[name w/o location]],IF(IsElementOfSet_DIY(_xlpm.id,{"atp","adp","h","pi","h2o"}),SIGN(mets2733[[#This Row],[raw (GSM) coefficient]])*(ABS(mets2733[[#This Row],[raw (GSM) coefficient]])-$J$2),mets2733[[#This Row],[raw (GSM) coefficient]]))</f>
        <v>-2.57507322625944E-4</v>
      </c>
      <c r="H42" s="21">
        <f>mets2733[[#This Row],[coeff. w/o GAM]]</f>
        <v>-2.57507322625944E-4</v>
      </c>
      <c r="I42" s="161">
        <f t="shared" si="0"/>
        <v>-2.5587053360088532E-4</v>
      </c>
      <c r="J42" s="21" cm="1">
        <f t="array" ref="J42">_xlfn.LET(_xlpm.id,mets2733[[#This Row],[name w/o location]],_xlpm.oldcoeff,mets2733[[#This Row],[normalized coeffs]],_xlpm.gam,$J$2-$G$2,_xlfn.IFS(IFERROR(MATCH(_xlpm.id,{"atp","h2o"},0),0)&gt;0,_xlpm.oldcoeff-_xlpm.gam,IFERROR(MATCH(_xlpm.id,{"adp","h","pi"},0),0)&gt;0,_xlpm.oldcoeff+_xlpm.gam,TRUE,_xlpm.oldcoeff))</f>
        <v>-2.5587053360088532E-4</v>
      </c>
      <c r="K42" t="str" cm="1">
        <f t="array" ref="K42">"BIOSYN-"&amp;_xlfn.IFS(IFERROR(MATCH(mets2733[[#This Row],[category]],{0,"0",""},0),0)&gt;0,mets2733[[#This Row],[name]],TRUE,mets2733[[#This Row],[category]]&amp;"-"&amp;mets2733[[#This Row],[name]])</f>
        <v>BIOSYN-LIPID-linocoa_c</v>
      </c>
      <c r="L42" s="149" t="str" cm="1">
        <f t="array" ref="L42">IF(IsElementOfSet_DIY(mets2733[[#This Row],[category]],{"ignore","PROT"}),"",_xlfn.LET(_xlpm.mw,mets2733[[#This Row],[MW for biomass normalization (g/mol)]],"MET-"&amp;mets2733[[#This Row],[name]]&amp;" --&gt; "&amp;IF((mets2733[[#This Row],[category]]="DNA")+(mets2733[[#This Row],[category]]="RNA"),"MET-ppi_c + ","")&amp;ROUND(ABS(_xlpm.mw/1000),6)&amp;" BIO-"&amp;mets2733[[#This Row],[name]]))</f>
        <v>MET-linocoa_c --&gt; 1.025933 BIO-linocoa_c</v>
      </c>
      <c r="M42" s="149" cm="1">
        <f t="array" ref="M4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-2.57507322625944E-4</v>
      </c>
      <c r="N42" s="149"/>
      <c r="O42" s="149"/>
      <c r="P42" s="149" t="str">
        <v>"ctp_c":0.119302</v>
      </c>
      <c r="R42" s="149" t="str">
        <v>"ctp_c":-0.119302</v>
      </c>
      <c r="S42" s="149"/>
      <c r="T42" s="149" t="str">
        <v>1</v>
      </c>
      <c r="U42" s="149" t="str">
        <v>ffabiom_c</v>
      </c>
      <c r="V42" s="149"/>
      <c r="AB42" t="str">
        <v>BIOSYN-LIPID-ergst_c</v>
      </c>
      <c r="AC42" t="str">
        <v>MET-ergst_c --&gt; 0.396648 BIO-ergst_c</v>
      </c>
    </row>
    <row r="43" spans="1:29" ht="16" customHeight="1" x14ac:dyDescent="0.2">
      <c r="A43" s="144" t="s">
        <v>1673</v>
      </c>
      <c r="B43" t="str">
        <f>SUBSTITUTE(_xlfn.TEXTBEFORE(mets2733[[#This Row],[pasted JSON metabolite keys and values from GSM biomass rxn]],":"),CHAR(34),"")</f>
        <v>linolncoa_c</v>
      </c>
      <c r="C43" t="str">
        <f>_xlfn.TEXTBEFORE(mets2733[[#This Row],[name]],"_",-1)</f>
        <v>linolncoa</v>
      </c>
      <c r="D43" t="str">
        <f>_xlfn.XLOOKUP(mets2733[[#This Row],[name w/o location]],metaboliteInfo[name w/o location],metaboliteInfo[suggested category],"")</f>
        <v>LIPID</v>
      </c>
      <c r="E43" s="21">
        <f>_xlfn.XLOOKUP(mets2733[[#This Row],[name w/o location]],metaboliteInfo[name w/o location],metaboliteInfo[MW for biomass normalization (g/mol)],0)</f>
        <v>1023.91668299999</v>
      </c>
      <c r="F43" s="21">
        <f>_xlfn.NUMBERVALUE(SUBSTITUTE(_xlfn.TEXTAFTER(mets2733[[#This Row],[pasted JSON metabolite keys and values from GSM biomass rxn]],":"),",",""))</f>
        <v>-6.3432710507400905E-5</v>
      </c>
      <c r="G43" s="21" cm="1">
        <f t="array" ref="G43">_xlfn.LET(_xlpm.id,mets2733[[#This Row],[name w/o location]],IF(IsElementOfSet_DIY(_xlpm.id,{"atp","adp","h","pi","h2o"}),SIGN(mets2733[[#This Row],[raw (GSM) coefficient]])*(ABS(mets2733[[#This Row],[raw (GSM) coefficient]])-$J$2),mets2733[[#This Row],[raw (GSM) coefficient]]))</f>
        <v>-6.3432710507400905E-5</v>
      </c>
      <c r="H43" s="21">
        <f>mets2733[[#This Row],[coeff. w/o GAM]]</f>
        <v>-6.3432710507400905E-5</v>
      </c>
      <c r="I43" s="161">
        <f t="shared" si="0"/>
        <v>-6.3029514344552147E-5</v>
      </c>
      <c r="J43" s="21" cm="1">
        <f t="array" ref="J43">_xlfn.LET(_xlpm.id,mets2733[[#This Row],[name w/o location]],_xlpm.oldcoeff,mets2733[[#This Row],[normalized coeffs]],_xlpm.gam,$J$2-$G$2,_xlfn.IFS(IFERROR(MATCH(_xlpm.id,{"atp","h2o"},0),0)&gt;0,_xlpm.oldcoeff-_xlpm.gam,IFERROR(MATCH(_xlpm.id,{"adp","h","pi"},0),0)&gt;0,_xlpm.oldcoeff+_xlpm.gam,TRUE,_xlpm.oldcoeff))</f>
        <v>-6.3029514344552147E-5</v>
      </c>
      <c r="K43" t="str" cm="1">
        <f t="array" ref="K43">"BIOSYN-"&amp;_xlfn.IFS(IFERROR(MATCH(mets2733[[#This Row],[category]],{0,"0",""},0),0)&gt;0,mets2733[[#This Row],[name]],TRUE,mets2733[[#This Row],[category]]&amp;"-"&amp;mets2733[[#This Row],[name]])</f>
        <v>BIOSYN-LIPID-linolncoa_c</v>
      </c>
      <c r="L43" s="149" t="str" cm="1">
        <f t="array" ref="L43">IF(IsElementOfSet_DIY(mets2733[[#This Row],[category]],{"ignore","PROT"}),"",_xlfn.LET(_xlpm.mw,mets2733[[#This Row],[MW for biomass normalization (g/mol)]],"MET-"&amp;mets2733[[#This Row],[name]]&amp;" --&gt; "&amp;IF((mets2733[[#This Row],[category]]="DNA")+(mets2733[[#This Row],[category]]="RNA"),"MET-ppi_c + ","")&amp;ROUND(ABS(_xlpm.mw/1000),6)&amp;" BIO-"&amp;mets2733[[#This Row],[name]]))</f>
        <v>MET-linolncoa_c --&gt; 1.023917 BIO-linolncoa_c</v>
      </c>
      <c r="M43" s="149" cm="1">
        <f t="array" ref="M4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-6.3432710507400905E-5</v>
      </c>
      <c r="N43" s="149"/>
      <c r="O43" s="149"/>
      <c r="P43" s="149" t="str">
        <v>"cu2_c":0.000114</v>
      </c>
      <c r="R43" s="149" t="str">
        <v>"cu2_c":-0.000114</v>
      </c>
      <c r="S43" s="149"/>
      <c r="T43" s="149" t="str">
        <v>1</v>
      </c>
      <c r="U43" s="149" t="str">
        <v>h_c</v>
      </c>
      <c r="V43" s="149"/>
      <c r="AB43" t="str">
        <v>BIOSYN-LIPID-ergstest_c</v>
      </c>
      <c r="AC43" t="str">
        <v>MET-ergstest_c --&gt; 0.660084 BIO-ergstest_c</v>
      </c>
    </row>
    <row r="44" spans="1:29" ht="16" x14ac:dyDescent="0.2">
      <c r="A44" s="144" t="s">
        <v>1674</v>
      </c>
      <c r="B44" t="str">
        <f>SUBSTITUTE(_xlfn.TEXTBEFORE(mets2733[[#This Row],[pasted JSON metabolite keys and values from GSM biomass rxn]],":"),CHAR(34),"")</f>
        <v>lystrna_c</v>
      </c>
      <c r="C44" t="str">
        <f>_xlfn.TEXTBEFORE(mets2733[[#This Row],[name]],"_",-1)</f>
        <v>lystrna</v>
      </c>
      <c r="D44" t="str">
        <f>_xlfn.XLOOKUP(mets2733[[#This Row],[name w/o location]],metaboliteInfo[name w/o location],metaboliteInfo[suggested category],"")</f>
        <v>PROT</v>
      </c>
      <c r="E44" s="21">
        <f>_xlfn.XLOOKUP(mets2733[[#This Row],[name w/o location]],metaboliteInfo[name w/o location],metaboliteInfo[MW for biomass normalization (g/mol)],0)</f>
        <v>130.18816000000001</v>
      </c>
      <c r="F44" s="21">
        <f>_xlfn.NUMBERVALUE(SUBSTITUTE(_xlfn.TEXTAFTER(mets2733[[#This Row],[pasted JSON metabolite keys and values from GSM biomass rxn]],":"),",",""))</f>
        <v>-0.28056425652012601</v>
      </c>
      <c r="G44" s="21" cm="1">
        <f t="array" ref="G44">_xlfn.LET(_xlpm.id,mets2733[[#This Row],[name w/o location]],IF(IsElementOfSet_DIY(_xlpm.id,{"atp","adp","h","pi","h2o"}),SIGN(mets2733[[#This Row],[raw (GSM) coefficient]])*(ABS(mets2733[[#This Row],[raw (GSM) coefficient]])-$J$2),mets2733[[#This Row],[raw (GSM) coefficient]]))</f>
        <v>-0.28056425652012601</v>
      </c>
      <c r="H44" s="21">
        <f>mets2733[[#This Row],[coeff. w/o GAM]]</f>
        <v>-0.28056425652012601</v>
      </c>
      <c r="I44" s="161">
        <f t="shared" si="0"/>
        <v>-0.278780911133234</v>
      </c>
      <c r="J44" s="21" cm="1">
        <f t="array" ref="J44">_xlfn.LET(_xlpm.id,mets2733[[#This Row],[name w/o location]],_xlpm.oldcoeff,mets2733[[#This Row],[normalized coeffs]],_xlpm.gam,$J$2-$G$2,_xlfn.IFS(IFERROR(MATCH(_xlpm.id,{"atp","h2o"},0),0)&gt;0,_xlpm.oldcoeff-_xlpm.gam,IFERROR(MATCH(_xlpm.id,{"adp","h","pi"},0),0)&gt;0,_xlpm.oldcoeff+_xlpm.gam,TRUE,_xlpm.oldcoeff))</f>
        <v>-0.278780911133234</v>
      </c>
      <c r="K44" t="str" cm="1">
        <f t="array" ref="K44">"BIOSYN-"&amp;_xlfn.IFS(IFERROR(MATCH(mets2733[[#This Row],[category]],{0,"0",""},0),0)&gt;0,mets2733[[#This Row],[name]],TRUE,mets2733[[#This Row],[category]]&amp;"-"&amp;mets2733[[#This Row],[name]])</f>
        <v>BIOSYN-PROT-lystrna_c</v>
      </c>
      <c r="L44" s="149" t="str" cm="1">
        <f t="array" ref="L44">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44" s="149" cm="1">
        <f t="array" ref="M4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-0.28056425652012607</v>
      </c>
      <c r="N44" s="149"/>
      <c r="O44" s="149"/>
      <c r="P44" s="149" t="str">
        <v>"cys__L_c":0.005816</v>
      </c>
      <c r="R44" s="149" t="str">
        <v>"cystrna_c":-0.005816</v>
      </c>
      <c r="S44" s="149"/>
      <c r="T44" s="149"/>
      <c r="U44" s="149"/>
      <c r="V44" s="149"/>
      <c r="AB44" t="str">
        <v>BIOSYN-LIPID-hxccoa_c</v>
      </c>
      <c r="AC44" t="str">
        <v>MET-hxccoa_c --&gt; 1.142177 BIO-hxccoa_c</v>
      </c>
    </row>
    <row r="45" spans="1:29" ht="16" customHeight="1" x14ac:dyDescent="0.2">
      <c r="A45" s="144" t="s">
        <v>1452</v>
      </c>
      <c r="B45" t="str">
        <f>SUBSTITUTE(_xlfn.TEXTBEFORE(mets2733[[#This Row],[pasted JSON metabolite keys and values from GSM biomass rxn]],":"),CHAR(34),"")</f>
        <v>mannan_c</v>
      </c>
      <c r="C45" t="str">
        <f>_xlfn.TEXTBEFORE(mets2733[[#This Row],[name]],"_",-1)</f>
        <v>mannan</v>
      </c>
      <c r="D45" t="str">
        <f>_xlfn.XLOOKUP(mets2733[[#This Row],[name w/o location]],metaboliteInfo[name w/o location],metaboliteInfo[suggested category],"")</f>
        <v>CARB</v>
      </c>
      <c r="E45" s="21">
        <f>_xlfn.XLOOKUP(mets2733[[#This Row],[name w/o location]],metaboliteInfo[name w/o location],metaboliteInfo[MW for biomass normalization (g/mol)],0)</f>
        <v>162.14060000000001</v>
      </c>
      <c r="F45" s="21">
        <f>_xlfn.NUMBERVALUE(SUBSTITUTE(_xlfn.TEXTAFTER(mets2733[[#This Row],[pasted JSON metabolite keys and values from GSM biomass rxn]],":"),",",""))</f>
        <v>-0.477628098524987</v>
      </c>
      <c r="G45" s="21" cm="1">
        <f t="array" ref="G45">_xlfn.LET(_xlpm.id,mets2733[[#This Row],[name w/o location]],IF(IsElementOfSet_DIY(_xlpm.id,{"atp","adp","h","pi","h2o"}),SIGN(mets2733[[#This Row],[raw (GSM) coefficient]])*(ABS(mets2733[[#This Row],[raw (GSM) coefficient]])-$J$2),mets2733[[#This Row],[raw (GSM) coefficient]]))</f>
        <v>-0.477628098524987</v>
      </c>
      <c r="H45" s="21">
        <f>mets2733[[#This Row],[coeff. w/o GAM]]</f>
        <v>-0.477628098524987</v>
      </c>
      <c r="I45" s="161">
        <f t="shared" si="0"/>
        <v>-0.47459215988932751</v>
      </c>
      <c r="J45" s="21" cm="1">
        <f t="array" ref="J45">_xlfn.LET(_xlpm.id,mets2733[[#This Row],[name w/o location]],_xlpm.oldcoeff,mets2733[[#This Row],[normalized coeffs]],_xlpm.gam,$J$2-$G$2,_xlfn.IFS(IFERROR(MATCH(_xlpm.id,{"atp","h2o"},0),0)&gt;0,_xlpm.oldcoeff-_xlpm.gam,IFERROR(MATCH(_xlpm.id,{"adp","h","pi"},0),0)&gt;0,_xlpm.oldcoeff+_xlpm.gam,TRUE,_xlpm.oldcoeff))</f>
        <v>-0.47459215988932751</v>
      </c>
      <c r="K45" t="str" cm="1">
        <f t="array" ref="K45">"BIOSYN-"&amp;_xlfn.IFS(IFERROR(MATCH(mets2733[[#This Row],[category]],{0,"0",""},0),0)&gt;0,mets2733[[#This Row],[name]],TRUE,mets2733[[#This Row],[category]]&amp;"-"&amp;mets2733[[#This Row],[name]])</f>
        <v>BIOSYN-CARB-mannan_c</v>
      </c>
      <c r="L45" s="149" t="str" cm="1">
        <f t="array" ref="L45">IF(IsElementOfSet_DIY(mets2733[[#This Row],[category]],{"ignore","PROT"}),"",_xlfn.LET(_xlpm.mw,mets2733[[#This Row],[MW for biomass normalization (g/mol)]],"MET-"&amp;mets2733[[#This Row],[name]]&amp;" --&gt; "&amp;IF((mets2733[[#This Row],[category]]="DNA")+(mets2733[[#This Row],[category]]="RNA"),"MET-ppi_c + ","")&amp;ROUND(ABS(_xlpm.mw/1000),6)&amp;" BIO-"&amp;mets2733[[#This Row],[name]]))</f>
        <v>MET-mannan_c --&gt; 0.162141 BIO-mannan_c</v>
      </c>
      <c r="M45" s="149" cm="1">
        <f t="array" ref="M4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-0.47762809852498694</v>
      </c>
      <c r="N45" s="149"/>
      <c r="O45" s="149"/>
      <c r="P45" s="149" t="str">
        <v>"datp_c":0.006009</v>
      </c>
      <c r="R45" s="149" t="str">
        <v>"datp_c":-0.006009</v>
      </c>
      <c r="S45" s="149"/>
      <c r="T45" s="149" cm="1">
        <f t="array" ref="T45:T55">_xlfn.CHOOSECOLS(_xlfn.ANCHORARRAY(T33),1)*0.000743</f>
        <v>1.3931249999999998E-5</v>
      </c>
      <c r="U45" s="149"/>
      <c r="V45" s="149"/>
      <c r="AB45" t="str">
        <v>BIOSYN-LIPID-linocoa_c</v>
      </c>
      <c r="AC45" t="str">
        <v>MET-linocoa_c --&gt; 1.025933 BIO-linocoa_c</v>
      </c>
    </row>
    <row r="46" spans="1:29" ht="16" x14ac:dyDescent="0.2">
      <c r="A46" s="144" t="s">
        <v>1675</v>
      </c>
      <c r="B46" t="str">
        <f>SUBSTITUTE(_xlfn.TEXTBEFORE(mets2733[[#This Row],[pasted JSON metabolite keys and values from GSM biomass rxn]],":"),CHAR(34),"")</f>
        <v>mettrna_c</v>
      </c>
      <c r="C46" t="str">
        <f>_xlfn.TEXTBEFORE(mets2733[[#This Row],[name]],"_",-1)</f>
        <v>mettrna</v>
      </c>
      <c r="D46" t="str">
        <f>_xlfn.XLOOKUP(mets2733[[#This Row],[name w/o location]],metaboliteInfo[name w/o location],metaboliteInfo[suggested category],"")</f>
        <v>PROT</v>
      </c>
      <c r="E46" s="21">
        <f>_xlfn.XLOOKUP(mets2733[[#This Row],[name w/o location]],metaboliteInfo[name w/o location],metaboliteInfo[MW for biomass normalization (g/mol)],0)</f>
        <v>132.20400000000001</v>
      </c>
      <c r="F46" s="21">
        <f>_xlfn.NUMBERVALUE(SUBSTITUTE(_xlfn.TEXTAFTER(mets2733[[#This Row],[pasted JSON metabolite keys and values from GSM biomass rxn]],":"),",",""))</f>
        <v>-4.8682189972704397E-2</v>
      </c>
      <c r="G46" s="21" cm="1">
        <f t="array" ref="G46">_xlfn.LET(_xlpm.id,mets2733[[#This Row],[name w/o location]],IF(IsElementOfSet_DIY(_xlpm.id,{"atp","adp","h","pi","h2o"}),SIGN(mets2733[[#This Row],[raw (GSM) coefficient]])*(ABS(mets2733[[#This Row],[raw (GSM) coefficient]])-$J$2),mets2733[[#This Row],[raw (GSM) coefficient]]))</f>
        <v>-4.8682189972704397E-2</v>
      </c>
      <c r="H46" s="21">
        <f>mets2733[[#This Row],[coeff. w/o GAM]]</f>
        <v>-4.8682189972704397E-2</v>
      </c>
      <c r="I46" s="161">
        <f t="shared" si="0"/>
        <v>-4.8372752270309849E-2</v>
      </c>
      <c r="J46" s="21" cm="1">
        <f t="array" ref="J46">_xlfn.LET(_xlpm.id,mets2733[[#This Row],[name w/o location]],_xlpm.oldcoeff,mets2733[[#This Row],[normalized coeffs]],_xlpm.gam,$J$2-$G$2,_xlfn.IFS(IFERROR(MATCH(_xlpm.id,{"atp","h2o"},0),0)&gt;0,_xlpm.oldcoeff-_xlpm.gam,IFERROR(MATCH(_xlpm.id,{"adp","h","pi"},0),0)&gt;0,_xlpm.oldcoeff+_xlpm.gam,TRUE,_xlpm.oldcoeff))</f>
        <v>-4.8372752270309849E-2</v>
      </c>
      <c r="K46" t="str" cm="1">
        <f t="array" ref="K46">"BIOSYN-"&amp;_xlfn.IFS(IFERROR(MATCH(mets2733[[#This Row],[category]],{0,"0",""},0),0)&gt;0,mets2733[[#This Row],[name]],TRUE,mets2733[[#This Row],[category]]&amp;"-"&amp;mets2733[[#This Row],[name]])</f>
        <v>BIOSYN-PROT-mettrna_c</v>
      </c>
      <c r="L46" s="149" t="str" cm="1">
        <f t="array" ref="L46">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46" s="149" cm="1">
        <f t="array" ref="M4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-4.8682189972704411E-2</v>
      </c>
      <c r="N46" s="149"/>
      <c r="O46" s="149"/>
      <c r="P46" s="149" t="str">
        <v>"dctp_c":0.009379</v>
      </c>
      <c r="R46" s="149" t="str">
        <v>"dctp_c":-0.009379</v>
      </c>
      <c r="S46" s="149"/>
      <c r="T46" s="149">
        <v>7.4299999999999995E-4</v>
      </c>
      <c r="U46" s="149"/>
      <c r="V46" s="149"/>
      <c r="AB46" t="str">
        <v>BIOSYN-LIPID-linolncoa_c</v>
      </c>
      <c r="AC46" t="str">
        <v>MET-linolncoa_c --&gt; 1.023917 BIO-linolncoa_c</v>
      </c>
    </row>
    <row r="47" spans="1:29" ht="16" customHeight="1" x14ac:dyDescent="0.2">
      <c r="A47" s="144" t="s">
        <v>1453</v>
      </c>
      <c r="B47" t="str">
        <f>SUBSTITUTE(_xlfn.TEXTBEFORE(mets2733[[#This Row],[pasted JSON metabolite keys and values from GSM biomass rxn]],":"),CHAR(34),"")</f>
        <v>mg2_c</v>
      </c>
      <c r="C47" t="str">
        <f>_xlfn.TEXTBEFORE(mets2733[[#This Row],[name]],"_",-1)</f>
        <v>mg2</v>
      </c>
      <c r="D47" t="str">
        <f>_xlfn.XLOOKUP(mets2733[[#This Row],[name w/o location]],metaboliteInfo[name w/o location],metaboliteInfo[suggested category],"")</f>
        <v>METAL</v>
      </c>
      <c r="E47" s="21">
        <f>_xlfn.XLOOKUP(mets2733[[#This Row],[name w/o location]],metaboliteInfo[name w/o location],metaboliteInfo[MW for biomass normalization (g/mol)],0)</f>
        <v>24.305</v>
      </c>
      <c r="F47" s="21">
        <f>_xlfn.NUMBERVALUE(SUBSTITUTE(_xlfn.TEXTAFTER(mets2733[[#This Row],[pasted JSON metabolite keys and values from GSM biomass rxn]],":"),",",""))</f>
        <v>-6.1982026854797201E-2</v>
      </c>
      <c r="G47" s="21" cm="1">
        <f t="array" ref="G47">_xlfn.LET(_xlpm.id,mets2733[[#This Row],[name w/o location]],IF(IsElementOfSet_DIY(_xlpm.id,{"atp","adp","h","pi","h2o"}),SIGN(mets2733[[#This Row],[raw (GSM) coefficient]])*(ABS(mets2733[[#This Row],[raw (GSM) coefficient]])-$J$2),mets2733[[#This Row],[raw (GSM) coefficient]]))</f>
        <v>-6.1982026854797201E-2</v>
      </c>
      <c r="H47" s="21">
        <f>mets2733[[#This Row],[coeff. w/o GAM]]</f>
        <v>-6.1982026854797201E-2</v>
      </c>
      <c r="I47" s="161">
        <f t="shared" si="0"/>
        <v>-6.158805164557881E-2</v>
      </c>
      <c r="J47" s="21" cm="1">
        <f t="array" ref="J47">_xlfn.LET(_xlpm.id,mets2733[[#This Row],[name w/o location]],_xlpm.oldcoeff,mets2733[[#This Row],[normalized coeffs]],_xlpm.gam,$J$2-$G$2,_xlfn.IFS(IFERROR(MATCH(_xlpm.id,{"atp","h2o"},0),0)&gt;0,_xlpm.oldcoeff-_xlpm.gam,IFERROR(MATCH(_xlpm.id,{"adp","h","pi"},0),0)&gt;0,_xlpm.oldcoeff+_xlpm.gam,TRUE,_xlpm.oldcoeff))</f>
        <v>-6.158805164557881E-2</v>
      </c>
      <c r="K47" t="str" cm="1">
        <f t="array" ref="K47">"BIOSYN-"&amp;_xlfn.IFS(IFERROR(MATCH(mets2733[[#This Row],[category]],{0,"0",""},0),0)&gt;0,mets2733[[#This Row],[name]],TRUE,mets2733[[#This Row],[category]]&amp;"-"&amp;mets2733[[#This Row],[name]])</f>
        <v>BIOSYN-METAL-mg2_c</v>
      </c>
      <c r="L47" s="149" t="str" cm="1">
        <f t="array" ref="L47">IF(IsElementOfSet_DIY(mets2733[[#This Row],[category]],{"ignore","PROT"}),"",_xlfn.LET(_xlpm.mw,mets2733[[#This Row],[MW for biomass normalization (g/mol)]],"MET-"&amp;mets2733[[#This Row],[name]]&amp;" --&gt; "&amp;IF((mets2733[[#This Row],[category]]="DNA")+(mets2733[[#This Row],[category]]="RNA"),"MET-ppi_c + ","")&amp;ROUND(ABS(_xlpm.mw/1000),6)&amp;" BIO-"&amp;mets2733[[#This Row],[name]]))</f>
        <v>MET-mg2_c --&gt; 0.024305 BIO-mg2_c</v>
      </c>
      <c r="M47" s="149" cm="1">
        <f t="array" ref="M4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-6.1982026854797201E-2</v>
      </c>
      <c r="N47" s="149"/>
      <c r="O47" s="149"/>
      <c r="P47" s="149" t="str">
        <v>"dgtp_c":0.009379</v>
      </c>
      <c r="R47" s="149" t="str">
        <v>"dgtp_c":-0.009379</v>
      </c>
      <c r="S47" s="149"/>
      <c r="T47" s="149">
        <v>2.6425835199999997E-4</v>
      </c>
      <c r="U47" s="149"/>
      <c r="V47" s="149"/>
      <c r="AB47" t="str">
        <v>BIOSYN-LIPID-odecoa_c</v>
      </c>
      <c r="AC47" t="str">
        <v>MET-odecoa_c --&gt; 1.027948 BIO-odecoa_c</v>
      </c>
    </row>
    <row r="48" spans="1:29" ht="16" customHeight="1" x14ac:dyDescent="0.2">
      <c r="A48" s="144" t="s">
        <v>1676</v>
      </c>
      <c r="B48" t="str">
        <f>SUBSTITUTE(_xlfn.TEXTBEFORE(mets2733[[#This Row],[pasted JSON metabolite keys and values from GSM biomass rxn]],":"),CHAR(34),"")</f>
        <v>mn2_c</v>
      </c>
      <c r="C48" t="str">
        <f>_xlfn.TEXTBEFORE(mets2733[[#This Row],[name]],"_",-1)</f>
        <v>mn2</v>
      </c>
      <c r="D48" t="str">
        <f>_xlfn.XLOOKUP(mets2733[[#This Row],[name w/o location]],metaboliteInfo[name w/o location],metaboliteInfo[suggested category],"")</f>
        <v>METAL</v>
      </c>
      <c r="E48" s="21">
        <f>_xlfn.XLOOKUP(mets2733[[#This Row],[name w/o location]],metaboliteInfo[name w/o location],metaboliteInfo[MW for biomass normalization (g/mol)],0)</f>
        <v>54.938043999999998</v>
      </c>
      <c r="F48" s="21">
        <f>_xlfn.NUMBERVALUE(SUBSTITUTE(_xlfn.TEXTAFTER(mets2733[[#This Row],[pasted JSON metabolite keys and values from GSM biomass rxn]],":"),",",""))</f>
        <v>-9.15985744391487E-5</v>
      </c>
      <c r="G48" s="21" cm="1">
        <f t="array" ref="G48">_xlfn.LET(_xlpm.id,mets2733[[#This Row],[name w/o location]],IF(IsElementOfSet_DIY(_xlpm.id,{"atp","adp","h","pi","h2o"}),SIGN(mets2733[[#This Row],[raw (GSM) coefficient]])*(ABS(mets2733[[#This Row],[raw (GSM) coefficient]])-$J$2),mets2733[[#This Row],[raw (GSM) coefficient]]))</f>
        <v>-9.15985744391487E-5</v>
      </c>
      <c r="H48" s="21">
        <f>mets2733[[#This Row],[coeff. w/o GAM]]</f>
        <v>-9.15985744391487E-5</v>
      </c>
      <c r="I48" s="161">
        <f t="shared" si="0"/>
        <v>-9.1016348117100356E-5</v>
      </c>
      <c r="J48" s="21" cm="1">
        <f t="array" ref="J48">_xlfn.LET(_xlpm.id,mets2733[[#This Row],[name w/o location]],_xlpm.oldcoeff,mets2733[[#This Row],[normalized coeffs]],_xlpm.gam,$J$2-$G$2,_xlfn.IFS(IFERROR(MATCH(_xlpm.id,{"atp","h2o"},0),0)&gt;0,_xlpm.oldcoeff-_xlpm.gam,IFERROR(MATCH(_xlpm.id,{"adp","h","pi"},0),0)&gt;0,_xlpm.oldcoeff+_xlpm.gam,TRUE,_xlpm.oldcoeff))</f>
        <v>-9.1016348117100356E-5</v>
      </c>
      <c r="K48" t="str" cm="1">
        <f t="array" ref="K48">"BIOSYN-"&amp;_xlfn.IFS(IFERROR(MATCH(mets2733[[#This Row],[category]],{0,"0",""},0),0)&gt;0,mets2733[[#This Row],[name]],TRUE,mets2733[[#This Row],[category]]&amp;"-"&amp;mets2733[[#This Row],[name]])</f>
        <v>BIOSYN-METAL-mn2_c</v>
      </c>
      <c r="L48" s="149" t="str" cm="1">
        <f t="array" ref="L48">IF(IsElementOfSet_DIY(mets2733[[#This Row],[category]],{"ignore","PROT"}),"",_xlfn.LET(_xlpm.mw,mets2733[[#This Row],[MW for biomass normalization (g/mol)]],"MET-"&amp;mets2733[[#This Row],[name]]&amp;" --&gt; "&amp;IF((mets2733[[#This Row],[category]]="DNA")+(mets2733[[#This Row],[category]]="RNA"),"MET-ppi_c + ","")&amp;ROUND(ABS(_xlpm.mw/1000),6)&amp;" BIO-"&amp;mets2733[[#This Row],[name]]))</f>
        <v>MET-mn2_c --&gt; 0.054938 BIO-mn2_c</v>
      </c>
      <c r="M48" s="149" cm="1">
        <f t="array" ref="M4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-9.15985744391487E-5</v>
      </c>
      <c r="N48" s="149"/>
      <c r="O48" s="149"/>
      <c r="P48" s="149" t="str">
        <v>"dttp_c":0.006009</v>
      </c>
      <c r="R48" s="149" t="str">
        <v>"dttp_c":-0.006009</v>
      </c>
      <c r="S48" s="149"/>
      <c r="T48" s="149">
        <v>6.5095715999999998E-5</v>
      </c>
      <c r="U48" s="149"/>
      <c r="V48" s="149"/>
      <c r="AB48" t="str">
        <v>BIOSYN-LIPID-pail_c</v>
      </c>
      <c r="AC48" t="str">
        <v>MET-pail_c --&gt; 0.862149 BIO-pail_c</v>
      </c>
    </row>
    <row r="49" spans="1:29" ht="16" x14ac:dyDescent="0.2">
      <c r="A49" s="144" t="s">
        <v>1455</v>
      </c>
      <c r="B49" t="str">
        <f>SUBSTITUTE(_xlfn.TEXTBEFORE(mets2733[[#This Row],[pasted JSON metabolite keys and values from GSM biomass rxn]],":"),CHAR(34),"")</f>
        <v>nadp_c</v>
      </c>
      <c r="C49" t="str">
        <f>_xlfn.TEXTBEFORE(mets2733[[#This Row],[name]],"_",-1)</f>
        <v>nadp</v>
      </c>
      <c r="D49" t="str">
        <f>_xlfn.XLOOKUP(mets2733[[#This Row],[name w/o location]],metaboliteInfo[name w/o location],metaboliteInfo[suggested category],"")</f>
        <v>COFACTOR</v>
      </c>
      <c r="E49" s="21">
        <f>_xlfn.XLOOKUP(mets2733[[#This Row],[name w/o location]],metaboliteInfo[name w/o location],metaboliteInfo[MW for biomass normalization (g/mol)],0)</f>
        <v>740.38118299999996</v>
      </c>
      <c r="F49" s="21">
        <f>_xlfn.NUMBERVALUE(SUBSTITUTE(_xlfn.TEXTAFTER(mets2733[[#This Row],[pasted JSON metabolite keys and values from GSM biomass rxn]],":"),",",""))</f>
        <v>2.92335875869624E-3</v>
      </c>
      <c r="G49" s="21" cm="1">
        <f t="array" ref="G49">_xlfn.LET(_xlpm.id,mets2733[[#This Row],[name w/o location]],IF(IsElementOfSet_DIY(_xlpm.id,{"atp","adp","h","pi","h2o"}),SIGN(mets2733[[#This Row],[raw (GSM) coefficient]])*(ABS(mets2733[[#This Row],[raw (GSM) coefficient]])-$J$2),mets2733[[#This Row],[raw (GSM) coefficient]]))</f>
        <v>2.92335875869624E-3</v>
      </c>
      <c r="H49" s="21">
        <f>mets2733[[#This Row],[coeff. w/o GAM]]</f>
        <v>2.92335875869624E-3</v>
      </c>
      <c r="I49" s="161">
        <f t="shared" si="0"/>
        <v>2.9047770675670378E-3</v>
      </c>
      <c r="J49" s="21" cm="1">
        <f t="array" ref="J49">_xlfn.LET(_xlpm.id,mets2733[[#This Row],[name w/o location]],_xlpm.oldcoeff,mets2733[[#This Row],[normalized coeffs]],_xlpm.gam,$J$2-$G$2,_xlfn.IFS(IFERROR(MATCH(_xlpm.id,{"atp","h2o"},0),0)&gt;0,_xlpm.oldcoeff-_xlpm.gam,IFERROR(MATCH(_xlpm.id,{"adp","h","pi"},0),0)&gt;0,_xlpm.oldcoeff+_xlpm.gam,TRUE,_xlpm.oldcoeff))</f>
        <v>2.9047770675670378E-3</v>
      </c>
      <c r="K49" t="str" cm="1">
        <f t="array" ref="K49">"BIOSYN-"&amp;_xlfn.IFS(IFERROR(MATCH(mets2733[[#This Row],[category]],{0,"0",""},0),0)&gt;0,mets2733[[#This Row],[name]],TRUE,mets2733[[#This Row],[category]]&amp;"-"&amp;mets2733[[#This Row],[name]])</f>
        <v>BIOSYN-COFACTOR-nadp_c</v>
      </c>
      <c r="L49" s="149" t="str" cm="1">
        <f t="array" ref="L49">IF(IsElementOfSet_DIY(mets2733[[#This Row],[category]],{"ignore","PROT"}),"",_xlfn.LET(_xlpm.mw,mets2733[[#This Row],[MW for biomass normalization (g/mol)]],"MET-"&amp;mets2733[[#This Row],[name]]&amp;" --&gt; "&amp;IF((mets2733[[#This Row],[category]]="DNA")+(mets2733[[#This Row],[category]]="RNA"),"MET-ppi_c + ","")&amp;ROUND(ABS(_xlpm.mw/1000),6)&amp;" BIO-"&amp;mets2733[[#This Row],[name]]))</f>
        <v>MET-nadp_c --&gt; 0.740381 BIO-nadp_c</v>
      </c>
      <c r="M49" s="149" cm="1">
        <f t="array" ref="M4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2.9233587586962395E-3</v>
      </c>
      <c r="N49" s="149"/>
      <c r="O49" s="149"/>
      <c r="P49" s="149" t="str">
        <v>"ergst_c":0.042867</v>
      </c>
      <c r="R49" s="149" t="str">
        <v>"ergst_c":-0.042867</v>
      </c>
      <c r="S49" s="149"/>
      <c r="T49" s="149">
        <v>1.53896847E-4</v>
      </c>
      <c r="U49" s="149"/>
      <c r="V49" s="149"/>
      <c r="AB49" t="str">
        <v>BIOSYN-LIPID-pc_c</v>
      </c>
      <c r="AC49" t="str">
        <v>MET-pc_c --&gt; 0.786166 BIO-pc_c</v>
      </c>
    </row>
    <row r="50" spans="1:29" ht="16" x14ac:dyDescent="0.2">
      <c r="A50" s="144" t="s">
        <v>1456</v>
      </c>
      <c r="B50" t="str">
        <f>SUBSTITUTE(_xlfn.TEXTBEFORE(mets2733[[#This Row],[pasted JSON metabolite keys and values from GSM biomass rxn]],":"),CHAR(34),"")</f>
        <v>nadph_c</v>
      </c>
      <c r="C50" t="str">
        <f>_xlfn.TEXTBEFORE(mets2733[[#This Row],[name]],"_",-1)</f>
        <v>nadph</v>
      </c>
      <c r="D50" t="str">
        <f>_xlfn.XLOOKUP(mets2733[[#This Row],[name w/o location]],metaboliteInfo[name w/o location],metaboliteInfo[suggested category],"")</f>
        <v>COFACTOR</v>
      </c>
      <c r="E50" s="21">
        <f>_xlfn.XLOOKUP(mets2733[[#This Row],[name w/o location]],metaboliteInfo[name w/o location],metaboliteInfo[MW for biomass normalization (g/mol)],0)</f>
        <v>741.38912300000004</v>
      </c>
      <c r="F50" s="21">
        <f>_xlfn.NUMBERVALUE(SUBSTITUTE(_xlfn.TEXTAFTER(mets2733[[#This Row],[pasted JSON metabolite keys and values from GSM biomass rxn]],":"),",",""))</f>
        <v>-2.92335875869624E-3</v>
      </c>
      <c r="G50" s="21" cm="1">
        <f t="array" ref="G50">_xlfn.LET(_xlpm.id,mets2733[[#This Row],[name w/o location]],IF(IsElementOfSet_DIY(_xlpm.id,{"atp","adp","h","pi","h2o"}),SIGN(mets2733[[#This Row],[raw (GSM) coefficient]])*(ABS(mets2733[[#This Row],[raw (GSM) coefficient]])-$J$2),mets2733[[#This Row],[raw (GSM) coefficient]]))</f>
        <v>-2.92335875869624E-3</v>
      </c>
      <c r="H50" s="21">
        <f>mets2733[[#This Row],[coeff. w/o GAM]]</f>
        <v>-2.92335875869624E-3</v>
      </c>
      <c r="I50" s="161">
        <f t="shared" si="0"/>
        <v>-2.9047770675670378E-3</v>
      </c>
      <c r="J50" s="21" cm="1">
        <f t="array" ref="J50">_xlfn.LET(_xlpm.id,mets2733[[#This Row],[name w/o location]],_xlpm.oldcoeff,mets2733[[#This Row],[normalized coeffs]],_xlpm.gam,$J$2-$G$2,_xlfn.IFS(IFERROR(MATCH(_xlpm.id,{"atp","h2o"},0),0)&gt;0,_xlpm.oldcoeff-_xlpm.gam,IFERROR(MATCH(_xlpm.id,{"adp","h","pi"},0),0)&gt;0,_xlpm.oldcoeff+_xlpm.gam,TRUE,_xlpm.oldcoeff))</f>
        <v>-2.9047770675670378E-3</v>
      </c>
      <c r="K50" t="str" cm="1">
        <f t="array" ref="K50">"BIOSYN-"&amp;_xlfn.IFS(IFERROR(MATCH(mets2733[[#This Row],[category]],{0,"0",""},0),0)&gt;0,mets2733[[#This Row],[name]],TRUE,mets2733[[#This Row],[category]]&amp;"-"&amp;mets2733[[#This Row],[name]])</f>
        <v>BIOSYN-COFACTOR-nadph_c</v>
      </c>
      <c r="L50" s="149" t="str" cm="1">
        <f t="array" ref="L50">IF(IsElementOfSet_DIY(mets2733[[#This Row],[category]],{"ignore","PROT"}),"",_xlfn.LET(_xlpm.mw,mets2733[[#This Row],[MW for biomass normalization (g/mol)]],"MET-"&amp;mets2733[[#This Row],[name]]&amp;" --&gt; "&amp;IF((mets2733[[#This Row],[category]]="DNA")+(mets2733[[#This Row],[category]]="RNA"),"MET-ppi_c + ","")&amp;ROUND(ABS(_xlpm.mw/1000),6)&amp;" BIO-"&amp;mets2733[[#This Row],[name]]))</f>
        <v>MET-nadph_c --&gt; 0.741389 BIO-nadph_c</v>
      </c>
      <c r="M50" s="149" cm="1">
        <f t="array" ref="M5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-2.9233587586962395E-3</v>
      </c>
      <c r="N50" s="149"/>
      <c r="O50" s="149"/>
      <c r="P50" s="149" t="str">
        <v>"ergstest_c":0.010634</v>
      </c>
      <c r="R50" s="149" t="str">
        <v>"ergstest_c":-0.010634</v>
      </c>
      <c r="S50" s="149"/>
      <c r="T50" s="149">
        <v>1.2586419999999999E-4</v>
      </c>
      <c r="U50" s="149"/>
      <c r="V50" s="149"/>
      <c r="AB50" t="str">
        <v>BIOSYN-LIPID-pe_c</v>
      </c>
      <c r="AC50" t="str">
        <v>MET-pe_c --&gt; 0.744086 BIO-pe_c</v>
      </c>
    </row>
    <row r="51" spans="1:29" ht="16" x14ac:dyDescent="0.2">
      <c r="A51" s="144" t="s">
        <v>1457</v>
      </c>
      <c r="B51" t="str">
        <f>SUBSTITUTE(_xlfn.TEXTBEFORE(mets2733[[#This Row],[pasted JSON metabolite keys and values from GSM biomass rxn]],":"),CHAR(34),"")</f>
        <v>o2_c</v>
      </c>
      <c r="C51" t="str">
        <f>_xlfn.TEXTBEFORE(mets2733[[#This Row],[name]],"_",-1)</f>
        <v>o2</v>
      </c>
      <c r="D51" t="str">
        <f>_xlfn.XLOOKUP(mets2733[[#This Row],[name w/o location]],metaboliteInfo[name w/o location],metaboliteInfo[suggested category],"")</f>
        <v>other</v>
      </c>
      <c r="E51" s="21">
        <f>_xlfn.XLOOKUP(mets2733[[#This Row],[name w/o location]],metaboliteInfo[name w/o location],metaboliteInfo[MW for biomass normalization (g/mol)],0)</f>
        <v>31.998799999999999</v>
      </c>
      <c r="F51" s="21">
        <f>_xlfn.NUMBERVALUE(SUBSTITUTE(_xlfn.TEXTAFTER(mets2733[[#This Row],[pasted JSON metabolite keys and values from GSM biomass rxn]],":"),",",""))</f>
        <v>-9.7445291956541199E-4</v>
      </c>
      <c r="G51" s="21" cm="1">
        <f t="array" ref="G51">_xlfn.LET(_xlpm.id,mets2733[[#This Row],[name w/o location]],IF(IsElementOfSet_DIY(_xlpm.id,{"atp","adp","h","pi","h2o"}),SIGN(mets2733[[#This Row],[raw (GSM) coefficient]])*(ABS(mets2733[[#This Row],[raw (GSM) coefficient]])-$J$2),mets2733[[#This Row],[raw (GSM) coefficient]]))</f>
        <v>-9.7445291956541199E-4</v>
      </c>
      <c r="H51" s="21">
        <f>mets2733[[#This Row],[coeff. w/o GAM]]</f>
        <v>-9.7445291956541199E-4</v>
      </c>
      <c r="I51" s="161">
        <f t="shared" si="0"/>
        <v>-9.6825902252234452E-4</v>
      </c>
      <c r="J51" s="21" cm="1">
        <f t="array" ref="J51">_xlfn.LET(_xlpm.id,mets2733[[#This Row],[name w/o location]],_xlpm.oldcoeff,mets2733[[#This Row],[normalized coeffs]],_xlpm.gam,$J$2-$G$2,_xlfn.IFS(IFERROR(MATCH(_xlpm.id,{"atp","h2o"},0),0)&gt;0,_xlpm.oldcoeff-_xlpm.gam,IFERROR(MATCH(_xlpm.id,{"adp","h","pi"},0),0)&gt;0,_xlpm.oldcoeff+_xlpm.gam,TRUE,_xlpm.oldcoeff))</f>
        <v>-9.6825902252234452E-4</v>
      </c>
      <c r="K51" t="str" cm="1">
        <f t="array" ref="K51">"BIOSYN-"&amp;_xlfn.IFS(IFERROR(MATCH(mets2733[[#This Row],[category]],{0,"0",""},0),0)&gt;0,mets2733[[#This Row],[name]],TRUE,mets2733[[#This Row],[category]]&amp;"-"&amp;mets2733[[#This Row],[name]])</f>
        <v>BIOSYN-other-o2_c</v>
      </c>
      <c r="L51" s="149" t="str" cm="1">
        <f t="array" ref="L51">IF(IsElementOfSet_DIY(mets2733[[#This Row],[category]],{"ignore","PROT"}),"",_xlfn.LET(_xlpm.mw,mets2733[[#This Row],[MW for biomass normalization (g/mol)]],"MET-"&amp;mets2733[[#This Row],[name]]&amp;" --&gt; "&amp;IF((mets2733[[#This Row],[category]]="DNA")+(mets2733[[#This Row],[category]]="RNA"),"MET-ppi_c + ","")&amp;ROUND(ABS(_xlpm.mw/1000),6)&amp;" BIO-"&amp;mets2733[[#This Row],[name]]))</f>
        <v>MET-o2_c --&gt; 0.031999 BIO-o2_c</v>
      </c>
      <c r="M51" s="149" cm="1">
        <f t="array" ref="M5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-9.7445291956541546E-4</v>
      </c>
      <c r="N51" s="149"/>
      <c r="O51" s="149"/>
      <c r="P51" s="149" t="str">
        <v>"fe2_c":0.000664</v>
      </c>
      <c r="R51" s="149" t="str">
        <v>"fe2_c":-0.000664</v>
      </c>
      <c r="S51" s="149"/>
      <c r="T51" s="149">
        <v>8.3814857999999994E-5</v>
      </c>
      <c r="U51" s="149"/>
      <c r="V51" s="149"/>
      <c r="AB51" t="str">
        <v>BIOSYN-LIPID-pmtcoa_c</v>
      </c>
      <c r="AC51" t="str">
        <v>MET-pmtcoa_c --&gt; 1.001911 BIO-pmtcoa_c</v>
      </c>
    </row>
    <row r="52" spans="1:29" ht="16" x14ac:dyDescent="0.2">
      <c r="A52" s="144" t="s">
        <v>1458</v>
      </c>
      <c r="B52" t="str">
        <f>SUBSTITUTE(_xlfn.TEXTBEFORE(mets2733[[#This Row],[pasted JSON metabolite keys and values from GSM biomass rxn]],":"),CHAR(34),"")</f>
        <v>odecoa_c</v>
      </c>
      <c r="C52" t="str">
        <f>_xlfn.TEXTBEFORE(mets2733[[#This Row],[name]],"_",-1)</f>
        <v>odecoa</v>
      </c>
      <c r="D52" t="str">
        <f>_xlfn.XLOOKUP(mets2733[[#This Row],[name w/o location]],metaboliteInfo[name w/o location],metaboliteInfo[suggested category],"")</f>
        <v>LIPID</v>
      </c>
      <c r="E52" s="21">
        <f>_xlfn.XLOOKUP(mets2733[[#This Row],[name w/o location]],metaboliteInfo[name w/o location],metaboliteInfo[MW for biomass normalization (g/mol)],0)</f>
        <v>1027.948443</v>
      </c>
      <c r="F52" s="21">
        <f>_xlfn.NUMBERVALUE(SUBSTITUTE(_xlfn.TEXTAFTER(mets2733[[#This Row],[pasted JSON metabolite keys and values from GSM biomass rxn]],":"),",",""))</f>
        <v>-1.4996523187106199E-4</v>
      </c>
      <c r="G52" s="21" cm="1">
        <f t="array" ref="G52">_xlfn.LET(_xlpm.id,mets2733[[#This Row],[name w/o location]],IF(IsElementOfSet_DIY(_xlpm.id,{"atp","adp","h","pi","h2o"}),SIGN(mets2733[[#This Row],[raw (GSM) coefficient]])*(ABS(mets2733[[#This Row],[raw (GSM) coefficient]])-$J$2),mets2733[[#This Row],[raw (GSM) coefficient]]))</f>
        <v>-1.4996523187106199E-4</v>
      </c>
      <c r="H52" s="21">
        <f>mets2733[[#This Row],[coeff. w/o GAM]]</f>
        <v>-1.4996523187106199E-4</v>
      </c>
      <c r="I52" s="161">
        <f t="shared" si="0"/>
        <v>-1.4901201064549129E-4</v>
      </c>
      <c r="J52" s="21" cm="1">
        <f t="array" ref="J52">_xlfn.LET(_xlpm.id,mets2733[[#This Row],[name w/o location]],_xlpm.oldcoeff,mets2733[[#This Row],[normalized coeffs]],_xlpm.gam,$J$2-$G$2,_xlfn.IFS(IFERROR(MATCH(_xlpm.id,{"atp","h2o"},0),0)&gt;0,_xlpm.oldcoeff-_xlpm.gam,IFERROR(MATCH(_xlpm.id,{"adp","h","pi"},0),0)&gt;0,_xlpm.oldcoeff+_xlpm.gam,TRUE,_xlpm.oldcoeff))</f>
        <v>-1.4901201064549129E-4</v>
      </c>
      <c r="K52" t="str" cm="1">
        <f t="array" ref="K52">"BIOSYN-"&amp;_xlfn.IFS(IFERROR(MATCH(mets2733[[#This Row],[category]],{0,"0",""},0),0)&gt;0,mets2733[[#This Row],[name]],TRUE,mets2733[[#This Row],[category]]&amp;"-"&amp;mets2733[[#This Row],[name]])</f>
        <v>BIOSYN-LIPID-odecoa_c</v>
      </c>
      <c r="L52" s="149" t="str" cm="1">
        <f t="array" ref="L52">IF(IsElementOfSet_DIY(mets2733[[#This Row],[category]],{"ignore","PROT"}),"",_xlfn.LET(_xlpm.mw,mets2733[[#This Row],[MW for biomass normalization (g/mol)]],"MET-"&amp;mets2733[[#This Row],[name]]&amp;" --&gt; "&amp;IF((mets2733[[#This Row],[category]]="DNA")+(mets2733[[#This Row],[category]]="RNA"),"MET-ppi_c + ","")&amp;ROUND(ABS(_xlpm.mw/1000),6)&amp;" BIO-"&amp;mets2733[[#This Row],[name]]))</f>
        <v>MET-odecoa_c --&gt; 1.027948 BIO-odecoa_c</v>
      </c>
      <c r="M52" s="149" cm="1">
        <f t="array" ref="M5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-1.4996523187106199E-4</v>
      </c>
      <c r="N52" s="149"/>
      <c r="O52" s="149"/>
      <c r="P52" s="149" t="str">
        <v>"ffabiom_c":0.001922</v>
      </c>
      <c r="R52" s="149" t="str">
        <v>"ffabiom_c":-0.001922</v>
      </c>
      <c r="S52" s="149"/>
      <c r="T52" s="149">
        <v>3.6138776999999997E-5</v>
      </c>
      <c r="U52" s="149"/>
      <c r="V52" s="149"/>
      <c r="AB52" t="str">
        <v>BIOSYN-LIPID-ps_c</v>
      </c>
      <c r="AC52" t="str">
        <v>MET-ps_c --&gt; 0.786079 BIO-ps_c</v>
      </c>
    </row>
    <row r="53" spans="1:29" ht="16" x14ac:dyDescent="0.2">
      <c r="A53" s="144" t="s">
        <v>1459</v>
      </c>
      <c r="B53" t="str">
        <f>SUBSTITUTE(_xlfn.TEXTBEFORE(mets2733[[#This Row],[pasted JSON metabolite keys and values from GSM biomass rxn]],":"),CHAR(34),"")</f>
        <v>pail_c</v>
      </c>
      <c r="C53" t="str">
        <f>_xlfn.TEXTBEFORE(mets2733[[#This Row],[name]],"_",-1)</f>
        <v>pail</v>
      </c>
      <c r="D53" t="str">
        <f>_xlfn.XLOOKUP(mets2733[[#This Row],[name w/o location]],metaboliteInfo[name w/o location],metaboliteInfo[suggested category],"")</f>
        <v>LIPID</v>
      </c>
      <c r="E53" s="21">
        <f>_xlfn.XLOOKUP(mets2733[[#This Row],[name w/o location]],metaboliteInfo[name w/o location],metaboliteInfo[MW for biomass normalization (g/mol)],0)</f>
        <v>862.14885442176001</v>
      </c>
      <c r="F53" s="21">
        <f>_xlfn.NUMBERVALUE(SUBSTITUTE(_xlfn.TEXTAFTER(mets2733[[#This Row],[pasted JSON metabolite keys and values from GSM biomass rxn]],":"),",",""))</f>
        <v>-9.4892225307279792E-3</v>
      </c>
      <c r="G53" s="21" cm="1">
        <f t="array" ref="G53">_xlfn.LET(_xlpm.id,mets2733[[#This Row],[name w/o location]],IF(IsElementOfSet_DIY(_xlpm.id,{"atp","adp","h","pi","h2o"}),SIGN(mets2733[[#This Row],[raw (GSM) coefficient]])*(ABS(mets2733[[#This Row],[raw (GSM) coefficient]])-$J$2),mets2733[[#This Row],[raw (GSM) coefficient]]))</f>
        <v>-9.4892225307279792E-3</v>
      </c>
      <c r="H53" s="21">
        <f>mets2733[[#This Row],[coeff. w/o GAM]]</f>
        <v>-9.4892225307279792E-3</v>
      </c>
      <c r="I53" s="161">
        <f t="shared" si="0"/>
        <v>-9.428906361322589E-3</v>
      </c>
      <c r="J53" s="21" cm="1">
        <f t="array" ref="J53">_xlfn.LET(_xlpm.id,mets2733[[#This Row],[name w/o location]],_xlpm.oldcoeff,mets2733[[#This Row],[normalized coeffs]],_xlpm.gam,$J$2-$G$2,_xlfn.IFS(IFERROR(MATCH(_xlpm.id,{"atp","h2o"},0),0)&gt;0,_xlpm.oldcoeff-_xlpm.gam,IFERROR(MATCH(_xlpm.id,{"adp","h","pi"},0),0)&gt;0,_xlpm.oldcoeff+_xlpm.gam,TRUE,_xlpm.oldcoeff))</f>
        <v>-9.428906361322589E-3</v>
      </c>
      <c r="K53" t="str" cm="1">
        <f t="array" ref="K53">"BIOSYN-"&amp;_xlfn.IFS(IFERROR(MATCH(mets2733[[#This Row],[category]],{0,"0",""},0),0)&gt;0,mets2733[[#This Row],[name]],TRUE,mets2733[[#This Row],[category]]&amp;"-"&amp;mets2733[[#This Row],[name]])</f>
        <v>BIOSYN-LIPID-pail_c</v>
      </c>
      <c r="L53" s="149" t="str" cm="1">
        <f t="array" ref="L53">IF(IsElementOfSet_DIY(mets2733[[#This Row],[category]],{"ignore","PROT"}),"",_xlfn.LET(_xlpm.mw,mets2733[[#This Row],[MW for biomass normalization (g/mol)]],"MET-"&amp;mets2733[[#This Row],[name]]&amp;" --&gt; "&amp;IF((mets2733[[#This Row],[category]]="DNA")+(mets2733[[#This Row],[category]]="RNA"),"MET-ppi_c + ","")&amp;ROUND(ABS(_xlpm.mw/1000),6)&amp;" BIO-"&amp;mets2733[[#This Row],[name]]))</f>
        <v>MET-pail_c --&gt; 0.862149 BIO-pail_c</v>
      </c>
      <c r="M53" s="149" cm="1">
        <f t="array" ref="M5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-9.4892225307279792E-3</v>
      </c>
      <c r="N53" s="149"/>
      <c r="O53" s="149"/>
      <c r="P53" s="149" t="str">
        <v>"gln__L_c":0.321557</v>
      </c>
      <c r="R53" s="149" t="str">
        <v>"glntrna_c":-0.321557</v>
      </c>
      <c r="S53" s="149"/>
      <c r="T53" s="149">
        <v>7.4299999999999995E-4</v>
      </c>
      <c r="U53" s="149"/>
      <c r="V53" s="149"/>
      <c r="AB53" t="str">
        <v>BIOSYN-LIPID-stcoa_c</v>
      </c>
      <c r="AC53" t="str">
        <v>MET-stcoa_c --&gt; 1.029964 BIO-stcoa_c</v>
      </c>
    </row>
    <row r="54" spans="1:29" ht="16" x14ac:dyDescent="0.2">
      <c r="A54" s="144" t="s">
        <v>1460</v>
      </c>
      <c r="B54" t="str">
        <f>SUBSTITUTE(_xlfn.TEXTBEFORE(mets2733[[#This Row],[pasted JSON metabolite keys and values from GSM biomass rxn]],":"),CHAR(34),"")</f>
        <v>pc_c</v>
      </c>
      <c r="C54" t="str">
        <f>_xlfn.TEXTBEFORE(mets2733[[#This Row],[name]],"_",-1)</f>
        <v>pc</v>
      </c>
      <c r="D54" t="str">
        <f>_xlfn.XLOOKUP(mets2733[[#This Row],[name w/o location]],metaboliteInfo[name w/o location],metaboliteInfo[suggested category],"")</f>
        <v>LIPID</v>
      </c>
      <c r="E54" s="21">
        <f>_xlfn.XLOOKUP(mets2733[[#This Row],[name w/o location]],metaboliteInfo[name w/o location],metaboliteInfo[MW for biomass normalization (g/mol)],0)</f>
        <v>786.16573442176002</v>
      </c>
      <c r="F54" s="21">
        <f>_xlfn.NUMBERVALUE(SUBSTITUTE(_xlfn.TEXTAFTER(mets2733[[#This Row],[pasted JSON metabolite keys and values from GSM biomass rxn]],":"),",",""))</f>
        <v>-2.8047678383851301E-2</v>
      </c>
      <c r="G54" s="21" cm="1">
        <f t="array" ref="G54">_xlfn.LET(_xlpm.id,mets2733[[#This Row],[name w/o location]],IF(IsElementOfSet_DIY(_xlpm.id,{"atp","adp","h","pi","h2o"}),SIGN(mets2733[[#This Row],[raw (GSM) coefficient]])*(ABS(mets2733[[#This Row],[raw (GSM) coefficient]])-$J$2),mets2733[[#This Row],[raw (GSM) coefficient]]))</f>
        <v>-2.8047678383851301E-2</v>
      </c>
      <c r="H54" s="21">
        <f>mets2733[[#This Row],[coeff. w/o GAM]]</f>
        <v>-2.8047678383851301E-2</v>
      </c>
      <c r="I54" s="161">
        <f t="shared" si="0"/>
        <v>-2.7869399445260689E-2</v>
      </c>
      <c r="J54" s="21" cm="1">
        <f t="array" ref="J54">_xlfn.LET(_xlpm.id,mets2733[[#This Row],[name w/o location]],_xlpm.oldcoeff,mets2733[[#This Row],[normalized coeffs]],_xlpm.gam,$J$2-$G$2,_xlfn.IFS(IFERROR(MATCH(_xlpm.id,{"atp","h2o"},0),0)&gt;0,_xlpm.oldcoeff-_xlpm.gam,IFERROR(MATCH(_xlpm.id,{"adp","h","pi"},0),0)&gt;0,_xlpm.oldcoeff+_xlpm.gam,TRUE,_xlpm.oldcoeff))</f>
        <v>-2.7869399445260689E-2</v>
      </c>
      <c r="K54" t="str" cm="1">
        <f t="array" ref="K54">"BIOSYN-"&amp;_xlfn.IFS(IFERROR(MATCH(mets2733[[#This Row],[category]],{0,"0",""},0),0)&gt;0,mets2733[[#This Row],[name]],TRUE,mets2733[[#This Row],[category]]&amp;"-"&amp;mets2733[[#This Row],[name]])</f>
        <v>BIOSYN-LIPID-pc_c</v>
      </c>
      <c r="L54" s="149" t="str" cm="1">
        <f t="array" ref="L54">IF(IsElementOfSet_DIY(mets2733[[#This Row],[category]],{"ignore","PROT"}),"",_xlfn.LET(_xlpm.mw,mets2733[[#This Row],[MW for biomass normalization (g/mol)]],"MET-"&amp;mets2733[[#This Row],[name]]&amp;" --&gt; "&amp;IF((mets2733[[#This Row],[category]]="DNA")+(mets2733[[#This Row],[category]]="RNA"),"MET-ppi_c + ","")&amp;ROUND(ABS(_xlpm.mw/1000),6)&amp;" BIO-"&amp;mets2733[[#This Row],[name]]))</f>
        <v>MET-pc_c --&gt; 0.786166 BIO-pc_c</v>
      </c>
      <c r="M54" s="149" cm="1">
        <f t="array" ref="M5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-2.8047678383851301E-2</v>
      </c>
      <c r="N54" s="149"/>
      <c r="O54" s="149"/>
      <c r="P54" s="149" t="str">
        <v>"glu__L_c":0.321557</v>
      </c>
      <c r="R54" s="149" t="str">
        <v>"glutrna_c":-0.321557</v>
      </c>
      <c r="S54" s="149"/>
      <c r="T54" s="149">
        <v>7.4299999999999995E-4</v>
      </c>
      <c r="U54" s="149"/>
      <c r="V54" s="149"/>
      <c r="AB54" t="str">
        <v>BIOSYN-LIPID-tag_c</v>
      </c>
      <c r="AC54" t="str">
        <v>MET-tag_c --&gt; 0.885513 BIO-tag_c</v>
      </c>
    </row>
    <row r="55" spans="1:29" ht="16" x14ac:dyDescent="0.2">
      <c r="A55" s="144" t="s">
        <v>1461</v>
      </c>
      <c r="B55" t="str">
        <f>SUBSTITUTE(_xlfn.TEXTBEFORE(mets2733[[#This Row],[pasted JSON metabolite keys and values from GSM biomass rxn]],":"),CHAR(34),"")</f>
        <v>pe_c</v>
      </c>
      <c r="C55" t="str">
        <f>_xlfn.TEXTBEFORE(mets2733[[#This Row],[name]],"_",-1)</f>
        <v>pe</v>
      </c>
      <c r="D55" t="str">
        <f>_xlfn.XLOOKUP(mets2733[[#This Row],[name w/o location]],metaboliteInfo[name w/o location],metaboliteInfo[suggested category],"")</f>
        <v>LIPID</v>
      </c>
      <c r="E55" s="21">
        <f>_xlfn.XLOOKUP(mets2733[[#This Row],[name w/o location]],metaboliteInfo[name w/o location],metaboliteInfo[MW for biomass normalization (g/mol)],0)</f>
        <v>744.08599442176001</v>
      </c>
      <c r="F55" s="21">
        <f>_xlfn.NUMBERVALUE(SUBSTITUTE(_xlfn.TEXTAFTER(mets2733[[#This Row],[pasted JSON metabolite keys and values from GSM biomass rxn]],":"),",",""))</f>
        <v>-7.5227765390449798E-3</v>
      </c>
      <c r="G55" s="21" cm="1">
        <f t="array" ref="G55">_xlfn.LET(_xlpm.id,mets2733[[#This Row],[name w/o location]],IF(IsElementOfSet_DIY(_xlpm.id,{"atp","adp","h","pi","h2o"}),SIGN(mets2733[[#This Row],[raw (GSM) coefficient]])*(ABS(mets2733[[#This Row],[raw (GSM) coefficient]])-$J$2),mets2733[[#This Row],[raw (GSM) coefficient]]))</f>
        <v>-7.5227765390449798E-3</v>
      </c>
      <c r="H55" s="21">
        <f>mets2733[[#This Row],[coeff. w/o GAM]]</f>
        <v>-7.5227765390449798E-3</v>
      </c>
      <c r="I55" s="161">
        <f t="shared" si="0"/>
        <v>-7.4749596538724993E-3</v>
      </c>
      <c r="J55" s="21" cm="1">
        <f t="array" ref="J55">_xlfn.LET(_xlpm.id,mets2733[[#This Row],[name w/o location]],_xlpm.oldcoeff,mets2733[[#This Row],[normalized coeffs]],_xlpm.gam,$J$2-$G$2,_xlfn.IFS(IFERROR(MATCH(_xlpm.id,{"atp","h2o"},0),0)&gt;0,_xlpm.oldcoeff-_xlpm.gam,IFERROR(MATCH(_xlpm.id,{"adp","h","pi"},0),0)&gt;0,_xlpm.oldcoeff+_xlpm.gam,TRUE,_xlpm.oldcoeff))</f>
        <v>-7.4749596538724993E-3</v>
      </c>
      <c r="K55" t="str" cm="1">
        <f t="array" ref="K55">"BIOSYN-"&amp;_xlfn.IFS(IFERROR(MATCH(mets2733[[#This Row],[category]],{0,"0",""},0),0)&gt;0,mets2733[[#This Row],[name]],TRUE,mets2733[[#This Row],[category]]&amp;"-"&amp;mets2733[[#This Row],[name]])</f>
        <v>BIOSYN-LIPID-pe_c</v>
      </c>
      <c r="L55" s="149" t="str" cm="1">
        <f t="array" ref="L55">IF(IsElementOfSet_DIY(mets2733[[#This Row],[category]],{"ignore","PROT"}),"",_xlfn.LET(_xlpm.mw,mets2733[[#This Row],[MW for biomass normalization (g/mol)]],"MET-"&amp;mets2733[[#This Row],[name]]&amp;" --&gt; "&amp;IF((mets2733[[#This Row],[category]]="DNA")+(mets2733[[#This Row],[category]]="RNA"),"MET-ppi_c + ","")&amp;ROUND(ABS(_xlpm.mw/1000),6)&amp;" BIO-"&amp;mets2733[[#This Row],[name]]))</f>
        <v>MET-pe_c --&gt; 0.744086 BIO-pe_c</v>
      </c>
      <c r="M55" s="149" cm="1">
        <f t="array" ref="M5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-7.5227765390449798E-3</v>
      </c>
      <c r="N55" s="149"/>
      <c r="O55" s="149"/>
      <c r="P55" s="149" t="str">
        <v>"gly_c":0.369334</v>
      </c>
      <c r="R55" s="149" t="str">
        <v>"gly_c":-0.369334</v>
      </c>
      <c r="S55" s="149"/>
      <c r="T55" s="149">
        <v>7.4299999999999995E-4</v>
      </c>
      <c r="U55" s="149"/>
      <c r="V55" s="149"/>
      <c r="AB55" t="str">
        <v>BIOSYN-LIPID-ttccoa_c</v>
      </c>
      <c r="AC55" t="str">
        <v>MET-ttccoa_c --&gt; 1.114124 BIO-ttccoa_c</v>
      </c>
    </row>
    <row r="56" spans="1:29" ht="16" x14ac:dyDescent="0.2">
      <c r="A56" s="144" t="s">
        <v>1677</v>
      </c>
      <c r="B56" t="str">
        <f>SUBSTITUTE(_xlfn.TEXTBEFORE(mets2733[[#This Row],[pasted JSON metabolite keys and values from GSM biomass rxn]],":"),CHAR(34),"")</f>
        <v>phetrna_c</v>
      </c>
      <c r="C56" t="str">
        <f>_xlfn.TEXTBEFORE(mets2733[[#This Row],[name]],"_",-1)</f>
        <v>phetrna</v>
      </c>
      <c r="D56" t="str">
        <f>_xlfn.XLOOKUP(mets2733[[#This Row],[name w/o location]],metaboliteInfo[name w/o location],metaboliteInfo[suggested category],"")</f>
        <v>PROT</v>
      </c>
      <c r="E56" s="21">
        <f>_xlfn.XLOOKUP(mets2733[[#This Row],[name w/o location]],metaboliteInfo[name w/o location],metaboliteInfo[MW for biomass normalization (g/mol)],0)</f>
        <v>148.18180000000001</v>
      </c>
      <c r="F56" s="21">
        <f>_xlfn.NUMBERVALUE(SUBSTITUTE(_xlfn.TEXTAFTER(mets2733[[#This Row],[pasted JSON metabolite keys and values from GSM biomass rxn]],":"),",",""))</f>
        <v>-0.160566631056063</v>
      </c>
      <c r="G56" s="21" cm="1">
        <f t="array" ref="G56">_xlfn.LET(_xlpm.id,mets2733[[#This Row],[name w/o location]],IF(IsElementOfSet_DIY(_xlpm.id,{"atp","adp","h","pi","h2o"}),SIGN(mets2733[[#This Row],[raw (GSM) coefficient]])*(ABS(mets2733[[#This Row],[raw (GSM) coefficient]])-$J$2),mets2733[[#This Row],[raw (GSM) coefficient]]))</f>
        <v>-0.160566631056063</v>
      </c>
      <c r="H56" s="21">
        <f>mets2733[[#This Row],[coeff. w/o GAM]]</f>
        <v>-0.160566631056063</v>
      </c>
      <c r="I56" s="161">
        <f t="shared" si="0"/>
        <v>-0.15954602435321993</v>
      </c>
      <c r="J56" s="21" cm="1">
        <f t="array" ref="J56">_xlfn.LET(_xlpm.id,mets2733[[#This Row],[name w/o location]],_xlpm.oldcoeff,mets2733[[#This Row],[normalized coeffs]],_xlpm.gam,$J$2-$G$2,_xlfn.IFS(IFERROR(MATCH(_xlpm.id,{"atp","h2o"},0),0)&gt;0,_xlpm.oldcoeff-_xlpm.gam,IFERROR(MATCH(_xlpm.id,{"adp","h","pi"},0),0)&gt;0,_xlpm.oldcoeff+_xlpm.gam,TRUE,_xlpm.oldcoeff))</f>
        <v>-0.15954602435321993</v>
      </c>
      <c r="K56" t="str" cm="1">
        <f t="array" ref="K56">"BIOSYN-"&amp;_xlfn.IFS(IFERROR(MATCH(mets2733[[#This Row],[category]],{0,"0",""},0),0)&gt;0,mets2733[[#This Row],[name]],TRUE,mets2733[[#This Row],[category]]&amp;"-"&amp;mets2733[[#This Row],[name]])</f>
        <v>BIOSYN-PROT-phetrna_c</v>
      </c>
      <c r="L56" s="149" t="str" cm="1">
        <f t="array" ref="L56">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56" s="149" cm="1">
        <f t="array" ref="M5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-0.16056663105606303</v>
      </c>
      <c r="N56" s="149"/>
      <c r="O56" s="149"/>
      <c r="P56" s="149" t="str">
        <v>"glycogen_c":0.234811</v>
      </c>
      <c r="R56" s="149" t="str">
        <v>"glycogen_c":-0.234811</v>
      </c>
      <c r="S56" s="149"/>
      <c r="T56" s="149"/>
      <c r="U56" s="149"/>
      <c r="V56" s="149"/>
      <c r="AB56" t="str">
        <v>BIOSYN-METAL-ca2_c</v>
      </c>
      <c r="AC56" t="str">
        <v>MET-ca2_c --&gt; 0.040078 BIO-ca2_c</v>
      </c>
    </row>
    <row r="57" spans="1:29" ht="16" x14ac:dyDescent="0.2">
      <c r="A57" s="144" t="s">
        <v>1659</v>
      </c>
      <c r="B57" t="str">
        <f>SUBSTITUTE(_xlfn.TEXTBEFORE(mets2733[[#This Row],[pasted JSON metabolite keys and values from GSM biomass rxn]],":"),CHAR(34),"")</f>
        <v>pi_c</v>
      </c>
      <c r="C57" t="str">
        <f>_xlfn.TEXTBEFORE(mets2733[[#This Row],[name]],"_",-1)</f>
        <v>pi</v>
      </c>
      <c r="D57" t="str">
        <f>_xlfn.XLOOKUP(mets2733[[#This Row],[name w/o location]],metaboliteInfo[name w/o location],metaboliteInfo[suggested category],"")</f>
        <v>PI</v>
      </c>
      <c r="E57" s="21">
        <f>_xlfn.XLOOKUP(mets2733[[#This Row],[name w/o location]],metaboliteInfo[name w/o location],metaboliteInfo[MW for biomass normalization (g/mol)],0)</f>
        <v>95.979301000000007</v>
      </c>
      <c r="F57" s="21">
        <f>_xlfn.NUMBERVALUE(SUBSTITUTE(_xlfn.TEXTAFTER(mets2733[[#This Row],[pasted JSON metabolite keys and values from GSM biomass rxn]],":"),",",""))</f>
        <v>251.12988100000001</v>
      </c>
      <c r="G57" s="21" cm="1">
        <f t="array" ref="G57">_xlfn.LET(_xlpm.id,mets2733[[#This Row],[name w/o location]],IF(IsElementOfSet_DIY(_xlpm.id,{"atp","adp","h","pi","h2o"}),SIGN(mets2733[[#This Row],[raw (GSM) coefficient]])*(ABS(mets2733[[#This Row],[raw (GSM) coefficient]])-$J$2),mets2733[[#This Row],[raw (GSM) coefficient]]))</f>
        <v>-0.10295599999997762</v>
      </c>
      <c r="H57" s="21">
        <f>mets2733[[#This Row],[coeff. w/o GAM]]</f>
        <v>-0.10295599999997762</v>
      </c>
      <c r="I57" s="161">
        <f t="shared" si="0"/>
        <v>-0.10230158268420796</v>
      </c>
      <c r="J57" s="21" cm="1">
        <f t="array" ref="J57">_xlfn.LET(_xlpm.id,mets2733[[#This Row],[name w/o location]],_xlpm.oldcoeff,mets2733[[#This Row],[normalized coeffs]],_xlpm.gam,$J$2-$G$2,_xlfn.IFS(IFERROR(MATCH(_xlpm.id,{"atp","h2o"},0),0)&gt;0,_xlpm.oldcoeff-_xlpm.gam,IFERROR(MATCH(_xlpm.id,{"adp","h","pi"},0),0)&gt;0,_xlpm.oldcoeff+_xlpm.gam,TRUE,_xlpm.oldcoeff))</f>
        <v>242.63053541731577</v>
      </c>
      <c r="K57" t="str" cm="1">
        <f t="array" ref="K57">"BIOSYN-"&amp;_xlfn.IFS(IFERROR(MATCH(mets2733[[#This Row],[category]],{0,"0",""},0),0)&gt;0,mets2733[[#This Row],[name]],TRUE,mets2733[[#This Row],[category]]&amp;"-"&amp;mets2733[[#This Row],[name]])</f>
        <v>BIOSYN-PI-pi_c</v>
      </c>
      <c r="L57" s="149" t="str" cm="1">
        <f t="array" ref="L57">IF(IsElementOfSet_DIY(mets2733[[#This Row],[category]],{"ignore","PROT"}),"",_xlfn.LET(_xlpm.mw,mets2733[[#This Row],[MW for biomass normalization (g/mol)]],"MET-"&amp;mets2733[[#This Row],[name]]&amp;" --&gt; "&amp;IF((mets2733[[#This Row],[category]]="DNA")+(mets2733[[#This Row],[category]]="RNA"),"MET-ppi_c + ","")&amp;ROUND(ABS(_xlpm.mw/1000),6)&amp;" BIO-"&amp;mets2733[[#This Row],[name]]))</f>
        <v>MET-pi_c --&gt; 0.095979 BIO-pi_c</v>
      </c>
      <c r="M57" s="149" cm="1">
        <f t="array" ref="M5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251.1298811767833</v>
      </c>
      <c r="N57" s="149"/>
      <c r="O57" s="149"/>
      <c r="P57" s="149" t="str">
        <v>"gtp_c":0.104534</v>
      </c>
      <c r="R57" s="149" t="str">
        <v>"gtp_c":-0.104534</v>
      </c>
      <c r="S57" s="149"/>
      <c r="T57" s="149"/>
      <c r="U57" s="149"/>
      <c r="V57" s="149"/>
      <c r="AB57" t="str">
        <v>BIOSYN-METAL-cu2_c</v>
      </c>
      <c r="AC57" t="str">
        <v>MET-cu2_c --&gt; 0.063546 BIO-cu2_c</v>
      </c>
    </row>
    <row r="58" spans="1:29" ht="16" x14ac:dyDescent="0.2">
      <c r="A58" s="144" t="s">
        <v>1463</v>
      </c>
      <c r="B58" t="str">
        <f>SUBSTITUTE(_xlfn.TEXTBEFORE(mets2733[[#This Row],[pasted JSON metabolite keys and values from GSM biomass rxn]],":"),CHAR(34),"")</f>
        <v>pmtcoa_c</v>
      </c>
      <c r="C58" t="str">
        <f>_xlfn.TEXTBEFORE(mets2733[[#This Row],[name]],"_",-1)</f>
        <v>pmtcoa</v>
      </c>
      <c r="D58" t="str">
        <f>_xlfn.XLOOKUP(mets2733[[#This Row],[name w/o location]],metaboliteInfo[name w/o location],metaboliteInfo[suggested category],"")</f>
        <v>LIPID</v>
      </c>
      <c r="E58" s="21">
        <f>_xlfn.XLOOKUP(mets2733[[#This Row],[name w/o location]],metaboliteInfo[name w/o location],metaboliteInfo[MW for biomass normalization (g/mol)],0)</f>
        <v>1001.911163</v>
      </c>
      <c r="F58" s="21">
        <f>_xlfn.NUMBERVALUE(SUBSTITUTE(_xlfn.TEXTAFTER(mets2733[[#This Row],[pasted JSON metabolite keys and values from GSM biomass rxn]],":"),",",""))</f>
        <v>-2.07155457628959E-3</v>
      </c>
      <c r="G58" s="21" cm="1">
        <f t="array" ref="G58">_xlfn.LET(_xlpm.id,mets2733[[#This Row],[name w/o location]],IF(IsElementOfSet_DIY(_xlpm.id,{"atp","adp","h","pi","h2o"}),SIGN(mets2733[[#This Row],[raw (GSM) coefficient]])*(ABS(mets2733[[#This Row],[raw (GSM) coefficient]])-$J$2),mets2733[[#This Row],[raw (GSM) coefficient]]))</f>
        <v>-2.07155457628959E-3</v>
      </c>
      <c r="H58" s="21">
        <f>mets2733[[#This Row],[coeff. w/o GAM]]</f>
        <v>-2.07155457628959E-3</v>
      </c>
      <c r="I58" s="161">
        <f t="shared" si="0"/>
        <v>-2.058387192307247E-3</v>
      </c>
      <c r="J58" s="21" cm="1">
        <f t="array" ref="J58">_xlfn.LET(_xlpm.id,mets2733[[#This Row],[name w/o location]],_xlpm.oldcoeff,mets2733[[#This Row],[normalized coeffs]],_xlpm.gam,$J$2-$G$2,_xlfn.IFS(IFERROR(MATCH(_xlpm.id,{"atp","h2o"},0),0)&gt;0,_xlpm.oldcoeff-_xlpm.gam,IFERROR(MATCH(_xlpm.id,{"adp","h","pi"},0),0)&gt;0,_xlpm.oldcoeff+_xlpm.gam,TRUE,_xlpm.oldcoeff))</f>
        <v>-2.058387192307247E-3</v>
      </c>
      <c r="K58" t="str" cm="1">
        <f t="array" ref="K58">"BIOSYN-"&amp;_xlfn.IFS(IFERROR(MATCH(mets2733[[#This Row],[category]],{0,"0",""},0),0)&gt;0,mets2733[[#This Row],[name]],TRUE,mets2733[[#This Row],[category]]&amp;"-"&amp;mets2733[[#This Row],[name]])</f>
        <v>BIOSYN-LIPID-pmtcoa_c</v>
      </c>
      <c r="L58" s="149" t="str" cm="1">
        <f t="array" ref="L58">IF(IsElementOfSet_DIY(mets2733[[#This Row],[category]],{"ignore","PROT"}),"",_xlfn.LET(_xlpm.mw,mets2733[[#This Row],[MW for biomass normalization (g/mol)]],"MET-"&amp;mets2733[[#This Row],[name]]&amp;" --&gt; "&amp;IF((mets2733[[#This Row],[category]]="DNA")+(mets2733[[#This Row],[category]]="RNA"),"MET-ppi_c + ","")&amp;ROUND(ABS(_xlpm.mw/1000),6)&amp;" BIO-"&amp;mets2733[[#This Row],[name]]))</f>
        <v>MET-pmtcoa_c --&gt; 1.001911 BIO-pmtcoa_c</v>
      </c>
      <c r="M58" s="149" cm="1">
        <f t="array" ref="M5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-2.07155457628959E-3</v>
      </c>
      <c r="N58" s="149"/>
      <c r="O58" s="149"/>
      <c r="P58" s="149" t="str">
        <v>"h2o_c":186.43364699999998</v>
      </c>
      <c r="R58" s="149" t="str">
        <v>"h2o_c":-186.43364699999998</v>
      </c>
      <c r="S58" s="149"/>
      <c r="T58" s="149"/>
      <c r="U58" s="149"/>
      <c r="V58" s="149"/>
      <c r="AB58" t="str">
        <v>BIOSYN-METAL-fe2_c</v>
      </c>
      <c r="AC58" t="str">
        <v>MET-fe2_c --&gt; 0.055845 BIO-fe2_c</v>
      </c>
    </row>
    <row r="59" spans="1:29" ht="16" x14ac:dyDescent="0.2">
      <c r="A59" s="144" t="s">
        <v>1678</v>
      </c>
      <c r="B59" t="str">
        <f>SUBSTITUTE(_xlfn.TEXTBEFORE(mets2733[[#This Row],[pasted JSON metabolite keys and values from GSM biomass rxn]],":"),CHAR(34),"")</f>
        <v>ppi_c</v>
      </c>
      <c r="C59" t="str">
        <f>_xlfn.TEXTBEFORE(mets2733[[#This Row],[name]],"_",-1)</f>
        <v>ppi</v>
      </c>
      <c r="D59">
        <f>_xlfn.XLOOKUP(mets2733[[#This Row],[name w/o location]],metaboliteInfo[name w/o location],metaboliteInfo[suggested category],"")</f>
        <v>0</v>
      </c>
      <c r="E59" s="21">
        <f>_xlfn.XLOOKUP(mets2733[[#This Row],[name w/o location]],metaboliteInfo[name w/o location],metaboliteInfo[MW for biomass normalization (g/mol)],0)</f>
        <v>174.95126200000001</v>
      </c>
      <c r="F59" s="21">
        <f>_xlfn.NUMBERVALUE(SUBSTITUTE(_xlfn.TEXTAFTER(mets2733[[#This Row],[pasted JSON metabolite keys and values from GSM biomass rxn]],":"),",",""))</f>
        <v>0.37564672799999999</v>
      </c>
      <c r="G59" s="21" cm="1">
        <f t="array" ref="G59">_xlfn.LET(_xlpm.id,mets2733[[#This Row],[name w/o location]],IF(IsElementOfSet_DIY(_xlpm.id,{"atp","adp","h","pi","h2o"}),SIGN(mets2733[[#This Row],[raw (GSM) coefficient]])*(ABS(mets2733[[#This Row],[raw (GSM) coefficient]])-$J$2),mets2733[[#This Row],[raw (GSM) coefficient]]))</f>
        <v>0.37564672799999999</v>
      </c>
      <c r="H59" s="21">
        <f>mets2733[[#This Row],[coeff. w/o GAM]]</f>
        <v>0.37564672799999999</v>
      </c>
      <c r="I59" s="161">
        <f t="shared" si="0"/>
        <v>0.37325901166083109</v>
      </c>
      <c r="J59" s="21" cm="1">
        <f t="array" ref="J59">_xlfn.LET(_xlpm.id,mets2733[[#This Row],[name w/o location]],_xlpm.oldcoeff,mets2733[[#This Row],[normalized coeffs]],_xlpm.gam,$J$2-$G$2,_xlfn.IFS(IFERROR(MATCH(_xlpm.id,{"atp","h2o"},0),0)&gt;0,_xlpm.oldcoeff-_xlpm.gam,IFERROR(MATCH(_xlpm.id,{"adp","h","pi"},0),0)&gt;0,_xlpm.oldcoeff+_xlpm.gam,TRUE,_xlpm.oldcoeff))</f>
        <v>0.37325901166083109</v>
      </c>
      <c r="K59" t="str" cm="1">
        <f t="array" ref="K59">"BIOSYN-"&amp;_xlfn.IFS(IFERROR(MATCH(mets2733[[#This Row],[category]],{0,"0",""},0),0)&gt;0,mets2733[[#This Row],[name]],TRUE,mets2733[[#This Row],[category]]&amp;"-"&amp;mets2733[[#This Row],[name]])</f>
        <v>BIOSYN-ppi_c</v>
      </c>
      <c r="L59" s="149" t="str" cm="1">
        <f t="array" ref="L59">IF(IsElementOfSet_DIY(mets2733[[#This Row],[category]],{"ignore","PROT"}),"",_xlfn.LET(_xlpm.mw,mets2733[[#This Row],[MW for biomass normalization (g/mol)]],"MET-"&amp;mets2733[[#This Row],[name]]&amp;" --&gt; "&amp;IF((mets2733[[#This Row],[category]]="DNA")+(mets2733[[#This Row],[category]]="RNA"),"MET-ppi_c + ","")&amp;ROUND(ABS(_xlpm.mw/1000),6)&amp;" BIO-"&amp;mets2733[[#This Row],[name]]))</f>
        <v>MET-ppi_c --&gt; 0.174951 BIO-ppi_c</v>
      </c>
      <c r="M59" s="149" cm="1">
        <f t="array" ref="M5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0.37564665994198926</v>
      </c>
      <c r="N59" s="149"/>
      <c r="O59" s="149"/>
      <c r="P59" s="149" t="str">
        <v>"his__L_c":0.080182</v>
      </c>
      <c r="R59" s="149" t="str">
        <v>"histrna_c":-0.080182</v>
      </c>
      <c r="S59" s="149" t="s">
        <v>1416</v>
      </c>
      <c r="T59" s="149">
        <f>(1-T67)/(1-S67)</f>
        <v>0.98206425501775463</v>
      </c>
      <c r="V59" s="149"/>
      <c r="AB59" t="str">
        <v>BIOSYN-METAL-k_c</v>
      </c>
      <c r="AC59" t="str">
        <v>MET-k_c --&gt; 0.039098 BIO-k_c</v>
      </c>
    </row>
    <row r="60" spans="1:29" ht="16" x14ac:dyDescent="0.2">
      <c r="A60" s="144" t="s">
        <v>1679</v>
      </c>
      <c r="B60" t="str">
        <f>SUBSTITUTE(_xlfn.TEXTBEFORE(mets2733[[#This Row],[pasted JSON metabolite keys and values from GSM biomass rxn]],":"),CHAR(34),"")</f>
        <v>protrna_c</v>
      </c>
      <c r="C60" t="str">
        <f>_xlfn.TEXTBEFORE(mets2733[[#This Row],[name]],"_",-1)</f>
        <v>protrna</v>
      </c>
      <c r="D60" t="str">
        <f>_xlfn.XLOOKUP(mets2733[[#This Row],[name w/o location]],metaboliteInfo[name w/o location],metaboliteInfo[suggested category],"")</f>
        <v>PROT</v>
      </c>
      <c r="E60" s="21">
        <f>_xlfn.XLOOKUP(mets2733[[#This Row],[name w/o location]],metaboliteInfo[name w/o location],metaboliteInfo[MW for biomass normalization (g/mol)],0)</f>
        <v>97.115179999999995</v>
      </c>
      <c r="F60" s="21">
        <f>_xlfn.NUMBERVALUE(SUBSTITUTE(_xlfn.TEXTAFTER(mets2733[[#This Row],[pasted JSON metabolite keys and values from GSM biomass rxn]],":"),",",""))</f>
        <v>-0.18020972664902701</v>
      </c>
      <c r="G60" s="21" cm="1">
        <f t="array" ref="G60">_xlfn.LET(_xlpm.id,mets2733[[#This Row],[name w/o location]],IF(IsElementOfSet_DIY(_xlpm.id,{"atp","adp","h","pi","h2o"}),SIGN(mets2733[[#This Row],[raw (GSM) coefficient]])*(ABS(mets2733[[#This Row],[raw (GSM) coefficient]])-$J$2),mets2733[[#This Row],[raw (GSM) coefficient]]))</f>
        <v>-0.18020972664902701</v>
      </c>
      <c r="H60" s="21">
        <f>mets2733[[#This Row],[coeff. w/o GAM]]</f>
        <v>-0.18020972664902701</v>
      </c>
      <c r="I60" s="161">
        <f t="shared" si="0"/>
        <v>-0.17906426290151092</v>
      </c>
      <c r="J60" s="21" cm="1">
        <f t="array" ref="J60">_xlfn.LET(_xlpm.id,mets2733[[#This Row],[name w/o location]],_xlpm.oldcoeff,mets2733[[#This Row],[normalized coeffs]],_xlpm.gam,$J$2-$G$2,_xlfn.IFS(IFERROR(MATCH(_xlpm.id,{"atp","h2o"},0),0)&gt;0,_xlpm.oldcoeff-_xlpm.gam,IFERROR(MATCH(_xlpm.id,{"adp","h","pi"},0),0)&gt;0,_xlpm.oldcoeff+_xlpm.gam,TRUE,_xlpm.oldcoeff))</f>
        <v>-0.17906426290151092</v>
      </c>
      <c r="K60" t="str" cm="1">
        <f t="array" ref="K60">"BIOSYN-"&amp;_xlfn.IFS(IFERROR(MATCH(mets2733[[#This Row],[category]],{0,"0",""},0),0)&gt;0,mets2733[[#This Row],[name]],TRUE,mets2733[[#This Row],[category]]&amp;"-"&amp;mets2733[[#This Row],[name]])</f>
        <v>BIOSYN-PROT-protrna_c</v>
      </c>
      <c r="L60" s="149" t="str" cm="1">
        <f t="array" ref="L60">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60" s="149" cm="1">
        <f t="array" ref="M6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-0.18020972664902707</v>
      </c>
      <c r="N60" s="149"/>
      <c r="O60" s="149"/>
      <c r="P60" s="149" t="str">
        <v>"ile__L_c":0.244699</v>
      </c>
      <c r="R60" s="149" t="str">
        <v>"iletrna_c":-0.244699</v>
      </c>
      <c r="S60" s="173">
        <v>0.30578393847914032</v>
      </c>
      <c r="T60" s="149">
        <f>S60*$T$59</f>
        <v>0.30029947573891186</v>
      </c>
      <c r="U60" cm="1">
        <f t="array" ref="U60:U69">IF(T60:T69&lt;&gt;"",T60:T69,S60:S69)</f>
        <v>0.30029947573891186</v>
      </c>
      <c r="V60" cm="1">
        <f t="array" ref="V60:V69">_xlfn.ANCHORARRAY(U60)/SUM(_xlfn.ANCHORARRAY(U60))</f>
        <v>0.30029947573891191</v>
      </c>
      <c r="AB60" t="str">
        <v>BIOSYN-METAL-mg2_c</v>
      </c>
      <c r="AC60" t="str">
        <v>MET-mg2_c --&gt; 0.024305 BIO-mg2_c</v>
      </c>
    </row>
    <row r="61" spans="1:29" ht="16" x14ac:dyDescent="0.2">
      <c r="A61" s="144" t="s">
        <v>1465</v>
      </c>
      <c r="B61" t="str">
        <f>SUBSTITUTE(_xlfn.TEXTBEFORE(mets2733[[#This Row],[pasted JSON metabolite keys and values from GSM biomass rxn]],":"),CHAR(34),"")</f>
        <v>ps_c</v>
      </c>
      <c r="C61" t="str">
        <f>_xlfn.TEXTBEFORE(mets2733[[#This Row],[name]],"_",-1)</f>
        <v>ps</v>
      </c>
      <c r="D61" t="str">
        <f>_xlfn.XLOOKUP(mets2733[[#This Row],[name w/o location]],metaboliteInfo[name w/o location],metaboliteInfo[suggested category],"")</f>
        <v>LIPID</v>
      </c>
      <c r="E61" s="21">
        <f>_xlfn.XLOOKUP(mets2733[[#This Row],[name w/o location]],metaboliteInfo[name w/o location],metaboliteInfo[MW for biomass normalization (g/mol)],0)</f>
        <v>786.07881442175994</v>
      </c>
      <c r="F61" s="21">
        <f>_xlfn.NUMBERVALUE(SUBSTITUTE(_xlfn.TEXTAFTER(mets2733[[#This Row],[pasted JSON metabolite keys and values from GSM biomass rxn]],":"),",",""))</f>
        <v>-6.4732907446730303E-3</v>
      </c>
      <c r="G61" s="21" cm="1">
        <f t="array" ref="G61">_xlfn.LET(_xlpm.id,mets2733[[#This Row],[name w/o location]],IF(IsElementOfSet_DIY(_xlpm.id,{"atp","adp","h","pi","h2o"}),SIGN(mets2733[[#This Row],[raw (GSM) coefficient]])*(ABS(mets2733[[#This Row],[raw (GSM) coefficient]])-$J$2),mets2733[[#This Row],[raw (GSM) coefficient]]))</f>
        <v>-6.4732907446730303E-3</v>
      </c>
      <c r="H61" s="21">
        <f>mets2733[[#This Row],[coeff. w/o GAM]]</f>
        <v>-6.4732907446730303E-3</v>
      </c>
      <c r="I61" s="161">
        <f t="shared" si="0"/>
        <v>-6.4321446866159333E-3</v>
      </c>
      <c r="J61" s="21" cm="1">
        <f t="array" ref="J61">_xlfn.LET(_xlpm.id,mets2733[[#This Row],[name w/o location]],_xlpm.oldcoeff,mets2733[[#This Row],[normalized coeffs]],_xlpm.gam,$J$2-$G$2,_xlfn.IFS(IFERROR(MATCH(_xlpm.id,{"atp","h2o"},0),0)&gt;0,_xlpm.oldcoeff-_xlpm.gam,IFERROR(MATCH(_xlpm.id,{"adp","h","pi"},0),0)&gt;0,_xlpm.oldcoeff+_xlpm.gam,TRUE,_xlpm.oldcoeff))</f>
        <v>-6.4321446866159333E-3</v>
      </c>
      <c r="K61" t="str" cm="1">
        <f t="array" ref="K61">"BIOSYN-"&amp;_xlfn.IFS(IFERROR(MATCH(mets2733[[#This Row],[category]],{0,"0",""},0),0)&gt;0,mets2733[[#This Row],[name]],TRUE,mets2733[[#This Row],[category]]&amp;"-"&amp;mets2733[[#This Row],[name]])</f>
        <v>BIOSYN-LIPID-ps_c</v>
      </c>
      <c r="L61" s="149" t="str" cm="1">
        <f t="array" ref="L61">IF(IsElementOfSet_DIY(mets2733[[#This Row],[category]],{"ignore","PROT"}),"",_xlfn.LET(_xlpm.mw,mets2733[[#This Row],[MW for biomass normalization (g/mol)]],"MET-"&amp;mets2733[[#This Row],[name]]&amp;" --&gt; "&amp;IF((mets2733[[#This Row],[category]]="DNA")+(mets2733[[#This Row],[category]]="RNA"),"MET-ppi_c + ","")&amp;ROUND(ABS(_xlpm.mw/1000),6)&amp;" BIO-"&amp;mets2733[[#This Row],[name]]))</f>
        <v>MET-ps_c --&gt; 0.786079 BIO-ps_c</v>
      </c>
      <c r="M61" s="149" cm="1">
        <f t="array" ref="M6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-6.4732907446730303E-3</v>
      </c>
      <c r="N61" s="149"/>
      <c r="O61" s="149"/>
      <c r="P61" s="149" t="str">
        <v>"ipcbiom_c":0.005176</v>
      </c>
      <c r="R61" s="149" t="str">
        <v>"ipcbiom_c":-0.005176</v>
      </c>
      <c r="S61" s="174">
        <v>-3.5902250681999095E-3</v>
      </c>
      <c r="T61" s="149">
        <f t="shared" ref="T61:T66" si="2">S61*$T$59</f>
        <v>-3.5258317069478116E-3</v>
      </c>
      <c r="U61">
        <v>-3.5258317069478116E-3</v>
      </c>
      <c r="V61" s="149">
        <v>-3.525831706947812E-3</v>
      </c>
      <c r="AB61" t="str">
        <v>BIOSYN-METAL-mn2_c</v>
      </c>
      <c r="AC61" t="str">
        <v>MET-mn2_c --&gt; 0.054938 BIO-mn2_c</v>
      </c>
    </row>
    <row r="62" spans="1:29" ht="16" x14ac:dyDescent="0.2">
      <c r="A62" s="144" t="s">
        <v>1680</v>
      </c>
      <c r="B62" t="str">
        <f>SUBSTITUTE(_xlfn.TEXTBEFORE(mets2733[[#This Row],[pasted JSON metabolite keys and values from GSM biomass rxn]],":"),CHAR(34),"")</f>
        <v>sertrna_c</v>
      </c>
      <c r="C62" t="str">
        <f>_xlfn.TEXTBEFORE(mets2733[[#This Row],[name]],"_",-1)</f>
        <v>sertrna</v>
      </c>
      <c r="D62" t="str">
        <f>_xlfn.XLOOKUP(mets2733[[#This Row],[name w/o location]],metaboliteInfo[name w/o location],metaboliteInfo[suggested category],"")</f>
        <v>PROT</v>
      </c>
      <c r="E62" s="21">
        <f>_xlfn.XLOOKUP(mets2733[[#This Row],[name w/o location]],metaboliteInfo[name w/o location],metaboliteInfo[MW for biomass normalization (g/mol)],0)</f>
        <v>88.085239999999999</v>
      </c>
      <c r="F62" s="21">
        <f>_xlfn.NUMBERVALUE(SUBSTITUTE(_xlfn.TEXTAFTER(mets2733[[#This Row],[pasted JSON metabolite keys and values from GSM biomass rxn]],":"),",",""))</f>
        <v>-0.22966695032539899</v>
      </c>
      <c r="G62" s="21" cm="1">
        <f t="array" ref="G62">_xlfn.LET(_xlpm.id,mets2733[[#This Row],[name w/o location]],IF(IsElementOfSet_DIY(_xlpm.id,{"atp","adp","h","pi","h2o"}),SIGN(mets2733[[#This Row],[raw (GSM) coefficient]])*(ABS(mets2733[[#This Row],[raw (GSM) coefficient]])-$J$2),mets2733[[#This Row],[raw (GSM) coefficient]]))</f>
        <v>-0.22966695032539899</v>
      </c>
      <c r="H62" s="21">
        <f>mets2733[[#This Row],[coeff. w/o GAM]]</f>
        <v>-0.22966695032539899</v>
      </c>
      <c r="I62" s="161">
        <f t="shared" si="0"/>
        <v>-0.22820712254311348</v>
      </c>
      <c r="J62" s="21" cm="1">
        <f t="array" ref="J62">_xlfn.LET(_xlpm.id,mets2733[[#This Row],[name w/o location]],_xlpm.oldcoeff,mets2733[[#This Row],[normalized coeffs]],_xlpm.gam,$J$2-$G$2,_xlfn.IFS(IFERROR(MATCH(_xlpm.id,{"atp","h2o"},0),0)&gt;0,_xlpm.oldcoeff-_xlpm.gam,IFERROR(MATCH(_xlpm.id,{"adp","h","pi"},0),0)&gt;0,_xlpm.oldcoeff+_xlpm.gam,TRUE,_xlpm.oldcoeff))</f>
        <v>-0.22820712254311348</v>
      </c>
      <c r="K62" t="str" cm="1">
        <f t="array" ref="K62">"BIOSYN-"&amp;_xlfn.IFS(IFERROR(MATCH(mets2733[[#This Row],[category]],{0,"0",""},0),0)&gt;0,mets2733[[#This Row],[name]],TRUE,mets2733[[#This Row],[category]]&amp;"-"&amp;mets2733[[#This Row],[name]])</f>
        <v>BIOSYN-PROT-sertrna_c</v>
      </c>
      <c r="L62" s="149" t="str" cm="1">
        <f t="array" ref="L62">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62" s="149" cm="1">
        <f t="array" ref="M6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-0.22966695032539902</v>
      </c>
      <c r="N62" s="149"/>
      <c r="O62" s="149"/>
      <c r="P62" s="149" t="str">
        <v>"k_c":0.60365</v>
      </c>
      <c r="R62" s="149" t="str">
        <v>"k_c":-0.60365</v>
      </c>
      <c r="S62" s="173">
        <v>9.4053296679395947E-3</v>
      </c>
      <c r="T62" s="149">
        <f t="shared" si="2"/>
        <v>9.2366380735414838E-3</v>
      </c>
      <c r="U62">
        <v>9.2366380735414838E-3</v>
      </c>
      <c r="V62" s="149">
        <v>9.2366380735414855E-3</v>
      </c>
      <c r="AB62" t="str">
        <v>BIOSYN-METAL-zn2_c</v>
      </c>
      <c r="AC62" t="str">
        <v>MET-zn2_c --&gt; 0.06538 BIO-zn2_c</v>
      </c>
    </row>
    <row r="63" spans="1:29" ht="16" x14ac:dyDescent="0.2">
      <c r="A63" s="144" t="s">
        <v>1466</v>
      </c>
      <c r="B63" t="str">
        <f>SUBSTITUTE(_xlfn.TEXTBEFORE(mets2733[[#This Row],[pasted JSON metabolite keys and values from GSM biomass rxn]],":"),CHAR(34),"")</f>
        <v>so4_c</v>
      </c>
      <c r="C63" t="str">
        <f>_xlfn.TEXTBEFORE(mets2733[[#This Row],[name]],"_",-1)</f>
        <v>so4</v>
      </c>
      <c r="D63" t="str">
        <f>_xlfn.XLOOKUP(mets2733[[#This Row],[name w/o location]],metaboliteInfo[name w/o location],metaboliteInfo[suggested category],"")</f>
        <v>SO4</v>
      </c>
      <c r="E63" s="21">
        <f>_xlfn.XLOOKUP(mets2733[[#This Row],[name w/o location]],metaboliteInfo[name w/o location],metaboliteInfo[MW for biomass normalization (g/mol)],0)</f>
        <v>96.062600000000003</v>
      </c>
      <c r="F63" s="21">
        <f>_xlfn.NUMBERVALUE(SUBSTITUTE(_xlfn.TEXTAFTER(mets2733[[#This Row],[pasted JSON metabolite keys and values from GSM biomass rxn]],":"),",",""))</f>
        <v>-3.04253435075909E-2</v>
      </c>
      <c r="G63" s="21" cm="1">
        <f t="array" ref="G63">_xlfn.LET(_xlpm.id,mets2733[[#This Row],[name w/o location]],IF(IsElementOfSet_DIY(_xlpm.id,{"atp","adp","h","pi","h2o"}),SIGN(mets2733[[#This Row],[raw (GSM) coefficient]])*(ABS(mets2733[[#This Row],[raw (GSM) coefficient]])-$J$2),mets2733[[#This Row],[raw (GSM) coefficient]]))</f>
        <v>-3.04253435075909E-2</v>
      </c>
      <c r="H63" s="21">
        <f>mets2733[[#This Row],[coeff. w/o GAM]]</f>
        <v>-3.04253435075909E-2</v>
      </c>
      <c r="I63" s="161">
        <f t="shared" si="0"/>
        <v>-3.0231951460215206E-2</v>
      </c>
      <c r="J63" s="21" cm="1">
        <f t="array" ref="J63">_xlfn.LET(_xlpm.id,mets2733[[#This Row],[name w/o location]],_xlpm.oldcoeff,mets2733[[#This Row],[normalized coeffs]],_xlpm.gam,$J$2-$G$2,_xlfn.IFS(IFERROR(MATCH(_xlpm.id,{"atp","h2o"},0),0)&gt;0,_xlpm.oldcoeff-_xlpm.gam,IFERROR(MATCH(_xlpm.id,{"adp","h","pi"},0),0)&gt;0,_xlpm.oldcoeff+_xlpm.gam,TRUE,_xlpm.oldcoeff))</f>
        <v>-3.0231951460215206E-2</v>
      </c>
      <c r="K63" t="str" cm="1">
        <f t="array" ref="K63">"BIOSYN-"&amp;_xlfn.IFS(IFERROR(MATCH(mets2733[[#This Row],[category]],{0,"0",""},0),0)&gt;0,mets2733[[#This Row],[name]],TRUE,mets2733[[#This Row],[category]]&amp;"-"&amp;mets2733[[#This Row],[name]])</f>
        <v>BIOSYN-SO4-so4_c</v>
      </c>
      <c r="L63" s="149" t="str" cm="1">
        <f t="array" ref="L63">IF(IsElementOfSet_DIY(mets2733[[#This Row],[category]],{"ignore","PROT"}),"",_xlfn.LET(_xlpm.mw,mets2733[[#This Row],[MW for biomass normalization (g/mol)]],"MET-"&amp;mets2733[[#This Row],[name]]&amp;" --&gt; "&amp;IF((mets2733[[#This Row],[category]]="DNA")+(mets2733[[#This Row],[category]]="RNA"),"MET-ppi_c + ","")&amp;ROUND(ABS(_xlpm.mw/1000),6)&amp;" BIO-"&amp;mets2733[[#This Row],[name]]))</f>
        <v>MET-so4_c --&gt; 0.096063 BIO-so4_c</v>
      </c>
      <c r="M63" s="149" cm="1">
        <f t="array" ref="M6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-3.0425343507590862E-2</v>
      </c>
      <c r="N63" s="149"/>
      <c r="O63" s="149"/>
      <c r="P63" s="149" t="str">
        <v>"leu__L_c":0.332774</v>
      </c>
      <c r="R63" s="149" t="str">
        <v>"leutrna_c":-0.332774</v>
      </c>
      <c r="S63" s="174">
        <v>7.9077198839356502E-2</v>
      </c>
      <c r="T63" s="149">
        <f t="shared" si="2"/>
        <v>7.7658890367063499E-2</v>
      </c>
      <c r="U63">
        <v>7.7658890367063499E-2</v>
      </c>
      <c r="V63" s="149">
        <v>7.7658890367063513E-2</v>
      </c>
      <c r="AB63" t="str">
        <v>BIOSYN-other-co2_c</v>
      </c>
      <c r="AC63" t="str">
        <v>MET-co2_c --&gt; 0.04401 BIO-co2_c</v>
      </c>
    </row>
    <row r="64" spans="1:29" ht="16" x14ac:dyDescent="0.2">
      <c r="A64" s="144" t="s">
        <v>1681</v>
      </c>
      <c r="B64" t="str">
        <f>SUBSTITUTE(_xlfn.TEXTBEFORE(mets2733[[#This Row],[pasted JSON metabolite keys and values from GSM biomass rxn]],":"),CHAR(34),"")</f>
        <v>stcoa_c</v>
      </c>
      <c r="C64" t="str">
        <f>_xlfn.TEXTBEFORE(mets2733[[#This Row],[name]],"_",-1)</f>
        <v>stcoa</v>
      </c>
      <c r="D64" t="str">
        <f>_xlfn.XLOOKUP(mets2733[[#This Row],[name w/o location]],metaboliteInfo[name w/o location],metaboliteInfo[suggested category],"")</f>
        <v>LIPID</v>
      </c>
      <c r="E64" s="21">
        <f>_xlfn.XLOOKUP(mets2733[[#This Row],[name w/o location]],metaboliteInfo[name w/o location],metaboliteInfo[MW for biomass normalization (g/mol)],0)</f>
        <v>1029.9643229999999</v>
      </c>
      <c r="F64" s="21">
        <f>_xlfn.NUMBERVALUE(SUBSTITUTE(_xlfn.TEXTAFTER(mets2733[[#This Row],[pasted JSON metabolite keys and values from GSM biomass rxn]],":"),",",""))</f>
        <v>-8.1673633081060505E-5</v>
      </c>
      <c r="G64" s="21" cm="1">
        <f t="array" ref="G64">_xlfn.LET(_xlpm.id,mets2733[[#This Row],[name w/o location]],IF(IsElementOfSet_DIY(_xlpm.id,{"atp","adp","h","pi","h2o"}),SIGN(mets2733[[#This Row],[raw (GSM) coefficient]])*(ABS(mets2733[[#This Row],[raw (GSM) coefficient]])-$J$2),mets2733[[#This Row],[raw (GSM) coefficient]]))</f>
        <v>-8.1673633081060505E-5</v>
      </c>
      <c r="H64" s="21">
        <f>mets2733[[#This Row],[coeff. w/o GAM]]</f>
        <v>-8.1673633081060505E-5</v>
      </c>
      <c r="I64" s="161">
        <f t="shared" si="0"/>
        <v>-8.1154492479929181E-5</v>
      </c>
      <c r="J64" s="21" cm="1">
        <f t="array" ref="J64">_xlfn.LET(_xlpm.id,mets2733[[#This Row],[name w/o location]],_xlpm.oldcoeff,mets2733[[#This Row],[normalized coeffs]],_xlpm.gam,$J$2-$G$2,_xlfn.IFS(IFERROR(MATCH(_xlpm.id,{"atp","h2o"},0),0)&gt;0,_xlpm.oldcoeff-_xlpm.gam,IFERROR(MATCH(_xlpm.id,{"adp","h","pi"},0),0)&gt;0,_xlpm.oldcoeff+_xlpm.gam,TRUE,_xlpm.oldcoeff))</f>
        <v>-8.1154492479929181E-5</v>
      </c>
      <c r="K64" t="str" cm="1">
        <f t="array" ref="K64">"BIOSYN-"&amp;_xlfn.IFS(IFERROR(MATCH(mets2733[[#This Row],[category]],{0,"0",""},0),0)&gt;0,mets2733[[#This Row],[name]],TRUE,mets2733[[#This Row],[category]]&amp;"-"&amp;mets2733[[#This Row],[name]])</f>
        <v>BIOSYN-LIPID-stcoa_c</v>
      </c>
      <c r="L64" s="149" t="str" cm="1">
        <f t="array" ref="L64">IF(IsElementOfSet_DIY(mets2733[[#This Row],[category]],{"ignore","PROT"}),"",_xlfn.LET(_xlpm.mw,mets2733[[#This Row],[MW for biomass normalization (g/mol)]],"MET-"&amp;mets2733[[#This Row],[name]]&amp;" --&gt; "&amp;IF((mets2733[[#This Row],[category]]="DNA")+(mets2733[[#This Row],[category]]="RNA"),"MET-ppi_c + ","")&amp;ROUND(ABS(_xlpm.mw/1000),6)&amp;" BIO-"&amp;mets2733[[#This Row],[name]]))</f>
        <v>MET-stcoa_c --&gt; 1.029964 BIO-stcoa_c</v>
      </c>
      <c r="M64" s="149" cm="1">
        <f t="array" ref="M6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-8.1673633081060505E-5</v>
      </c>
      <c r="N64" s="149"/>
      <c r="O64" s="149"/>
      <c r="P64" s="149" t="str">
        <v>"lys__L_c":0.27295</v>
      </c>
      <c r="R64" s="149" t="str">
        <v>"lystrna_c":-0.27295</v>
      </c>
      <c r="S64" s="173">
        <v>2.5155241032744094E-2</v>
      </c>
      <c r="T64" s="149">
        <f t="shared" si="2"/>
        <v>2.470406304461388E-2</v>
      </c>
      <c r="U64">
        <v>2.470406304461388E-2</v>
      </c>
      <c r="V64" s="149">
        <v>2.4704063044613884E-2</v>
      </c>
      <c r="AB64" t="str">
        <v>BIOSYN-other-o2_c</v>
      </c>
      <c r="AC64" t="str">
        <v>MET-o2_c --&gt; 0.031999 BIO-o2_c</v>
      </c>
    </row>
    <row r="65" spans="1:29" ht="16" x14ac:dyDescent="0.2">
      <c r="A65" s="144" t="s">
        <v>1468</v>
      </c>
      <c r="B65" t="str">
        <f>SUBSTITUTE(_xlfn.TEXTBEFORE(mets2733[[#This Row],[pasted JSON metabolite keys and values from GSM biomass rxn]],":"),CHAR(34),"")</f>
        <v>tag_c</v>
      </c>
      <c r="C65" t="str">
        <f>_xlfn.TEXTBEFORE(mets2733[[#This Row],[name]],"_",-1)</f>
        <v>tag</v>
      </c>
      <c r="D65" t="str">
        <f>_xlfn.XLOOKUP(mets2733[[#This Row],[name w/o location]],metaboliteInfo[name w/o location],metaboliteInfo[suggested category],"")</f>
        <v>LIPID</v>
      </c>
      <c r="E65" s="21">
        <f>_xlfn.XLOOKUP(mets2733[[#This Row],[name w/o location]],metaboliteInfo[name w/o location],metaboliteInfo[MW for biomass normalization (g/mol)],0)</f>
        <v>885.51292863263996</v>
      </c>
      <c r="F65" s="21">
        <f>_xlfn.NUMBERVALUE(SUBSTITUTE(_xlfn.TEXTAFTER(mets2733[[#This Row],[pasted JSON metabolite keys and values from GSM biomass rxn]],":"),",",""))</f>
        <v>-1.0225908937919401E-2</v>
      </c>
      <c r="G65" s="21" cm="1">
        <f t="array" ref="G65">_xlfn.LET(_xlpm.id,mets2733[[#This Row],[name w/o location]],IF(IsElementOfSet_DIY(_xlpm.id,{"atp","adp","h","pi","h2o"}),SIGN(mets2733[[#This Row],[raw (GSM) coefficient]])*(ABS(mets2733[[#This Row],[raw (GSM) coefficient]])-$J$2),mets2733[[#This Row],[raw (GSM) coefficient]]))</f>
        <v>-1.0225908937919401E-2</v>
      </c>
      <c r="H65" s="21">
        <f>mets2733[[#This Row],[coeff. w/o GAM]]</f>
        <v>-1.0225908937919401E-2</v>
      </c>
      <c r="I65" s="161">
        <f t="shared" si="0"/>
        <v>-1.0160910182349452E-2</v>
      </c>
      <c r="J65" s="21" cm="1">
        <f t="array" ref="J65">_xlfn.LET(_xlpm.id,mets2733[[#This Row],[name w/o location]],_xlpm.oldcoeff,mets2733[[#This Row],[normalized coeffs]],_xlpm.gam,$J$2-$G$2,_xlfn.IFS(IFERROR(MATCH(_xlpm.id,{"atp","h2o"},0),0)&gt;0,_xlpm.oldcoeff-_xlpm.gam,IFERROR(MATCH(_xlpm.id,{"adp","h","pi"},0),0)&gt;0,_xlpm.oldcoeff+_xlpm.gam,TRUE,_xlpm.oldcoeff))</f>
        <v>-1.0160910182349452E-2</v>
      </c>
      <c r="K65" t="str" cm="1">
        <f t="array" ref="K65">"BIOSYN-"&amp;_xlfn.IFS(IFERROR(MATCH(mets2733[[#This Row],[category]],{0,"0",""},0),0)&gt;0,mets2733[[#This Row],[name]],TRUE,mets2733[[#This Row],[category]]&amp;"-"&amp;mets2733[[#This Row],[name]])</f>
        <v>BIOSYN-LIPID-tag_c</v>
      </c>
      <c r="L65" s="149" t="str" cm="1">
        <f t="array" ref="L65">IF(IsElementOfSet_DIY(mets2733[[#This Row],[category]],{"ignore","PROT"}),"",_xlfn.LET(_xlpm.mw,mets2733[[#This Row],[MW for biomass normalization (g/mol)]],"MET-"&amp;mets2733[[#This Row],[name]]&amp;" --&gt; "&amp;IF((mets2733[[#This Row],[category]]="DNA")+(mets2733[[#This Row],[category]]="RNA"),"MET-ppi_c + ","")&amp;ROUND(ABS(_xlpm.mw/1000),6)&amp;" BIO-"&amp;mets2733[[#This Row],[name]]))</f>
        <v>MET-tag_c --&gt; 0.885513 BIO-tag_c</v>
      </c>
      <c r="M65" s="149" cm="1">
        <f t="array" ref="M6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-1.0225908937919401E-2</v>
      </c>
      <c r="N65" s="149"/>
      <c r="O65" s="149"/>
      <c r="P65" s="149" t="str">
        <v>"mannan_c":0.49015</v>
      </c>
      <c r="R65" s="149" t="str">
        <v>"mannan_c":-0.49015</v>
      </c>
      <c r="S65" s="174">
        <v>-5.5586024199253041E-5</v>
      </c>
      <c r="T65" s="149">
        <f t="shared" si="2"/>
        <v>-5.4589047444638315E-5</v>
      </c>
      <c r="U65">
        <v>-5.4589047444638315E-5</v>
      </c>
      <c r="V65" s="149">
        <v>-5.4589047444638322E-5</v>
      </c>
      <c r="AB65" t="str">
        <v>BIOSYN-PI-pi_c</v>
      </c>
      <c r="AC65" t="str">
        <v>MET-pi_c --&gt; 0.095979 BIO-pi_c</v>
      </c>
    </row>
    <row r="66" spans="1:29" ht="16" x14ac:dyDescent="0.2">
      <c r="A66" s="144" t="s">
        <v>1682</v>
      </c>
      <c r="B66" t="str">
        <f>SUBSTITUTE(_xlfn.TEXTBEFORE(mets2733[[#This Row],[pasted JSON metabolite keys and values from GSM biomass rxn]],":"),CHAR(34),"")</f>
        <v>thrtrna_c</v>
      </c>
      <c r="C66" t="str">
        <f>_xlfn.TEXTBEFORE(mets2733[[#This Row],[name]],"_",-1)</f>
        <v>thrtrna</v>
      </c>
      <c r="D66" t="str">
        <f>_xlfn.XLOOKUP(mets2733[[#This Row],[name w/o location]],metaboliteInfo[name w/o location],metaboliteInfo[suggested category],"")</f>
        <v>PROT</v>
      </c>
      <c r="E66" s="21">
        <f>_xlfn.XLOOKUP(mets2733[[#This Row],[name w/o location]],metaboliteInfo[name w/o location],metaboliteInfo[MW for biomass normalization (g/mol)],0)</f>
        <v>102.11181999999999</v>
      </c>
      <c r="F66" s="21">
        <f>_xlfn.NUMBERVALUE(SUBSTITUTE(_xlfn.TEXTAFTER(mets2733[[#This Row],[pasted JSON metabolite keys and values from GSM biomass rxn]],":"),",",""))</f>
        <v>-0.23786031060648299</v>
      </c>
      <c r="G66" s="21" cm="1">
        <f t="array" ref="G66">_xlfn.LET(_xlpm.id,mets2733[[#This Row],[name w/o location]],IF(IsElementOfSet_DIY(_xlpm.id,{"atp","adp","h","pi","h2o"}),SIGN(mets2733[[#This Row],[raw (GSM) coefficient]])*(ABS(mets2733[[#This Row],[raw (GSM) coefficient]])-$J$2),mets2733[[#This Row],[raw (GSM) coefficient]]))</f>
        <v>-0.23786031060648299</v>
      </c>
      <c r="H66" s="21">
        <f>mets2733[[#This Row],[coeff. w/o GAM]]</f>
        <v>-0.23786031060648299</v>
      </c>
      <c r="I66" s="161">
        <f t="shared" si="0"/>
        <v>-0.23634840352000655</v>
      </c>
      <c r="J66" s="21" cm="1">
        <f t="array" ref="J66">_xlfn.LET(_xlpm.id,mets2733[[#This Row],[name w/o location]],_xlpm.oldcoeff,mets2733[[#This Row],[normalized coeffs]],_xlpm.gam,$J$2-$G$2,_xlfn.IFS(IFERROR(MATCH(_xlpm.id,{"atp","h2o"},0),0)&gt;0,_xlpm.oldcoeff-_xlpm.gam,IFERROR(MATCH(_xlpm.id,{"adp","h","pi"},0),0)&gt;0,_xlpm.oldcoeff+_xlpm.gam,TRUE,_xlpm.oldcoeff))</f>
        <v>-0.23634840352000655</v>
      </c>
      <c r="K66" t="str" cm="1">
        <f t="array" ref="K66">"BIOSYN-"&amp;_xlfn.IFS(IFERROR(MATCH(mets2733[[#This Row],[category]],{0,"0",""},0),0)&gt;0,mets2733[[#This Row],[name]],TRUE,mets2733[[#This Row],[category]]&amp;"-"&amp;mets2733[[#This Row],[name]])</f>
        <v>BIOSYN-PROT-thrtrna_c</v>
      </c>
      <c r="L66" s="149" t="str" cm="1">
        <f t="array" ref="L66">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66" s="149" cm="1">
        <f t="array" ref="M6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-0.23786031060648305</v>
      </c>
      <c r="N66" s="149"/>
      <c r="O66" s="149"/>
      <c r="P66" s="149" t="str">
        <v>"met__L_c":0.047361</v>
      </c>
      <c r="R66" s="149" t="str">
        <v>"mettrna_c":-0.047361</v>
      </c>
      <c r="S66" s="173">
        <v>1.0062099191299278E-2</v>
      </c>
      <c r="T66" s="149">
        <f t="shared" si="2"/>
        <v>9.8816279462180766E-3</v>
      </c>
      <c r="U66">
        <v>9.8816279462180766E-3</v>
      </c>
      <c r="V66" s="149">
        <v>9.8816279462180783E-3</v>
      </c>
      <c r="AB66" t="str">
        <v>BIOSYN-RNA-atp_c</v>
      </c>
      <c r="AC66" t="str">
        <v>MET-atp_c --&gt; MET-ppi_c + 0.328198 BIO-atp_c</v>
      </c>
    </row>
    <row r="67" spans="1:29" ht="16" x14ac:dyDescent="0.2">
      <c r="A67" s="144" t="s">
        <v>1469</v>
      </c>
      <c r="B67" t="str">
        <f>SUBSTITUTE(_xlfn.TEXTBEFORE(mets2733[[#This Row],[pasted JSON metabolite keys and values from GSM biomass rxn]],":"),CHAR(34),"")</f>
        <v>tre_c</v>
      </c>
      <c r="C67" t="str">
        <f>_xlfn.TEXTBEFORE(mets2733[[#This Row],[name]],"_",-1)</f>
        <v>tre</v>
      </c>
      <c r="D67" t="str">
        <f>_xlfn.XLOOKUP(mets2733[[#This Row],[name w/o location]],metaboliteInfo[name w/o location],metaboliteInfo[suggested category],"")</f>
        <v>CARB</v>
      </c>
      <c r="E67" s="21">
        <f>_xlfn.XLOOKUP(mets2733[[#This Row],[name w/o location]],metaboliteInfo[name w/o location],metaboliteInfo[MW for biomass normalization (g/mol)],0)</f>
        <v>342.29647999999997</v>
      </c>
      <c r="F67" s="21">
        <f>_xlfn.NUMBERVALUE(SUBSTITUTE(_xlfn.TEXTAFTER(mets2733[[#This Row],[pasted JSON metabolite keys and values from GSM biomass rxn]],":"),",",""))</f>
        <v>-0.13418898819459399</v>
      </c>
      <c r="G67" s="21" cm="1">
        <f t="array" ref="G67">_xlfn.LET(_xlpm.id,mets2733[[#This Row],[name w/o location]],IF(IsElementOfSet_DIY(_xlpm.id,{"atp","adp","h","pi","h2o"}),SIGN(mets2733[[#This Row],[raw (GSM) coefficient]])*(ABS(mets2733[[#This Row],[raw (GSM) coefficient]])-$J$2),mets2733[[#This Row],[raw (GSM) coefficient]]))</f>
        <v>-0.13418898819459399</v>
      </c>
      <c r="H67" s="21">
        <f>mets2733[[#This Row],[coeff. w/o GAM]]</f>
        <v>-0.13418898819459399</v>
      </c>
      <c r="I67" s="161">
        <f t="shared" si="0"/>
        <v>-0.13333604521448431</v>
      </c>
      <c r="J67" s="21" cm="1">
        <f t="array" ref="J67">_xlfn.LET(_xlpm.id,mets2733[[#This Row],[name w/o location]],_xlpm.oldcoeff,mets2733[[#This Row],[normalized coeffs]],_xlpm.gam,$J$2-$G$2,_xlfn.IFS(IFERROR(MATCH(_xlpm.id,{"atp","h2o"},0),0)&gt;0,_xlpm.oldcoeff-_xlpm.gam,IFERROR(MATCH(_xlpm.id,{"adp","h","pi"},0),0)&gt;0,_xlpm.oldcoeff+_xlpm.gam,TRUE,_xlpm.oldcoeff))</f>
        <v>-0.13333604521448431</v>
      </c>
      <c r="K67" t="str" cm="1">
        <f t="array" ref="K67">"BIOSYN-"&amp;_xlfn.IFS(IFERROR(MATCH(mets2733[[#This Row],[category]],{0,"0",""},0),0)&gt;0,mets2733[[#This Row],[name]],TRUE,mets2733[[#This Row],[category]]&amp;"-"&amp;mets2733[[#This Row],[name]])</f>
        <v>BIOSYN-CARB-tre_c</v>
      </c>
      <c r="L67" s="149" t="str" cm="1">
        <f t="array" ref="L67">IF(IsElementOfSet_DIY(mets2733[[#This Row],[category]],{"ignore","PROT"}),"",_xlfn.LET(_xlpm.mw,mets2733[[#This Row],[MW for biomass normalization (g/mol)]],"MET-"&amp;mets2733[[#This Row],[name]]&amp;" --&gt; "&amp;IF((mets2733[[#This Row],[category]]="DNA")+(mets2733[[#This Row],[category]]="RNA"),"MET-ppi_c + ","")&amp;ROUND(ABS(_xlpm.mw/1000),6)&amp;" BIO-"&amp;mets2733[[#This Row],[name]]))</f>
        <v>MET-tre_c --&gt; 0.342296 BIO-tre_c</v>
      </c>
      <c r="M67" s="149" cm="1">
        <f t="array" ref="M6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-0.13418898819459396</v>
      </c>
      <c r="N67" s="149"/>
      <c r="O67" s="149"/>
      <c r="P67" s="149" t="str">
        <v>"mg2_c":0.063607</v>
      </c>
      <c r="R67" s="149" t="str">
        <v>"mg2_c":-0.063607</v>
      </c>
      <c r="S67" s="174">
        <v>0.45828391850960704</v>
      </c>
      <c r="T67" s="149">
        <v>0.46800000000000003</v>
      </c>
      <c r="U67">
        <v>0.46800000000000003</v>
      </c>
      <c r="V67" s="149">
        <v>0.46800000000000008</v>
      </c>
      <c r="AB67" t="str">
        <v>BIOSYN-RNA-ctp_c</v>
      </c>
      <c r="AC67" t="str">
        <v>MET-ctp_c --&gt; MET-ppi_c + 0.304173 BIO-ctp_c</v>
      </c>
    </row>
    <row r="68" spans="1:29" ht="16" x14ac:dyDescent="0.2">
      <c r="A68" s="144" t="s">
        <v>1683</v>
      </c>
      <c r="B68" t="str">
        <f>SUBSTITUTE(_xlfn.TEXTBEFORE(mets2733[[#This Row],[pasted JSON metabolite keys and values from GSM biomass rxn]],":"),CHAR(34),"")</f>
        <v>trnaala_c</v>
      </c>
      <c r="C68" t="str">
        <f>_xlfn.TEXTBEFORE(mets2733[[#This Row],[name]],"_",-1)</f>
        <v>trnaala</v>
      </c>
      <c r="D68" t="str">
        <f>_xlfn.XLOOKUP(mets2733[[#This Row],[name w/o location]],metaboliteInfo[name w/o location],metaboliteInfo[suggested category],"")</f>
        <v>ignore</v>
      </c>
      <c r="E68" s="21">
        <f>_xlfn.XLOOKUP(mets2733[[#This Row],[name w/o location]],metaboliteInfo[name w/o location],metaboliteInfo[MW for biomass normalization (g/mol)],0)</f>
        <v>0</v>
      </c>
      <c r="F68" s="21">
        <f>_xlfn.NUMBERVALUE(SUBSTITUTE(_xlfn.TEXTAFTER(mets2733[[#This Row],[pasted JSON metabolite keys and values from GSM biomass rxn]],":"),",",""))</f>
        <v>0.41721585554762097</v>
      </c>
      <c r="G68" s="21" cm="1">
        <f t="array" ref="G68">_xlfn.LET(_xlpm.id,mets2733[[#This Row],[name w/o location]],IF(IsElementOfSet_DIY(_xlpm.id,{"atp","adp","h","pi","h2o"}),SIGN(mets2733[[#This Row],[raw (GSM) coefficient]])*(ABS(mets2733[[#This Row],[raw (GSM) coefficient]])-$J$2),mets2733[[#This Row],[raw (GSM) coefficient]]))</f>
        <v>0.41721585554762097</v>
      </c>
      <c r="H68" s="21">
        <f>mets2733[[#This Row],[coeff. w/o GAM]]</f>
        <v>0.41721585554762097</v>
      </c>
      <c r="I68" s="161">
        <f t="shared" si="0"/>
        <v>0.41456391413299648</v>
      </c>
      <c r="J68" s="21" cm="1">
        <f t="array" ref="J68">_xlfn.LET(_xlpm.id,mets2733[[#This Row],[name w/o location]],_xlpm.oldcoeff,mets2733[[#This Row],[normalized coeffs]],_xlpm.gam,$J$2-$G$2,_xlfn.IFS(IFERROR(MATCH(_xlpm.id,{"atp","h2o"},0),0)&gt;0,_xlpm.oldcoeff-_xlpm.gam,IFERROR(MATCH(_xlpm.id,{"adp","h","pi"},0),0)&gt;0,_xlpm.oldcoeff+_xlpm.gam,TRUE,_xlpm.oldcoeff))</f>
        <v>0.41456391413299648</v>
      </c>
      <c r="K68" t="str" cm="1">
        <f t="array" ref="K68">"BIOSYN-"&amp;_xlfn.IFS(IFERROR(MATCH(mets2733[[#This Row],[category]],{0,"0",""},0),0)&gt;0,mets2733[[#This Row],[name]],TRUE,mets2733[[#This Row],[category]]&amp;"-"&amp;mets2733[[#This Row],[name]])</f>
        <v>BIOSYN-ignore-trnaala_c</v>
      </c>
      <c r="L68" s="149" t="str" cm="1">
        <f t="array" ref="L68">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68" s="149" cm="1">
        <f t="array" ref="M6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0.41721585554762108</v>
      </c>
      <c r="N68" s="149"/>
      <c r="O68" s="149"/>
      <c r="P68" s="149" t="str">
        <v>"mn2_c":9.4e-05</v>
      </c>
      <c r="R68" s="149" t="str">
        <v>"mn2_c":-9.4e-05</v>
      </c>
      <c r="S68" s="173">
        <v>0.11290196890304988</v>
      </c>
      <c r="T68" s="149">
        <f t="shared" ref="T68:T69" si="3">S68*$T$59</f>
        <v>0.11087698798081137</v>
      </c>
      <c r="U68">
        <v>0.11087698798081137</v>
      </c>
      <c r="V68" s="149">
        <v>0.11087698798081139</v>
      </c>
      <c r="AB68" t="str">
        <v>BIOSYN-RNA-gtp_c</v>
      </c>
      <c r="AC68" t="str">
        <v>MET-gtp_c --&gt; MET-ppi_c + 0.344197 BIO-gtp_c</v>
      </c>
    </row>
    <row r="69" spans="1:29" ht="16" x14ac:dyDescent="0.2">
      <c r="A69" s="144" t="s">
        <v>1684</v>
      </c>
      <c r="B69" t="str">
        <f>SUBSTITUTE(_xlfn.TEXTBEFORE(mets2733[[#This Row],[pasted JSON metabolite keys and values from GSM biomass rxn]],":"),CHAR(34),"")</f>
        <v>trnaarg_c</v>
      </c>
      <c r="C69" t="str">
        <f>_xlfn.TEXTBEFORE(mets2733[[#This Row],[name]],"_",-1)</f>
        <v>trnaarg</v>
      </c>
      <c r="D69" t="str">
        <f>_xlfn.XLOOKUP(mets2733[[#This Row],[name w/o location]],metaboliteInfo[name w/o location],metaboliteInfo[suggested category],"")</f>
        <v>ignore</v>
      </c>
      <c r="E69" s="21">
        <f>_xlfn.XLOOKUP(mets2733[[#This Row],[name w/o location]],metaboliteInfo[name w/o location],metaboliteInfo[MW for biomass normalization (g/mol)],0)</f>
        <v>0</v>
      </c>
      <c r="F69" s="21">
        <f>_xlfn.NUMBERVALUE(SUBSTITUTE(_xlfn.TEXTAFTER(mets2733[[#This Row],[pasted JSON metabolite keys and values from GSM biomass rxn]],":"),",",""))</f>
        <v>0.16483651169934699</v>
      </c>
      <c r="G69" s="21" cm="1">
        <f t="array" ref="G69">_xlfn.LET(_xlpm.id,mets2733[[#This Row],[name w/o location]],IF(IsElementOfSet_DIY(_xlpm.id,{"atp","adp","h","pi","h2o"}),SIGN(mets2733[[#This Row],[raw (GSM) coefficient]])*(ABS(mets2733[[#This Row],[raw (GSM) coefficient]])-$J$2),mets2733[[#This Row],[raw (GSM) coefficient]]))</f>
        <v>0.16483651169934699</v>
      </c>
      <c r="H69" s="21">
        <f>mets2733[[#This Row],[coeff. w/o GAM]]</f>
        <v>0.16483651169934699</v>
      </c>
      <c r="I69" s="161">
        <f t="shared" si="0"/>
        <v>0.16378876443326104</v>
      </c>
      <c r="J69" s="21" cm="1">
        <f t="array" ref="J69">_xlfn.LET(_xlpm.id,mets2733[[#This Row],[name w/o location]],_xlpm.oldcoeff,mets2733[[#This Row],[normalized coeffs]],_xlpm.gam,$J$2-$G$2,_xlfn.IFS(IFERROR(MATCH(_xlpm.id,{"atp","h2o"},0),0)&gt;0,_xlpm.oldcoeff-_xlpm.gam,IFERROR(MATCH(_xlpm.id,{"adp","h","pi"},0),0)&gt;0,_xlpm.oldcoeff+_xlpm.gam,TRUE,_xlpm.oldcoeff))</f>
        <v>0.16378876443326104</v>
      </c>
      <c r="K69" t="str" cm="1">
        <f t="array" ref="K69">"BIOSYN-"&amp;_xlfn.IFS(IFERROR(MATCH(mets2733[[#This Row],[category]],{0,"0",""},0),0)&gt;0,mets2733[[#This Row],[name]],TRUE,mets2733[[#This Row],[category]]&amp;"-"&amp;mets2733[[#This Row],[name]])</f>
        <v>BIOSYN-ignore-trnaarg_c</v>
      </c>
      <c r="L69" s="149" t="str" cm="1">
        <f t="array" ref="L69">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69" s="149" cm="1">
        <f t="array" ref="M6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0.16483651169934704</v>
      </c>
      <c r="N69" s="149"/>
      <c r="O69" s="149"/>
      <c r="P69" s="149" t="str">
        <v>"pail_c":0.007738</v>
      </c>
      <c r="R69" s="149" t="str">
        <v>"pail_c":-0.007738</v>
      </c>
      <c r="S69" s="174">
        <v>2.9761164692624501E-3</v>
      </c>
      <c r="T69" s="149">
        <f t="shared" si="3"/>
        <v>2.9227376032322982E-3</v>
      </c>
      <c r="U69">
        <v>2.9227376032322982E-3</v>
      </c>
      <c r="V69" s="149">
        <v>2.9227376032322987E-3</v>
      </c>
      <c r="AB69" t="str">
        <v>BIOSYN-RNA-utp_c</v>
      </c>
      <c r="AC69" t="str">
        <v>MET-utp_c --&gt; MET-ppi_c + 0.305158 BIO-utp_c</v>
      </c>
    </row>
    <row r="70" spans="1:29" ht="16" x14ac:dyDescent="0.2">
      <c r="A70" s="144" t="s">
        <v>1685</v>
      </c>
      <c r="B70" t="str">
        <f>SUBSTITUTE(_xlfn.TEXTBEFORE(mets2733[[#This Row],[pasted JSON metabolite keys and values from GSM biomass rxn]],":"),CHAR(34),"")</f>
        <v>trnaasn_c</v>
      </c>
      <c r="C70" t="str">
        <f>_xlfn.TEXTBEFORE(mets2733[[#This Row],[name]],"_",-1)</f>
        <v>trnaasn</v>
      </c>
      <c r="D70" t="str">
        <f>_xlfn.XLOOKUP(mets2733[[#This Row],[name w/o location]],metaboliteInfo[name w/o location],metaboliteInfo[suggested category],"")</f>
        <v>ignore</v>
      </c>
      <c r="E70" s="21">
        <f>_xlfn.XLOOKUP(mets2733[[#This Row],[name w/o location]],metaboliteInfo[name w/o location],metaboliteInfo[MW for biomass normalization (g/mol)],0)</f>
        <v>0</v>
      </c>
      <c r="F70" s="21">
        <f>_xlfn.NUMBERVALUE(SUBSTITUTE(_xlfn.TEXTAFTER(mets2733[[#This Row],[pasted JSON metabolite keys and values from GSM biomass rxn]],":"),",",""))</f>
        <v>0.19814548672237201</v>
      </c>
      <c r="G70" s="21" cm="1">
        <f t="array" ref="G70">_xlfn.LET(_xlpm.id,mets2733[[#This Row],[name w/o location]],IF(IsElementOfSet_DIY(_xlpm.id,{"atp","adp","h","pi","h2o"}),SIGN(mets2733[[#This Row],[raw (GSM) coefficient]])*(ABS(mets2733[[#This Row],[raw (GSM) coefficient]])-$J$2),mets2733[[#This Row],[raw (GSM) coefficient]]))</f>
        <v>0.19814548672237201</v>
      </c>
      <c r="H70" s="21">
        <f>mets2733[[#This Row],[coeff. w/o GAM]]</f>
        <v>0.19814548672237201</v>
      </c>
      <c r="I70" s="161">
        <f t="shared" ref="I70:I101" si="4">H70/($H$3)</f>
        <v>0.19688601823532165</v>
      </c>
      <c r="J70" s="21" cm="1">
        <f t="array" ref="J70">_xlfn.LET(_xlpm.id,mets2733[[#This Row],[name w/o location]],_xlpm.oldcoeff,mets2733[[#This Row],[normalized coeffs]],_xlpm.gam,$J$2-$G$2,_xlfn.IFS(IFERROR(MATCH(_xlpm.id,{"atp","h2o"},0),0)&gt;0,_xlpm.oldcoeff-_xlpm.gam,IFERROR(MATCH(_xlpm.id,{"adp","h","pi"},0),0)&gt;0,_xlpm.oldcoeff+_xlpm.gam,TRUE,_xlpm.oldcoeff))</f>
        <v>0.19688601823532165</v>
      </c>
      <c r="K70" t="str" cm="1">
        <f t="array" ref="K70">"BIOSYN-"&amp;_xlfn.IFS(IFERROR(MATCH(mets2733[[#This Row],[category]],{0,"0",""},0),0)&gt;0,mets2733[[#This Row],[name]],TRUE,mets2733[[#This Row],[category]]&amp;"-"&amp;mets2733[[#This Row],[name]])</f>
        <v>BIOSYN-ignore-trnaasn_c</v>
      </c>
      <c r="L70" s="149" t="str" cm="1">
        <f t="array" ref="L70">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0" s="149" cm="1">
        <f t="array" ref="M7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0.19814548672237206</v>
      </c>
      <c r="N70" s="149"/>
      <c r="O70" s="149"/>
      <c r="P70" s="149" t="str">
        <v>"pc_c":0.028783</v>
      </c>
      <c r="R70" s="149" t="str">
        <v>"pc_c":-0.028783</v>
      </c>
      <c r="S70" s="149"/>
      <c r="T70" s="149"/>
      <c r="V70" s="149"/>
      <c r="AB70" t="str">
        <v>BIOSYN-SO4-so4_c</v>
      </c>
      <c r="AC70" t="str">
        <v>MET-so4_c --&gt; 0.096063 BIO-so4_c</v>
      </c>
    </row>
    <row r="71" spans="1:29" ht="16" x14ac:dyDescent="0.2">
      <c r="A71" s="144" t="s">
        <v>1686</v>
      </c>
      <c r="B71" t="str">
        <f>SUBSTITUTE(_xlfn.TEXTBEFORE(mets2733[[#This Row],[pasted JSON metabolite keys and values from GSM biomass rxn]],":"),CHAR(34),"")</f>
        <v>trnaasp_c</v>
      </c>
      <c r="C71" t="str">
        <f>_xlfn.TEXTBEFORE(mets2733[[#This Row],[name]],"_",-1)</f>
        <v>trnaasp</v>
      </c>
      <c r="D71" t="str">
        <f>_xlfn.XLOOKUP(mets2733[[#This Row],[name w/o location]],metaboliteInfo[name w/o location],metaboliteInfo[suggested category],"")</f>
        <v>ignore</v>
      </c>
      <c r="E71" s="21">
        <f>_xlfn.XLOOKUP(mets2733[[#This Row],[name w/o location]],metaboliteInfo[name w/o location],metaboliteInfo[MW for biomass normalization (g/mol)],0)</f>
        <v>0</v>
      </c>
      <c r="F71" s="21">
        <f>_xlfn.NUMBERVALUE(SUBSTITUTE(_xlfn.TEXTAFTER(mets2733[[#This Row],[pasted JSON metabolite keys and values from GSM biomass rxn]],":"),",",""))</f>
        <v>0.19814548672237201</v>
      </c>
      <c r="G71" s="21" cm="1">
        <f t="array" ref="G71">_xlfn.LET(_xlpm.id,mets2733[[#This Row],[name w/o location]],IF(IsElementOfSet_DIY(_xlpm.id,{"atp","adp","h","pi","h2o"}),SIGN(mets2733[[#This Row],[raw (GSM) coefficient]])*(ABS(mets2733[[#This Row],[raw (GSM) coefficient]])-$J$2),mets2733[[#This Row],[raw (GSM) coefficient]]))</f>
        <v>0.19814548672237201</v>
      </c>
      <c r="H71" s="21">
        <f>mets2733[[#This Row],[coeff. w/o GAM]]</f>
        <v>0.19814548672237201</v>
      </c>
      <c r="I71" s="161">
        <f t="shared" si="4"/>
        <v>0.19688601823532165</v>
      </c>
      <c r="J71" s="21" cm="1">
        <f t="array" ref="J71">_xlfn.LET(_xlpm.id,mets2733[[#This Row],[name w/o location]],_xlpm.oldcoeff,mets2733[[#This Row],[normalized coeffs]],_xlpm.gam,$J$2-$G$2,_xlfn.IFS(IFERROR(MATCH(_xlpm.id,{"atp","h2o"},0),0)&gt;0,_xlpm.oldcoeff-_xlpm.gam,IFERROR(MATCH(_xlpm.id,{"adp","h","pi"},0),0)&gt;0,_xlpm.oldcoeff+_xlpm.gam,TRUE,_xlpm.oldcoeff))</f>
        <v>0.19688601823532165</v>
      </c>
      <c r="K71" t="str" cm="1">
        <f t="array" ref="K71">"BIOSYN-"&amp;_xlfn.IFS(IFERROR(MATCH(mets2733[[#This Row],[category]],{0,"0",""},0),0)&gt;0,mets2733[[#This Row],[name]],TRUE,mets2733[[#This Row],[category]]&amp;"-"&amp;mets2733[[#This Row],[name]])</f>
        <v>BIOSYN-ignore-trnaasp_c</v>
      </c>
      <c r="L71" s="149" t="str" cm="1">
        <f t="array" ref="L71">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1" s="149" cm="1">
        <f t="array" ref="M7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0.19814548672237206</v>
      </c>
      <c r="N71" s="149"/>
      <c r="O71" s="149"/>
      <c r="P71" s="149" t="str">
        <v>"pe_c":0.00772</v>
      </c>
      <c r="R71" s="149" t="str">
        <v>"pe_c":-0.00772</v>
      </c>
      <c r="S71" s="149" cm="1">
        <f t="array" ref="S71:S80">S60:S69*S67/T67</f>
        <v>0.29943560158872012</v>
      </c>
      <c r="T71" s="149"/>
      <c r="V71" s="149"/>
    </row>
    <row r="72" spans="1:29" ht="16" x14ac:dyDescent="0.2">
      <c r="A72" s="144" t="s">
        <v>1687</v>
      </c>
      <c r="B72" t="str">
        <f>SUBSTITUTE(_xlfn.TEXTBEFORE(mets2733[[#This Row],[pasted JSON metabolite keys and values from GSM biomass rxn]],":"),CHAR(34),"")</f>
        <v>trnacys_c</v>
      </c>
      <c r="C72" t="str">
        <f>_xlfn.TEXTBEFORE(mets2733[[#This Row],[name]],"_",-1)</f>
        <v>trnacys</v>
      </c>
      <c r="D72" t="str">
        <f>_xlfn.XLOOKUP(mets2733[[#This Row],[name w/o location]],metaboliteInfo[name w/o location],metaboliteInfo[suggested category],"")</f>
        <v>ignore</v>
      </c>
      <c r="E72" s="21">
        <f>_xlfn.XLOOKUP(mets2733[[#This Row],[name w/o location]],metaboliteInfo[name w/o location],metaboliteInfo[MW for biomass normalization (g/mol)],0)</f>
        <v>0</v>
      </c>
      <c r="F72" s="21">
        <f>_xlfn.NUMBERVALUE(SUBSTITUTE(_xlfn.TEXTAFTER(mets2733[[#This Row],[pasted JSON metabolite keys and values from GSM biomass rxn]],":"),",",""))</f>
        <v>5.97824405906228E-3</v>
      </c>
      <c r="G72" s="21" cm="1">
        <f t="array" ref="G72">_xlfn.LET(_xlpm.id,mets2733[[#This Row],[name w/o location]],IF(IsElementOfSet_DIY(_xlpm.id,{"atp","adp","h","pi","h2o"}),SIGN(mets2733[[#This Row],[raw (GSM) coefficient]])*(ABS(mets2733[[#This Row],[raw (GSM) coefficient]])-$J$2),mets2733[[#This Row],[raw (GSM) coefficient]]))</f>
        <v>5.97824405906228E-3</v>
      </c>
      <c r="H72" s="21">
        <f>mets2733[[#This Row],[coeff. w/o GAM]]</f>
        <v>5.97824405906228E-3</v>
      </c>
      <c r="I72" s="161">
        <f t="shared" si="4"/>
        <v>5.9402446570832948E-3</v>
      </c>
      <c r="J72" s="21" cm="1">
        <f t="array" ref="J72">_xlfn.LET(_xlpm.id,mets2733[[#This Row],[name w/o location]],_xlpm.oldcoeff,mets2733[[#This Row],[normalized coeffs]],_xlpm.gam,$J$2-$G$2,_xlfn.IFS(IFERROR(MATCH(_xlpm.id,{"atp","h2o"},0),0)&gt;0,_xlpm.oldcoeff-_xlpm.gam,IFERROR(MATCH(_xlpm.id,{"adp","h","pi"},0),0)&gt;0,_xlpm.oldcoeff+_xlpm.gam,TRUE,_xlpm.oldcoeff))</f>
        <v>5.9402446570832948E-3</v>
      </c>
      <c r="K72" t="str" cm="1">
        <f t="array" ref="K72">"BIOSYN-"&amp;_xlfn.IFS(IFERROR(MATCH(mets2733[[#This Row],[category]],{0,"0",""},0),0)&gt;0,mets2733[[#This Row],[name]],TRUE,mets2733[[#This Row],[category]]&amp;"-"&amp;mets2733[[#This Row],[name]])</f>
        <v>BIOSYN-ignore-trnacys_c</v>
      </c>
      <c r="L72" s="149" t="str" cm="1">
        <f t="array" ref="L72">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2" s="149" cm="1">
        <f t="array" ref="M7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5.9782440590622809E-3</v>
      </c>
      <c r="N72" s="149"/>
      <c r="O72" s="149"/>
      <c r="P72" s="149" t="str">
        <v>"phe__L_c":0.156209</v>
      </c>
      <c r="R72" s="149" t="str">
        <v>"phetrna_c":-0.156209</v>
      </c>
      <c r="S72" s="149">
        <v>-3.515688915782213E-3</v>
      </c>
      <c r="T72" s="149"/>
      <c r="V72" s="149"/>
    </row>
    <row r="73" spans="1:29" ht="16" x14ac:dyDescent="0.2">
      <c r="A73" s="144" t="s">
        <v>1688</v>
      </c>
      <c r="B73" t="str">
        <f>SUBSTITUTE(_xlfn.TEXTBEFORE(mets2733[[#This Row],[pasted JSON metabolite keys and values from GSM biomass rxn]],":"),CHAR(34),"")</f>
        <v>trnagln_c</v>
      </c>
      <c r="C73" t="str">
        <f>_xlfn.TEXTBEFORE(mets2733[[#This Row],[name]],"_",-1)</f>
        <v>trnagln</v>
      </c>
      <c r="D73" t="str">
        <f>_xlfn.XLOOKUP(mets2733[[#This Row],[name w/o location]],metaboliteInfo[name w/o location],metaboliteInfo[suggested category],"")</f>
        <v>ignore</v>
      </c>
      <c r="E73" s="21">
        <f>_xlfn.XLOOKUP(mets2733[[#This Row],[name w/o location]],metaboliteInfo[name w/o location],metaboliteInfo[MW for biomass normalization (g/mol)],0)</f>
        <v>0</v>
      </c>
      <c r="F73" s="21">
        <f>_xlfn.NUMBERVALUE(SUBSTITUTE(_xlfn.TEXTAFTER(mets2733[[#This Row],[pasted JSON metabolite keys and values from GSM biomass rxn]],":"),",",""))</f>
        <v>0.33052720510658401</v>
      </c>
      <c r="G73" s="21" cm="1">
        <f t="array" ref="G73">_xlfn.LET(_xlpm.id,mets2733[[#This Row],[name w/o location]],IF(IsElementOfSet_DIY(_xlpm.id,{"atp","adp","h","pi","h2o"}),SIGN(mets2733[[#This Row],[raw (GSM) coefficient]])*(ABS(mets2733[[#This Row],[raw (GSM) coefficient]])-$J$2),mets2733[[#This Row],[raw (GSM) coefficient]]))</f>
        <v>0.33052720510658401</v>
      </c>
      <c r="H73" s="21">
        <f>mets2733[[#This Row],[coeff. w/o GAM]]</f>
        <v>0.33052720510658401</v>
      </c>
      <c r="I73" s="161">
        <f t="shared" si="4"/>
        <v>0.32842628115504402</v>
      </c>
      <c r="J73" s="21" cm="1">
        <f t="array" ref="J73">_xlfn.LET(_xlpm.id,mets2733[[#This Row],[name w/o location]],_xlpm.oldcoeff,mets2733[[#This Row],[normalized coeffs]],_xlpm.gam,$J$2-$G$2,_xlfn.IFS(IFERROR(MATCH(_xlpm.id,{"atp","h2o"},0),0)&gt;0,_xlpm.oldcoeff-_xlpm.gam,IFERROR(MATCH(_xlpm.id,{"adp","h","pi"},0),0)&gt;0,_xlpm.oldcoeff+_xlpm.gam,TRUE,_xlpm.oldcoeff))</f>
        <v>0.32842628115504402</v>
      </c>
      <c r="K73" t="str" cm="1">
        <f t="array" ref="K73">"BIOSYN-"&amp;_xlfn.IFS(IFERROR(MATCH(mets2733[[#This Row],[category]],{0,"0",""},0),0)&gt;0,mets2733[[#This Row],[name]],TRUE,mets2733[[#This Row],[category]]&amp;"-"&amp;mets2733[[#This Row],[name]])</f>
        <v>BIOSYN-ignore-trnagln_c</v>
      </c>
      <c r="L73" s="149" t="str" cm="1">
        <f t="array" ref="L73">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3" s="149" cm="1">
        <f t="array" ref="M7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0.33052720510658407</v>
      </c>
      <c r="N73" s="149"/>
      <c r="O73" s="149"/>
      <c r="P73" s="149" t="str">
        <v>"pro__L_c":0.175319</v>
      </c>
      <c r="R73" s="149" t="str">
        <v>"protrna_c":-0.175319</v>
      </c>
      <c r="S73" s="149">
        <v>9.2100669553376469E-3</v>
      </c>
      <c r="T73" s="149"/>
      <c r="V73" s="149"/>
    </row>
    <row r="74" spans="1:29" ht="16" x14ac:dyDescent="0.2">
      <c r="A74" s="144" t="s">
        <v>1689</v>
      </c>
      <c r="B74" t="str">
        <f>SUBSTITUTE(_xlfn.TEXTBEFORE(mets2733[[#This Row],[pasted JSON metabolite keys and values from GSM biomass rxn]],":"),CHAR(34),"")</f>
        <v>trnaglu_c</v>
      </c>
      <c r="C74" t="str">
        <f>_xlfn.TEXTBEFORE(mets2733[[#This Row],[name]],"_",-1)</f>
        <v>trnaglu</v>
      </c>
      <c r="D74" t="str">
        <f>_xlfn.XLOOKUP(mets2733[[#This Row],[name w/o location]],metaboliteInfo[name w/o location],metaboliteInfo[suggested category],"")</f>
        <v>ignore</v>
      </c>
      <c r="E74" s="21">
        <f>_xlfn.XLOOKUP(mets2733[[#This Row],[name w/o location]],metaboliteInfo[name w/o location],metaboliteInfo[MW for biomass normalization (g/mol)],0)</f>
        <v>0</v>
      </c>
      <c r="F74" s="21">
        <f>_xlfn.NUMBERVALUE(SUBSTITUTE(_xlfn.TEXTAFTER(mets2733[[#This Row],[pasted JSON metabolite keys and values from GSM biomass rxn]],":"),",",""))</f>
        <v>0.33052720510658401</v>
      </c>
      <c r="G74" s="21" cm="1">
        <f t="array" ref="G74">_xlfn.LET(_xlpm.id,mets2733[[#This Row],[name w/o location]],IF(IsElementOfSet_DIY(_xlpm.id,{"atp","adp","h","pi","h2o"}),SIGN(mets2733[[#This Row],[raw (GSM) coefficient]])*(ABS(mets2733[[#This Row],[raw (GSM) coefficient]])-$J$2),mets2733[[#This Row],[raw (GSM) coefficient]]))</f>
        <v>0.33052720510658401</v>
      </c>
      <c r="H74" s="21">
        <f>mets2733[[#This Row],[coeff. w/o GAM]]</f>
        <v>0.33052720510658401</v>
      </c>
      <c r="I74" s="161">
        <f t="shared" si="4"/>
        <v>0.32842628115504402</v>
      </c>
      <c r="J74" s="21" cm="1">
        <f t="array" ref="J74">_xlfn.LET(_xlpm.id,mets2733[[#This Row],[name w/o location]],_xlpm.oldcoeff,mets2733[[#This Row],[normalized coeffs]],_xlpm.gam,$J$2-$G$2,_xlfn.IFS(IFERROR(MATCH(_xlpm.id,{"atp","h2o"},0),0)&gt;0,_xlpm.oldcoeff-_xlpm.gam,IFERROR(MATCH(_xlpm.id,{"adp","h","pi"},0),0)&gt;0,_xlpm.oldcoeff+_xlpm.gam,TRUE,_xlpm.oldcoeff))</f>
        <v>0.32842628115504402</v>
      </c>
      <c r="K74" t="str" cm="1">
        <f t="array" ref="K74">"BIOSYN-"&amp;_xlfn.IFS(IFERROR(MATCH(mets2733[[#This Row],[category]],{0,"0",""},0),0)&gt;0,mets2733[[#This Row],[name]],TRUE,mets2733[[#This Row],[category]]&amp;"-"&amp;mets2733[[#This Row],[name]])</f>
        <v>BIOSYN-ignore-trnaglu_c</v>
      </c>
      <c r="L74" s="149" t="str" cm="1">
        <f t="array" ref="L74">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4" s="149" cm="1">
        <f t="array" ref="M7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0.33052720510658407</v>
      </c>
      <c r="N74" s="149"/>
      <c r="O74" s="149"/>
      <c r="P74" s="149" t="str">
        <v>"ps_c":0.006643</v>
      </c>
      <c r="R74" s="149" t="str">
        <v>"ps_c":-0.006643</v>
      </c>
      <c r="S74" s="149">
        <v>7.7435488352272749E-2</v>
      </c>
      <c r="T74" s="149"/>
      <c r="V74" s="149"/>
    </row>
    <row r="75" spans="1:29" ht="16" x14ac:dyDescent="0.2">
      <c r="A75" s="144" t="s">
        <v>1690</v>
      </c>
      <c r="B75" t="str">
        <f>SUBSTITUTE(_xlfn.TEXTBEFORE(mets2733[[#This Row],[pasted JSON metabolite keys and values from GSM biomass rxn]],":"),CHAR(34),"")</f>
        <v>trnagly_c</v>
      </c>
      <c r="C75" t="str">
        <f>_xlfn.TEXTBEFORE(mets2733[[#This Row],[name]],"_",-1)</f>
        <v>trnagly</v>
      </c>
      <c r="D75" t="str">
        <f>_xlfn.XLOOKUP(mets2733[[#This Row],[name w/o location]],metaboliteInfo[name w/o location],metaboliteInfo[suggested category],"")</f>
        <v>ignore</v>
      </c>
      <c r="E75" s="21">
        <f>_xlfn.XLOOKUP(mets2733[[#This Row],[name w/o location]],metaboliteInfo[name w/o location],metaboliteInfo[MW for biomass normalization (g/mol)],0)</f>
        <v>0</v>
      </c>
      <c r="F75" s="21">
        <f>_xlfn.NUMBERVALUE(SUBSTITUTE(_xlfn.TEXTAFTER(mets2733[[#This Row],[pasted JSON metabolite keys and values from GSM biomass rxn]],":"),",",""))</f>
        <v>0.379636999881312</v>
      </c>
      <c r="G75" s="21" cm="1">
        <f t="array" ref="G75">_xlfn.LET(_xlpm.id,mets2733[[#This Row],[name w/o location]],IF(IsElementOfSet_DIY(_xlpm.id,{"atp","adp","h","pi","h2o"}),SIGN(mets2733[[#This Row],[raw (GSM) coefficient]])*(ABS(mets2733[[#This Row],[raw (GSM) coefficient]])-$J$2),mets2733[[#This Row],[raw (GSM) coefficient]]))</f>
        <v>0.379636999881312</v>
      </c>
      <c r="H75" s="21">
        <f>mets2733[[#This Row],[coeff. w/o GAM]]</f>
        <v>0.379636999881312</v>
      </c>
      <c r="I75" s="161">
        <f t="shared" si="4"/>
        <v>0.3772239202508948</v>
      </c>
      <c r="J75" s="21" cm="1">
        <f t="array" ref="J75">_xlfn.LET(_xlpm.id,mets2733[[#This Row],[name w/o location]],_xlpm.oldcoeff,mets2733[[#This Row],[normalized coeffs]],_xlpm.gam,$J$2-$G$2,_xlfn.IFS(IFERROR(MATCH(_xlpm.id,{"atp","h2o"},0),0)&gt;0,_xlpm.oldcoeff-_xlpm.gam,IFERROR(MATCH(_xlpm.id,{"adp","h","pi"},0),0)&gt;0,_xlpm.oldcoeff+_xlpm.gam,TRUE,_xlpm.oldcoeff))</f>
        <v>0.3772239202508948</v>
      </c>
      <c r="K75" t="str" cm="1">
        <f t="array" ref="K75">"BIOSYN-"&amp;_xlfn.IFS(IFERROR(MATCH(mets2733[[#This Row],[category]],{0,"0",""},0),0)&gt;0,mets2733[[#This Row],[name]],TRUE,mets2733[[#This Row],[category]]&amp;"-"&amp;mets2733[[#This Row],[name]])</f>
        <v>BIOSYN-ignore-trnagly_c</v>
      </c>
      <c r="L75" s="149" t="str" cm="1">
        <f t="array" ref="L75">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5" s="149" cm="1">
        <f t="array" ref="M7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0.37963699988131205</v>
      </c>
      <c r="N75" s="149"/>
      <c r="O75" s="149"/>
      <c r="P75" s="149" t="str">
        <v>"ser__L_c":0.221434</v>
      </c>
      <c r="R75" s="149" t="str">
        <v>"sertrna_c":-0.221434</v>
      </c>
      <c r="S75" s="149">
        <v>2.4632996648588926E-2</v>
      </c>
      <c r="T75" s="149"/>
      <c r="V75" s="149"/>
    </row>
    <row r="76" spans="1:29" ht="16" x14ac:dyDescent="0.2">
      <c r="A76" s="144" t="s">
        <v>1691</v>
      </c>
      <c r="B76" t="str">
        <f>SUBSTITUTE(_xlfn.TEXTBEFORE(mets2733[[#This Row],[pasted JSON metabolite keys and values from GSM biomass rxn]],":"),CHAR(34),"")</f>
        <v>trnahis_c</v>
      </c>
      <c r="C76" t="str">
        <f>_xlfn.TEXTBEFORE(mets2733[[#This Row],[name]],"_",-1)</f>
        <v>trnahis</v>
      </c>
      <c r="D76" t="str">
        <f>_xlfn.XLOOKUP(mets2733[[#This Row],[name w/o location]],metaboliteInfo[name w/o location],metaboliteInfo[suggested category],"")</f>
        <v>ignore</v>
      </c>
      <c r="E76" s="21">
        <f>_xlfn.XLOOKUP(mets2733[[#This Row],[name w/o location]],metaboliteInfo[name w/o location],metaboliteInfo[MW for biomass normalization (g/mol)],0)</f>
        <v>0</v>
      </c>
      <c r="F76" s="21">
        <f>_xlfn.NUMBERVALUE(SUBSTITUTE(_xlfn.TEXTAFTER(mets2733[[#This Row],[pasted JSON metabolite keys and values from GSM biomass rxn]],":"),",",""))</f>
        <v>8.2418769797753103E-2</v>
      </c>
      <c r="G76" s="21" cm="1">
        <f t="array" ref="G76">_xlfn.LET(_xlpm.id,mets2733[[#This Row],[name w/o location]],IF(IsElementOfSet_DIY(_xlpm.id,{"atp","adp","h","pi","h2o"}),SIGN(mets2733[[#This Row],[raw (GSM) coefficient]])*(ABS(mets2733[[#This Row],[raw (GSM) coefficient]])-$J$2),mets2733[[#This Row],[raw (GSM) coefficient]]))</f>
        <v>8.2418769797753103E-2</v>
      </c>
      <c r="H76" s="21">
        <f>mets2733[[#This Row],[coeff. w/o GAM]]</f>
        <v>8.2418769797753103E-2</v>
      </c>
      <c r="I76" s="161">
        <f t="shared" si="4"/>
        <v>8.1894892897911464E-2</v>
      </c>
      <c r="J76" s="21" cm="1">
        <f t="array" ref="J76">_xlfn.LET(_xlpm.id,mets2733[[#This Row],[name w/o location]],_xlpm.oldcoeff,mets2733[[#This Row],[normalized coeffs]],_xlpm.gam,$J$2-$G$2,_xlfn.IFS(IFERROR(MATCH(_xlpm.id,{"atp","h2o"},0),0)&gt;0,_xlpm.oldcoeff-_xlpm.gam,IFERROR(MATCH(_xlpm.id,{"adp","h","pi"},0),0)&gt;0,_xlpm.oldcoeff+_xlpm.gam,TRUE,_xlpm.oldcoeff))</f>
        <v>8.1894892897911464E-2</v>
      </c>
      <c r="K76" t="str" cm="1">
        <f t="array" ref="K76">"BIOSYN-"&amp;_xlfn.IFS(IFERROR(MATCH(mets2733[[#This Row],[category]],{0,"0",""},0),0)&gt;0,mets2733[[#This Row],[name]],TRUE,mets2733[[#This Row],[category]]&amp;"-"&amp;mets2733[[#This Row],[name]])</f>
        <v>BIOSYN-ignore-trnahis_c</v>
      </c>
      <c r="L76" s="149" t="str" cm="1">
        <f t="array" ref="L76">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6" s="149" cm="1">
        <f t="array" ref="M7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8.2418769797753116E-2</v>
      </c>
      <c r="N76" s="149"/>
      <c r="O76" s="149"/>
      <c r="P76" s="149" t="str">
        <v>"so4_c":0.031223</v>
      </c>
      <c r="R76" s="149" t="str">
        <v>"so4_c":-0.031223</v>
      </c>
      <c r="S76" s="149">
        <v>-5.4432010650434876E-5</v>
      </c>
      <c r="T76" s="149"/>
      <c r="V76" s="149"/>
    </row>
    <row r="77" spans="1:29" ht="16" x14ac:dyDescent="0.2">
      <c r="A77" s="144" t="s">
        <v>1692</v>
      </c>
      <c r="B77" t="str">
        <f>SUBSTITUTE(_xlfn.TEXTBEFORE(mets2733[[#This Row],[pasted JSON metabolite keys and values from GSM biomass rxn]],":"),CHAR(34),"")</f>
        <v>trnaile_c</v>
      </c>
      <c r="C77" t="str">
        <f>_xlfn.TEXTBEFORE(mets2733[[#This Row],[name]],"_",-1)</f>
        <v>trnaile</v>
      </c>
      <c r="D77" t="str">
        <f>_xlfn.XLOOKUP(mets2733[[#This Row],[name w/o location]],metaboliteInfo[name w/o location],metaboliteInfo[suggested category],"")</f>
        <v>ignore</v>
      </c>
      <c r="E77" s="21">
        <f>_xlfn.XLOOKUP(mets2733[[#This Row],[name w/o location]],metaboliteInfo[name w/o location],metaboliteInfo[MW for biomass normalization (g/mol)],0)</f>
        <v>0</v>
      </c>
      <c r="F77" s="21">
        <f>_xlfn.NUMBERVALUE(SUBSTITUTE(_xlfn.TEXTAFTER(mets2733[[#This Row],[pasted JSON metabolite keys and values from GSM biomass rxn]],":"),",",""))</f>
        <v>0.25152516214038501</v>
      </c>
      <c r="G77" s="21" cm="1">
        <f t="array" ref="G77">_xlfn.LET(_xlpm.id,mets2733[[#This Row],[name w/o location]],IF(IsElementOfSet_DIY(_xlpm.id,{"atp","adp","h","pi","h2o"}),SIGN(mets2733[[#This Row],[raw (GSM) coefficient]])*(ABS(mets2733[[#This Row],[raw (GSM) coefficient]])-$J$2),mets2733[[#This Row],[raw (GSM) coefficient]]))</f>
        <v>0.25152516214038501</v>
      </c>
      <c r="H77" s="21">
        <f>mets2733[[#This Row],[coeff. w/o GAM]]</f>
        <v>0.25152516214038501</v>
      </c>
      <c r="I77" s="161">
        <f t="shared" si="4"/>
        <v>0.2499263974112145</v>
      </c>
      <c r="J77" s="21" cm="1">
        <f t="array" ref="J77">_xlfn.LET(_xlpm.id,mets2733[[#This Row],[name w/o location]],_xlpm.oldcoeff,mets2733[[#This Row],[normalized coeffs]],_xlpm.gam,$J$2-$G$2,_xlfn.IFS(IFERROR(MATCH(_xlpm.id,{"atp","h2o"},0),0)&gt;0,_xlpm.oldcoeff-_xlpm.gam,IFERROR(MATCH(_xlpm.id,{"adp","h","pi"},0),0)&gt;0,_xlpm.oldcoeff+_xlpm.gam,TRUE,_xlpm.oldcoeff))</f>
        <v>0.2499263974112145</v>
      </c>
      <c r="K77" t="str" cm="1">
        <f t="array" ref="K77">"BIOSYN-"&amp;_xlfn.IFS(IFERROR(MATCH(mets2733[[#This Row],[category]],{0,"0",""},0),0)&gt;0,mets2733[[#This Row],[name]],TRUE,mets2733[[#This Row],[category]]&amp;"-"&amp;mets2733[[#This Row],[name]])</f>
        <v>BIOSYN-ignore-trnaile_c</v>
      </c>
      <c r="L77" s="149" t="str" cm="1">
        <f t="array" ref="L77">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7" s="149" cm="1">
        <f t="array" ref="M7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0.25152516214038506</v>
      </c>
      <c r="N77" s="149"/>
      <c r="O77" s="149"/>
      <c r="P77" s="149" t="str">
        <v>"tag_c":0.010494</v>
      </c>
      <c r="R77" s="149" t="str">
        <v>"tag_c":-0.010494</v>
      </c>
      <c r="S77" s="149">
        <v>9.8532013799593615E-3</v>
      </c>
      <c r="T77" s="149"/>
      <c r="V77" s="149"/>
    </row>
    <row r="78" spans="1:29" ht="16" x14ac:dyDescent="0.2">
      <c r="A78" s="144" t="s">
        <v>1693</v>
      </c>
      <c r="B78" t="str">
        <f>SUBSTITUTE(_xlfn.TEXTBEFORE(mets2733[[#This Row],[pasted JSON metabolite keys and values from GSM biomass rxn]],":"),CHAR(34),"")</f>
        <v>trnaleu_c</v>
      </c>
      <c r="C78" t="str">
        <f>_xlfn.TEXTBEFORE(mets2733[[#This Row],[name]],"_",-1)</f>
        <v>trnaleu</v>
      </c>
      <c r="D78" t="str">
        <f>_xlfn.XLOOKUP(mets2733[[#This Row],[name w/o location]],metaboliteInfo[name w/o location],metaboliteInfo[suggested category],"")</f>
        <v>ignore</v>
      </c>
      <c r="E78" s="21">
        <f>_xlfn.XLOOKUP(mets2733[[#This Row],[name w/o location]],metaboliteInfo[name w/o location],metaboliteInfo[MW for biomass normalization (g/mol)],0)</f>
        <v>0</v>
      </c>
      <c r="F78" s="21">
        <f>_xlfn.NUMBERVALUE(SUBSTITUTE(_xlfn.TEXTAFTER(mets2733[[#This Row],[pasted JSON metabolite keys and values from GSM biomass rxn]],":"),",",""))</f>
        <v>0.342057116318843</v>
      </c>
      <c r="G78" s="21" cm="1">
        <f t="array" ref="G78">_xlfn.LET(_xlpm.id,mets2733[[#This Row],[name w/o location]],IF(IsElementOfSet_DIY(_xlpm.id,{"atp","adp","h","pi","h2o"}),SIGN(mets2733[[#This Row],[raw (GSM) coefficient]])*(ABS(mets2733[[#This Row],[raw (GSM) coefficient]])-$J$2),mets2733[[#This Row],[raw (GSM) coefficient]]))</f>
        <v>0.342057116318843</v>
      </c>
      <c r="H78" s="161">
        <f>mets2733[[#This Row],[coeff. w/o GAM]]</f>
        <v>0.342057116318843</v>
      </c>
      <c r="I78" s="161">
        <f t="shared" si="4"/>
        <v>0.33988290500623042</v>
      </c>
      <c r="J78" s="21" cm="1">
        <f t="array" ref="J78">_xlfn.LET(_xlpm.id,mets2733[[#This Row],[name w/o location]],_xlpm.oldcoeff,mets2733[[#This Row],[normalized coeffs]],_xlpm.gam,$J$2-$G$2,_xlfn.IFS(IFERROR(MATCH(_xlpm.id,{"atp","h2o"},0),0)&gt;0,_xlpm.oldcoeff-_xlpm.gam,IFERROR(MATCH(_xlpm.id,{"adp","h","pi"},0),0)&gt;0,_xlpm.oldcoeff+_xlpm.gam,TRUE,_xlpm.oldcoeff))</f>
        <v>0.33988290500623042</v>
      </c>
      <c r="K78" t="str" cm="1">
        <f t="array" ref="K78">"BIOSYN-"&amp;_xlfn.IFS(IFERROR(MATCH(mets2733[[#This Row],[category]],{0,"0",""},0),0)&gt;0,mets2733[[#This Row],[name]],TRUE,mets2733[[#This Row],[category]]&amp;"-"&amp;mets2733[[#This Row],[name]])</f>
        <v>BIOSYN-ignore-trnaleu_c</v>
      </c>
      <c r="L78" s="149" t="str" cm="1">
        <f t="array" ref="L78">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8" s="149" cm="1">
        <f t="array" ref="M7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0.34205711631884306</v>
      </c>
      <c r="N78" s="149"/>
      <c r="O78" s="149"/>
      <c r="P78" s="149" t="str">
        <v>"thr__L_c":0.231405</v>
      </c>
      <c r="R78" s="149" t="str">
        <v>"thrtrna_c":-0.231405</v>
      </c>
      <c r="S78" s="149">
        <v>0.44876955120623963</v>
      </c>
      <c r="T78" s="149"/>
      <c r="V78" s="149"/>
    </row>
    <row r="79" spans="1:29" ht="16" x14ac:dyDescent="0.2">
      <c r="A79" s="144" t="s">
        <v>1694</v>
      </c>
      <c r="B79" t="str">
        <f>SUBSTITUTE(_xlfn.TEXTBEFORE(mets2733[[#This Row],[pasted JSON metabolite keys and values from GSM biomass rxn]],":"),CHAR(34),"")</f>
        <v>trnalys_c</v>
      </c>
      <c r="C79" t="str">
        <f>_xlfn.TEXTBEFORE(mets2733[[#This Row],[name]],"_",-1)</f>
        <v>trnalys</v>
      </c>
      <c r="D79" t="str">
        <f>_xlfn.XLOOKUP(mets2733[[#This Row],[name w/o location]],metaboliteInfo[name w/o location],metaboliteInfo[suggested category],"")</f>
        <v>ignore</v>
      </c>
      <c r="E79" s="21">
        <f>_xlfn.XLOOKUP(mets2733[[#This Row],[name w/o location]],metaboliteInfo[name w/o location],metaboliteInfo[MW for biomass normalization (g/mol)],0)</f>
        <v>0</v>
      </c>
      <c r="F79" s="21">
        <f>_xlfn.NUMBERVALUE(SUBSTITUTE(_xlfn.TEXTAFTER(mets2733[[#This Row],[pasted JSON metabolite keys and values from GSM biomass rxn]],":"),",",""))</f>
        <v>0.28056425652012601</v>
      </c>
      <c r="G79" s="21" cm="1">
        <f t="array" ref="G79">_xlfn.LET(_xlpm.id,mets2733[[#This Row],[name w/o location]],IF(IsElementOfSet_DIY(_xlpm.id,{"atp","adp","h","pi","h2o"}),SIGN(mets2733[[#This Row],[raw (GSM) coefficient]])*(ABS(mets2733[[#This Row],[raw (GSM) coefficient]])-$J$2),mets2733[[#This Row],[raw (GSM) coefficient]]))</f>
        <v>0.28056425652012601</v>
      </c>
      <c r="H79" s="161">
        <f>mets2733[[#This Row],[coeff. w/o GAM]]</f>
        <v>0.28056425652012601</v>
      </c>
      <c r="I79" s="161">
        <f t="shared" si="4"/>
        <v>0.278780911133234</v>
      </c>
      <c r="J79" s="21" cm="1">
        <f t="array" ref="J79">_xlfn.LET(_xlpm.id,mets2733[[#This Row],[name w/o location]],_xlpm.oldcoeff,mets2733[[#This Row],[normalized coeffs]],_xlpm.gam,$J$2-$G$2,_xlfn.IFS(IFERROR(MATCH(_xlpm.id,{"atp","h2o"},0),0)&gt;0,_xlpm.oldcoeff-_xlpm.gam,IFERROR(MATCH(_xlpm.id,{"adp","h","pi"},0),0)&gt;0,_xlpm.oldcoeff+_xlpm.gam,TRUE,_xlpm.oldcoeff))</f>
        <v>0.278780911133234</v>
      </c>
      <c r="K79" t="str" cm="1">
        <f t="array" ref="K79">"BIOSYN-"&amp;_xlfn.IFS(IFERROR(MATCH(mets2733[[#This Row],[category]],{0,"0",""},0),0)&gt;0,mets2733[[#This Row],[name]],TRUE,mets2733[[#This Row],[category]]&amp;"-"&amp;mets2733[[#This Row],[name]])</f>
        <v>BIOSYN-ignore-trnalys_c</v>
      </c>
      <c r="L79" s="149" t="str" cm="1">
        <f t="array" ref="L79">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79" s="149" cm="1">
        <f t="array" ref="M7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0.28056425652012607</v>
      </c>
      <c r="N79" s="149"/>
      <c r="O79" s="149"/>
      <c r="P79" s="149" t="str">
        <v>"tre_c":0.137707</v>
      </c>
      <c r="R79" s="149" t="str">
        <v>"tre_c":-0.137707</v>
      </c>
      <c r="S79" s="149">
        <v>0.11055802717166559</v>
      </c>
      <c r="T79" s="149"/>
      <c r="V79" s="149"/>
    </row>
    <row r="80" spans="1:29" ht="16" x14ac:dyDescent="0.2">
      <c r="A80" s="144" t="s">
        <v>1695</v>
      </c>
      <c r="B80" t="str">
        <f>SUBSTITUTE(_xlfn.TEXTBEFORE(mets2733[[#This Row],[pasted JSON metabolite keys and values from GSM biomass rxn]],":"),CHAR(34),"")</f>
        <v>trnamet_c</v>
      </c>
      <c r="C80" t="str">
        <f>_xlfn.TEXTBEFORE(mets2733[[#This Row],[name]],"_",-1)</f>
        <v>trnamet</v>
      </c>
      <c r="D80" t="str">
        <f>_xlfn.XLOOKUP(mets2733[[#This Row],[name w/o location]],metaboliteInfo[name w/o location],metaboliteInfo[suggested category],"")</f>
        <v>ignore</v>
      </c>
      <c r="E80" s="21">
        <f>_xlfn.XLOOKUP(mets2733[[#This Row],[name w/o location]],metaboliteInfo[name w/o location],metaboliteInfo[MW for biomass normalization (g/mol)],0)</f>
        <v>0</v>
      </c>
      <c r="F80" s="21">
        <f>_xlfn.NUMBERVALUE(SUBSTITUTE(_xlfn.TEXTAFTER(mets2733[[#This Row],[pasted JSON metabolite keys and values from GSM biomass rxn]],":"),",",""))</f>
        <v>4.8682189972704397E-2</v>
      </c>
      <c r="G80" s="21" cm="1">
        <f t="array" ref="G80">_xlfn.LET(_xlpm.id,mets2733[[#This Row],[name w/o location]],IF(IsElementOfSet_DIY(_xlpm.id,{"atp","adp","h","pi","h2o"}),SIGN(mets2733[[#This Row],[raw (GSM) coefficient]])*(ABS(mets2733[[#This Row],[raw (GSM) coefficient]])-$J$2),mets2733[[#This Row],[raw (GSM) coefficient]]))</f>
        <v>4.8682189972704397E-2</v>
      </c>
      <c r="H80" s="161">
        <f>mets2733[[#This Row],[coeff. w/o GAM]]</f>
        <v>4.8682189972704397E-2</v>
      </c>
      <c r="I80" s="161">
        <f t="shared" si="4"/>
        <v>4.8372752270309849E-2</v>
      </c>
      <c r="J80" s="21" cm="1">
        <f t="array" ref="J80">_xlfn.LET(_xlpm.id,mets2733[[#This Row],[name w/o location]],_xlpm.oldcoeff,mets2733[[#This Row],[normalized coeffs]],_xlpm.gam,$J$2-$G$2,_xlfn.IFS(IFERROR(MATCH(_xlpm.id,{"atp","h2o"},0),0)&gt;0,_xlpm.oldcoeff-_xlpm.gam,IFERROR(MATCH(_xlpm.id,{"adp","h","pi"},0),0)&gt;0,_xlpm.oldcoeff+_xlpm.gam,TRUE,_xlpm.oldcoeff))</f>
        <v>4.8372752270309849E-2</v>
      </c>
      <c r="K80" t="str" cm="1">
        <f t="array" ref="K80">"BIOSYN-"&amp;_xlfn.IFS(IFERROR(MATCH(mets2733[[#This Row],[category]],{0,"0",""},0),0)&gt;0,mets2733[[#This Row],[name]],TRUE,mets2733[[#This Row],[category]]&amp;"-"&amp;mets2733[[#This Row],[name]])</f>
        <v>BIOSYN-ignore-trnamet_c</v>
      </c>
      <c r="L80" s="149" t="str" cm="1">
        <f t="array" ref="L80">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0" s="149" cm="1">
        <f t="array" ref="M8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4.8682189972704411E-2</v>
      </c>
      <c r="N80" s="149"/>
      <c r="O80" s="149"/>
      <c r="P80" s="149" t="str">
        <v>"trp__L_c":0.027004</v>
      </c>
      <c r="R80" s="149" t="str">
        <v>"trptrna_c":-0.027004</v>
      </c>
      <c r="S80" s="149">
        <v>2.91432973819353E-3</v>
      </c>
      <c r="T80" s="149"/>
      <c r="V80" s="149"/>
    </row>
    <row r="81" spans="1:22" ht="16" x14ac:dyDescent="0.2">
      <c r="A81" s="144" t="s">
        <v>1696</v>
      </c>
      <c r="B81" t="str">
        <f>SUBSTITUTE(_xlfn.TEXTBEFORE(mets2733[[#This Row],[pasted JSON metabolite keys and values from GSM biomass rxn]],":"),CHAR(34),"")</f>
        <v>trnaphe_c</v>
      </c>
      <c r="C81" t="str">
        <f>_xlfn.TEXTBEFORE(mets2733[[#This Row],[name]],"_",-1)</f>
        <v>trnaphe</v>
      </c>
      <c r="D81" t="str">
        <f>_xlfn.XLOOKUP(mets2733[[#This Row],[name w/o location]],metaboliteInfo[name w/o location],metaboliteInfo[suggested category],"")</f>
        <v>ignore</v>
      </c>
      <c r="E81" s="21">
        <f>_xlfn.XLOOKUP(mets2733[[#This Row],[name w/o location]],metaboliteInfo[name w/o location],metaboliteInfo[MW for biomass normalization (g/mol)],0)</f>
        <v>0</v>
      </c>
      <c r="F81" s="21">
        <f>_xlfn.NUMBERVALUE(SUBSTITUTE(_xlfn.TEXTAFTER(mets2733[[#This Row],[pasted JSON metabolite keys and values from GSM biomass rxn]],":"),",",""))</f>
        <v>0.160566631056063</v>
      </c>
      <c r="G81" s="21" cm="1">
        <f t="array" ref="G81">_xlfn.LET(_xlpm.id,mets2733[[#This Row],[name w/o location]],IF(IsElementOfSet_DIY(_xlpm.id,{"atp","adp","h","pi","h2o"}),SIGN(mets2733[[#This Row],[raw (GSM) coefficient]])*(ABS(mets2733[[#This Row],[raw (GSM) coefficient]])-$J$2),mets2733[[#This Row],[raw (GSM) coefficient]]))</f>
        <v>0.160566631056063</v>
      </c>
      <c r="H81" s="161">
        <f>mets2733[[#This Row],[coeff. w/o GAM]]</f>
        <v>0.160566631056063</v>
      </c>
      <c r="I81" s="161">
        <f t="shared" si="4"/>
        <v>0.15954602435321993</v>
      </c>
      <c r="J81" s="21" cm="1">
        <f t="array" ref="J81">_xlfn.LET(_xlpm.id,mets2733[[#This Row],[name w/o location]],_xlpm.oldcoeff,mets2733[[#This Row],[normalized coeffs]],_xlpm.gam,$J$2-$G$2,_xlfn.IFS(IFERROR(MATCH(_xlpm.id,{"atp","h2o"},0),0)&gt;0,_xlpm.oldcoeff-_xlpm.gam,IFERROR(MATCH(_xlpm.id,{"adp","h","pi"},0),0)&gt;0,_xlpm.oldcoeff+_xlpm.gam,TRUE,_xlpm.oldcoeff))</f>
        <v>0.15954602435321993</v>
      </c>
      <c r="K81" t="str" cm="1">
        <f t="array" ref="K81">"BIOSYN-"&amp;_xlfn.IFS(IFERROR(MATCH(mets2733[[#This Row],[category]],{0,"0",""},0),0)&gt;0,mets2733[[#This Row],[name]],TRUE,mets2733[[#This Row],[category]]&amp;"-"&amp;mets2733[[#This Row],[name]])</f>
        <v>BIOSYN-ignore-trnaphe_c</v>
      </c>
      <c r="L81" s="149" t="str" cm="1">
        <f t="array" ref="L81">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1" s="149" cm="1">
        <f t="array" ref="M8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0.16056663105606303</v>
      </c>
      <c r="N81" s="149"/>
      <c r="O81" s="149"/>
      <c r="P81" s="149" t="str">
        <v>"tyr__L_c":0.081428</v>
      </c>
      <c r="R81" s="149" t="str">
        <v>"tyrtrna_c":-0.081428</v>
      </c>
      <c r="S81" s="149"/>
      <c r="T81" s="149"/>
      <c r="U81" s="149"/>
      <c r="V81" s="149"/>
    </row>
    <row r="82" spans="1:22" ht="16" x14ac:dyDescent="0.2">
      <c r="A82" s="144" t="s">
        <v>1697</v>
      </c>
      <c r="B82" t="str">
        <f>SUBSTITUTE(_xlfn.TEXTBEFORE(mets2733[[#This Row],[pasted JSON metabolite keys and values from GSM biomass rxn]],":"),CHAR(34),"")</f>
        <v>trnapro_c</v>
      </c>
      <c r="C82" t="str">
        <f>_xlfn.TEXTBEFORE(mets2733[[#This Row],[name]],"_",-1)</f>
        <v>trnapro</v>
      </c>
      <c r="D82" t="str">
        <f>_xlfn.XLOOKUP(mets2733[[#This Row],[name w/o location]],metaboliteInfo[name w/o location],metaboliteInfo[suggested category],"")</f>
        <v>ignore</v>
      </c>
      <c r="E82" s="21">
        <f>_xlfn.XLOOKUP(mets2733[[#This Row],[name w/o location]],metaboliteInfo[name w/o location],metaboliteInfo[MW for biomass normalization (g/mol)],0)</f>
        <v>0</v>
      </c>
      <c r="F82" s="21">
        <f>_xlfn.NUMBERVALUE(SUBSTITUTE(_xlfn.TEXTAFTER(mets2733[[#This Row],[pasted JSON metabolite keys and values from GSM biomass rxn]],":"),",",""))</f>
        <v>0.18020972664902701</v>
      </c>
      <c r="G82" s="21" cm="1">
        <f t="array" ref="G82">_xlfn.LET(_xlpm.id,mets2733[[#This Row],[name w/o location]],IF(IsElementOfSet_DIY(_xlpm.id,{"atp","adp","h","pi","h2o"}),SIGN(mets2733[[#This Row],[raw (GSM) coefficient]])*(ABS(mets2733[[#This Row],[raw (GSM) coefficient]])-$J$2),mets2733[[#This Row],[raw (GSM) coefficient]]))</f>
        <v>0.18020972664902701</v>
      </c>
      <c r="H82" s="161">
        <f>mets2733[[#This Row],[coeff. w/o GAM]]</f>
        <v>0.18020972664902701</v>
      </c>
      <c r="I82" s="161">
        <f t="shared" si="4"/>
        <v>0.17906426290151092</v>
      </c>
      <c r="J82" s="21" cm="1">
        <f t="array" ref="J82">_xlfn.LET(_xlpm.id,mets2733[[#This Row],[name w/o location]],_xlpm.oldcoeff,mets2733[[#This Row],[normalized coeffs]],_xlpm.gam,$J$2-$G$2,_xlfn.IFS(IFERROR(MATCH(_xlpm.id,{"atp","h2o"},0),0)&gt;0,_xlpm.oldcoeff-_xlpm.gam,IFERROR(MATCH(_xlpm.id,{"adp","h","pi"},0),0)&gt;0,_xlpm.oldcoeff+_xlpm.gam,TRUE,_xlpm.oldcoeff))</f>
        <v>0.17906426290151092</v>
      </c>
      <c r="K82" t="str" cm="1">
        <f t="array" ref="K82">"BIOSYN-"&amp;_xlfn.IFS(IFERROR(MATCH(mets2733[[#This Row],[category]],{0,"0",""},0),0)&gt;0,mets2733[[#This Row],[name]],TRUE,mets2733[[#This Row],[category]]&amp;"-"&amp;mets2733[[#This Row],[name]])</f>
        <v>BIOSYN-ignore-trnapro_c</v>
      </c>
      <c r="L82" s="149" t="str" cm="1">
        <f t="array" ref="L82">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2" s="149" cm="1">
        <f t="array" ref="M8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0.18020972664902707</v>
      </c>
      <c r="N82" s="149"/>
      <c r="O82" s="149"/>
      <c r="P82" s="149" t="str">
        <v>"utp_c":0.062537</v>
      </c>
      <c r="R82" s="149" t="str">
        <v>"utp_c":-0.062537</v>
      </c>
      <c r="S82" s="149"/>
      <c r="T82" s="149"/>
      <c r="U82" s="149"/>
      <c r="V82" s="149"/>
    </row>
    <row r="83" spans="1:22" ht="16" x14ac:dyDescent="0.2">
      <c r="A83" s="144" t="s">
        <v>1698</v>
      </c>
      <c r="B83" t="str">
        <f>SUBSTITUTE(_xlfn.TEXTBEFORE(mets2733[[#This Row],[pasted JSON metabolite keys and values from GSM biomass rxn]],":"),CHAR(34),"")</f>
        <v>trnaser_c</v>
      </c>
      <c r="C83" t="str">
        <f>_xlfn.TEXTBEFORE(mets2733[[#This Row],[name]],"_",-1)</f>
        <v>trnaser</v>
      </c>
      <c r="D83" t="str">
        <f>_xlfn.XLOOKUP(mets2733[[#This Row],[name w/o location]],metaboliteInfo[name w/o location],metaboliteInfo[suggested category],"")</f>
        <v>ignore</v>
      </c>
      <c r="E83" s="21">
        <f>_xlfn.XLOOKUP(mets2733[[#This Row],[name w/o location]],metaboliteInfo[name w/o location],metaboliteInfo[MW for biomass normalization (g/mol)],0)</f>
        <v>0</v>
      </c>
      <c r="F83" s="21">
        <f>_xlfn.NUMBERVALUE(SUBSTITUTE(_xlfn.TEXTAFTER(mets2733[[#This Row],[pasted JSON metabolite keys and values from GSM biomass rxn]],":"),",",""))</f>
        <v>0.22966695032539899</v>
      </c>
      <c r="G83" s="21" cm="1">
        <f t="array" ref="G83">_xlfn.LET(_xlpm.id,mets2733[[#This Row],[name w/o location]],IF(IsElementOfSet_DIY(_xlpm.id,{"atp","adp","h","pi","h2o"}),SIGN(mets2733[[#This Row],[raw (GSM) coefficient]])*(ABS(mets2733[[#This Row],[raw (GSM) coefficient]])-$J$2),mets2733[[#This Row],[raw (GSM) coefficient]]))</f>
        <v>0.22966695032539899</v>
      </c>
      <c r="H83" s="161">
        <f>mets2733[[#This Row],[coeff. w/o GAM]]</f>
        <v>0.22966695032539899</v>
      </c>
      <c r="I83" s="161">
        <f t="shared" si="4"/>
        <v>0.22820712254311348</v>
      </c>
      <c r="J83" s="21" cm="1">
        <f t="array" ref="J83">_xlfn.LET(_xlpm.id,mets2733[[#This Row],[name w/o location]],_xlpm.oldcoeff,mets2733[[#This Row],[normalized coeffs]],_xlpm.gam,$J$2-$G$2,_xlfn.IFS(IFERROR(MATCH(_xlpm.id,{"atp","h2o"},0),0)&gt;0,_xlpm.oldcoeff-_xlpm.gam,IFERROR(MATCH(_xlpm.id,{"adp","h","pi"},0),0)&gt;0,_xlpm.oldcoeff+_xlpm.gam,TRUE,_xlpm.oldcoeff))</f>
        <v>0.22820712254311348</v>
      </c>
      <c r="K83" t="str" cm="1">
        <f t="array" ref="K83">"BIOSYN-"&amp;_xlfn.IFS(IFERROR(MATCH(mets2733[[#This Row],[category]],{0,"0",""},0),0)&gt;0,mets2733[[#This Row],[name]],TRUE,mets2733[[#This Row],[category]]&amp;"-"&amp;mets2733[[#This Row],[name]])</f>
        <v>BIOSYN-ignore-trnaser_c</v>
      </c>
      <c r="L83" s="149" t="str" cm="1">
        <f t="array" ref="L83">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3" s="149" cm="1">
        <f t="array" ref="M8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0.22966695032539902</v>
      </c>
      <c r="N83" s="149"/>
      <c r="O83" s="149"/>
      <c r="P83" s="149" t="str">
        <v>"val__L_c":0.304524</v>
      </c>
      <c r="R83" s="149" t="str">
        <v>"valtrna_c":-0.304524</v>
      </c>
      <c r="S83" s="149"/>
      <c r="T83" s="149"/>
      <c r="U83" s="149"/>
      <c r="V83" s="149"/>
    </row>
    <row r="84" spans="1:22" ht="16" x14ac:dyDescent="0.2">
      <c r="A84" s="144" t="s">
        <v>1699</v>
      </c>
      <c r="B84" t="str">
        <f>SUBSTITUTE(_xlfn.TEXTBEFORE(mets2733[[#This Row],[pasted JSON metabolite keys and values from GSM biomass rxn]],":"),CHAR(34),"")</f>
        <v>trnathr_c</v>
      </c>
      <c r="C84" t="str">
        <f>_xlfn.TEXTBEFORE(mets2733[[#This Row],[name]],"_",-1)</f>
        <v>trnathr</v>
      </c>
      <c r="D84" t="str">
        <f>_xlfn.XLOOKUP(mets2733[[#This Row],[name w/o location]],metaboliteInfo[name w/o location],metaboliteInfo[suggested category],"")</f>
        <v>ignore</v>
      </c>
      <c r="E84" s="21">
        <f>_xlfn.XLOOKUP(mets2733[[#This Row],[name w/o location]],metaboliteInfo[name w/o location],metaboliteInfo[MW for biomass normalization (g/mol)],0)</f>
        <v>0</v>
      </c>
      <c r="F84" s="21">
        <f>_xlfn.NUMBERVALUE(SUBSTITUTE(_xlfn.TEXTAFTER(mets2733[[#This Row],[pasted JSON metabolite keys and values from GSM biomass rxn]],":"),",",""))</f>
        <v>0.23786031060648299</v>
      </c>
      <c r="G84" s="21" cm="1">
        <f t="array" ref="G84">_xlfn.LET(_xlpm.id,mets2733[[#This Row],[name w/o location]],IF(IsElementOfSet_DIY(_xlpm.id,{"atp","adp","h","pi","h2o"}),SIGN(mets2733[[#This Row],[raw (GSM) coefficient]])*(ABS(mets2733[[#This Row],[raw (GSM) coefficient]])-$J$2),mets2733[[#This Row],[raw (GSM) coefficient]]))</f>
        <v>0.23786031060648299</v>
      </c>
      <c r="H84" s="161">
        <f>mets2733[[#This Row],[coeff. w/o GAM]]</f>
        <v>0.23786031060648299</v>
      </c>
      <c r="I84" s="161">
        <f t="shared" si="4"/>
        <v>0.23634840352000655</v>
      </c>
      <c r="J84" s="21" cm="1">
        <f t="array" ref="J84">_xlfn.LET(_xlpm.id,mets2733[[#This Row],[name w/o location]],_xlpm.oldcoeff,mets2733[[#This Row],[normalized coeffs]],_xlpm.gam,$J$2-$G$2,_xlfn.IFS(IFERROR(MATCH(_xlpm.id,{"atp","h2o"},0),0)&gt;0,_xlpm.oldcoeff-_xlpm.gam,IFERROR(MATCH(_xlpm.id,{"adp","h","pi"},0),0)&gt;0,_xlpm.oldcoeff+_xlpm.gam,TRUE,_xlpm.oldcoeff))</f>
        <v>0.23634840352000655</v>
      </c>
      <c r="K84" t="str" cm="1">
        <f t="array" ref="K84">"BIOSYN-"&amp;_xlfn.IFS(IFERROR(MATCH(mets2733[[#This Row],[category]],{0,"0",""},0),0)&gt;0,mets2733[[#This Row],[name]],TRUE,mets2733[[#This Row],[category]]&amp;"-"&amp;mets2733[[#This Row],[name]])</f>
        <v>BIOSYN-ignore-trnathr_c</v>
      </c>
      <c r="L84" s="149" t="str" cm="1">
        <f t="array" ref="L84">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4" s="149" cm="1">
        <f t="array" ref="M84">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0.23786031060648305</v>
      </c>
      <c r="N84" s="149"/>
      <c r="O84" s="149"/>
      <c r="P84" s="149" t="str">
        <v>"zn2_c":0.001576</v>
      </c>
      <c r="R84" s="149" t="str">
        <v>"zn2_c":-0.001576</v>
      </c>
      <c r="S84" s="149"/>
      <c r="T84" s="149"/>
      <c r="U84" s="149"/>
      <c r="V84" s="149"/>
    </row>
    <row r="85" spans="1:22" ht="16" x14ac:dyDescent="0.2">
      <c r="A85" s="144" t="s">
        <v>1700</v>
      </c>
      <c r="B85" t="str">
        <f>SUBSTITUTE(_xlfn.TEXTBEFORE(mets2733[[#This Row],[pasted JSON metabolite keys and values from GSM biomass rxn]],":"),CHAR(34),"")</f>
        <v>trnatrp_c</v>
      </c>
      <c r="C85" t="str">
        <f>_xlfn.TEXTBEFORE(mets2733[[#This Row],[name]],"_",-1)</f>
        <v>trnatrp</v>
      </c>
      <c r="D85" t="str">
        <f>_xlfn.XLOOKUP(mets2733[[#This Row],[name w/o location]],metaboliteInfo[name w/o location],metaboliteInfo[suggested category],"")</f>
        <v>ignore</v>
      </c>
      <c r="E85" s="21">
        <f>_xlfn.XLOOKUP(mets2733[[#This Row],[name w/o location]],metaboliteInfo[name w/o location],metaboliteInfo[MW for biomass normalization (g/mol)],0)</f>
        <v>0</v>
      </c>
      <c r="F85" s="21">
        <f>_xlfn.NUMBERVALUE(SUBSTITUTE(_xlfn.TEXTAFTER(mets2733[[#This Row],[pasted JSON metabolite keys and values from GSM biomass rxn]],":"),",",""))</f>
        <v>2.7757307869827701E-2</v>
      </c>
      <c r="G85" s="21" cm="1">
        <f t="array" ref="G85">_xlfn.LET(_xlpm.id,mets2733[[#This Row],[name w/o location]],IF(IsElementOfSet_DIY(_xlpm.id,{"atp","adp","h","pi","h2o"}),SIGN(mets2733[[#This Row],[raw (GSM) coefficient]])*(ABS(mets2733[[#This Row],[raw (GSM) coefficient]])-$J$2),mets2733[[#This Row],[raw (GSM) coefficient]]))</f>
        <v>2.7757307869827701E-2</v>
      </c>
      <c r="H85" s="161">
        <f>mets2733[[#This Row],[coeff. w/o GAM]]</f>
        <v>2.7757307869827701E-2</v>
      </c>
      <c r="I85" s="161">
        <f t="shared" si="4"/>
        <v>2.7580874607956912E-2</v>
      </c>
      <c r="J85" s="21" cm="1">
        <f t="array" ref="J85">_xlfn.LET(_xlpm.id,mets2733[[#This Row],[name w/o location]],_xlpm.oldcoeff,mets2733[[#This Row],[normalized coeffs]],_xlpm.gam,$J$2-$G$2,_xlfn.IFS(IFERROR(MATCH(_xlpm.id,{"atp","h2o"},0),0)&gt;0,_xlpm.oldcoeff-_xlpm.gam,IFERROR(MATCH(_xlpm.id,{"adp","h","pi"},0),0)&gt;0,_xlpm.oldcoeff+_xlpm.gam,TRUE,_xlpm.oldcoeff))</f>
        <v>2.7580874607956912E-2</v>
      </c>
      <c r="K85" t="str" cm="1">
        <f t="array" ref="K85">"BIOSYN-"&amp;_xlfn.IFS(IFERROR(MATCH(mets2733[[#This Row],[category]],{0,"0",""},0),0)&gt;0,mets2733[[#This Row],[name]],TRUE,mets2733[[#This Row],[category]]&amp;"-"&amp;mets2733[[#This Row],[name]])</f>
        <v>BIOSYN-ignore-trnatrp_c</v>
      </c>
      <c r="L85" s="149" t="str" cm="1">
        <f t="array" ref="L85">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5" s="149" cm="1">
        <f t="array" ref="M85">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2.7757307869827708E-2</v>
      </c>
      <c r="N85" s="149"/>
      <c r="O85" s="149"/>
      <c r="P85" s="149" t="str">
        <v>"adp_c":190.57899</v>
      </c>
      <c r="R85" s="149" t="str">
        <v>"adp_c":-190.57899</v>
      </c>
      <c r="S85" s="149"/>
      <c r="T85" s="149"/>
      <c r="U85" s="149"/>
      <c r="V85" s="149"/>
    </row>
    <row r="86" spans="1:22" ht="16" x14ac:dyDescent="0.2">
      <c r="A86" s="144" t="s">
        <v>1701</v>
      </c>
      <c r="B86" t="str">
        <f>SUBSTITUTE(_xlfn.TEXTBEFORE(mets2733[[#This Row],[pasted JSON metabolite keys and values from GSM biomass rxn]],":"),CHAR(34),"")</f>
        <v>trnatyr_c</v>
      </c>
      <c r="C86" t="str">
        <f>_xlfn.TEXTBEFORE(mets2733[[#This Row],[name]],"_",-1)</f>
        <v>trnatyr</v>
      </c>
      <c r="D86" t="str">
        <f>_xlfn.XLOOKUP(mets2733[[#This Row],[name w/o location]],metaboliteInfo[name w/o location],metaboliteInfo[suggested category],"")</f>
        <v>ignore</v>
      </c>
      <c r="E86" s="21">
        <f>_xlfn.XLOOKUP(mets2733[[#This Row],[name w/o location]],metaboliteInfo[name w/o location],metaboliteInfo[MW for biomass normalization (g/mol)],0)</f>
        <v>0</v>
      </c>
      <c r="F86" s="21">
        <f>_xlfn.NUMBERVALUE(SUBSTITUTE(_xlfn.TEXTAFTER(mets2733[[#This Row],[pasted JSON metabolite keys and values from GSM biomass rxn]],":"),",",""))</f>
        <v>8.3699528411506796E-2</v>
      </c>
      <c r="G86" s="21" cm="1">
        <f t="array" ref="G86">_xlfn.LET(_xlpm.id,mets2733[[#This Row],[name w/o location]],IF(IsElementOfSet_DIY(_xlpm.id,{"atp","adp","h","pi","h2o"}),SIGN(mets2733[[#This Row],[raw (GSM) coefficient]])*(ABS(mets2733[[#This Row],[raw (GSM) coefficient]])-$J$2),mets2733[[#This Row],[raw (GSM) coefficient]]))</f>
        <v>8.3699528411506796E-2</v>
      </c>
      <c r="H86" s="161">
        <f>mets2733[[#This Row],[coeff. w/o GAM]]</f>
        <v>8.3699528411506796E-2</v>
      </c>
      <c r="I86" s="161">
        <f t="shared" si="4"/>
        <v>8.3167510649411747E-2</v>
      </c>
      <c r="J86" s="21" cm="1">
        <f t="array" ref="J86">_xlfn.LET(_xlpm.id,mets2733[[#This Row],[name w/o location]],_xlpm.oldcoeff,mets2733[[#This Row],[normalized coeffs]],_xlpm.gam,$J$2-$G$2,_xlfn.IFS(IFERROR(MATCH(_xlpm.id,{"atp","h2o"},0),0)&gt;0,_xlpm.oldcoeff-_xlpm.gam,IFERROR(MATCH(_xlpm.id,{"adp","h","pi"},0),0)&gt;0,_xlpm.oldcoeff+_xlpm.gam,TRUE,_xlpm.oldcoeff))</f>
        <v>8.3167510649411747E-2</v>
      </c>
      <c r="K86" t="str" cm="1">
        <f t="array" ref="K86">"BIOSYN-"&amp;_xlfn.IFS(IFERROR(MATCH(mets2733[[#This Row],[category]],{0,"0",""},0),0)&gt;0,mets2733[[#This Row],[name]],TRUE,mets2733[[#This Row],[category]]&amp;"-"&amp;mets2733[[#This Row],[name]])</f>
        <v>BIOSYN-ignore-trnatyr_c</v>
      </c>
      <c r="L86" s="149" t="str" cm="1">
        <f t="array" ref="L86">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6" s="149" cm="1">
        <f t="array" ref="M86">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8.369952841150681E-2</v>
      </c>
      <c r="N86" s="149"/>
      <c r="O86" s="149"/>
      <c r="P86" s="149" t="str">
        <v>"h_c":190.57899</v>
      </c>
      <c r="R86" s="149" t="str">
        <v>"h_c":-190.57899</v>
      </c>
      <c r="S86" s="149"/>
      <c r="T86" s="149"/>
      <c r="U86" s="149"/>
      <c r="V86" s="149"/>
    </row>
    <row r="87" spans="1:22" ht="16" x14ac:dyDescent="0.2">
      <c r="A87" s="144" t="s">
        <v>1702</v>
      </c>
      <c r="B87" t="str">
        <f>SUBSTITUTE(_xlfn.TEXTBEFORE(mets2733[[#This Row],[pasted JSON metabolite keys and values from GSM biomass rxn]],":"),CHAR(34),"")</f>
        <v>trnaval_c</v>
      </c>
      <c r="C87" t="str">
        <f>_xlfn.TEXTBEFORE(mets2733[[#This Row],[name]],"_",-1)</f>
        <v>trnaval</v>
      </c>
      <c r="D87" t="str">
        <f>_xlfn.XLOOKUP(mets2733[[#This Row],[name w/o location]],metaboliteInfo[name w/o location],metaboliteInfo[suggested category],"")</f>
        <v>ignore</v>
      </c>
      <c r="E87" s="21">
        <f>_xlfn.XLOOKUP(mets2733[[#This Row],[name w/o location]],metaboliteInfo[name w/o location],metaboliteInfo[MW for biomass normalization (g/mol)],0)</f>
        <v>0</v>
      </c>
      <c r="F87" s="21">
        <f>_xlfn.NUMBERVALUE(SUBSTITUTE(_xlfn.TEXTAFTER(mets2733[[#This Row],[pasted JSON metabolite keys and values from GSM biomass rxn]],":"),",",""))</f>
        <v>0.31301904983526202</v>
      </c>
      <c r="G87" s="21" cm="1">
        <f t="array" ref="G87">_xlfn.LET(_xlpm.id,mets2733[[#This Row],[name w/o location]],IF(IsElementOfSet_DIY(_xlpm.id,{"atp","adp","h","pi","h2o"}),SIGN(mets2733[[#This Row],[raw (GSM) coefficient]])*(ABS(mets2733[[#This Row],[raw (GSM) coefficient]])-$J$2),mets2733[[#This Row],[raw (GSM) coefficient]]))</f>
        <v>0.31301904983526202</v>
      </c>
      <c r="H87" s="161">
        <f>mets2733[[#This Row],[coeff. w/o GAM]]</f>
        <v>0.31301904983526202</v>
      </c>
      <c r="I87" s="161">
        <f t="shared" si="4"/>
        <v>0.31102941264677364</v>
      </c>
      <c r="J87" s="21" cm="1">
        <f t="array" ref="J87">_xlfn.LET(_xlpm.id,mets2733[[#This Row],[name w/o location]],_xlpm.oldcoeff,mets2733[[#This Row],[normalized coeffs]],_xlpm.gam,$J$2-$G$2,_xlfn.IFS(IFERROR(MATCH(_xlpm.id,{"atp","h2o"},0),0)&gt;0,_xlpm.oldcoeff-_xlpm.gam,IFERROR(MATCH(_xlpm.id,{"adp","h","pi"},0),0)&gt;0,_xlpm.oldcoeff+_xlpm.gam,TRUE,_xlpm.oldcoeff))</f>
        <v>0.31102941264677364</v>
      </c>
      <c r="K87" t="str" cm="1">
        <f t="array" ref="K87">"BIOSYN-"&amp;_xlfn.IFS(IFERROR(MATCH(mets2733[[#This Row],[category]],{0,"0",""},0),0)&gt;0,mets2733[[#This Row],[name]],TRUE,mets2733[[#This Row],[category]]&amp;"-"&amp;mets2733[[#This Row],[name]])</f>
        <v>BIOSYN-ignore-trnaval_c</v>
      </c>
      <c r="L87" s="149" t="str" cm="1">
        <f t="array" ref="L87">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7" s="149" cm="1">
        <f t="array" ref="M87">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0.31301904983526208</v>
      </c>
      <c r="N87" s="149"/>
      <c r="O87" s="149"/>
      <c r="P87" s="149" t="str">
        <v>"pi_c":190.473335</v>
      </c>
      <c r="R87" s="149" t="str">
        <v>"pi_c":-190.473335</v>
      </c>
      <c r="S87" s="149"/>
      <c r="T87" s="149"/>
      <c r="U87" s="149"/>
      <c r="V87" s="149"/>
    </row>
    <row r="88" spans="1:22" ht="16" x14ac:dyDescent="0.2">
      <c r="A88" s="144" t="s">
        <v>1703</v>
      </c>
      <c r="B88" t="str">
        <f>SUBSTITUTE(_xlfn.TEXTBEFORE(mets2733[[#This Row],[pasted JSON metabolite keys and values from GSM biomass rxn]],":"),CHAR(34),"")</f>
        <v>trptrna_c</v>
      </c>
      <c r="C88" t="str">
        <f>_xlfn.TEXTBEFORE(mets2733[[#This Row],[name]],"_",-1)</f>
        <v>trptrna</v>
      </c>
      <c r="D88" t="str">
        <f>_xlfn.XLOOKUP(mets2733[[#This Row],[name w/o location]],metaboliteInfo[name w/o location],metaboliteInfo[suggested category],"")</f>
        <v>PROT</v>
      </c>
      <c r="E88" s="21">
        <f>_xlfn.XLOOKUP(mets2733[[#This Row],[name w/o location]],metaboliteInfo[name w/o location],metaboliteInfo[MW for biomass normalization (g/mol)],0)</f>
        <v>187.21784</v>
      </c>
      <c r="F88" s="21">
        <f>_xlfn.NUMBERVALUE(SUBSTITUTE(_xlfn.TEXTAFTER(mets2733[[#This Row],[pasted JSON metabolite keys and values from GSM biomass rxn]],":"),",",""))</f>
        <v>-2.7757307869827701E-2</v>
      </c>
      <c r="G88" s="21" cm="1">
        <f t="array" ref="G88">_xlfn.LET(_xlpm.id,mets2733[[#This Row],[name w/o location]],IF(IsElementOfSet_DIY(_xlpm.id,{"atp","adp","h","pi","h2o"}),SIGN(mets2733[[#This Row],[raw (GSM) coefficient]])*(ABS(mets2733[[#This Row],[raw (GSM) coefficient]])-$J$2),mets2733[[#This Row],[raw (GSM) coefficient]]))</f>
        <v>-2.7757307869827701E-2</v>
      </c>
      <c r="H88" s="161">
        <f>mets2733[[#This Row],[coeff. w/o GAM]]</f>
        <v>-2.7757307869827701E-2</v>
      </c>
      <c r="I88" s="161">
        <f t="shared" si="4"/>
        <v>-2.7580874607956912E-2</v>
      </c>
      <c r="J88" s="21" cm="1">
        <f t="array" ref="J88">_xlfn.LET(_xlpm.id,mets2733[[#This Row],[name w/o location]],_xlpm.oldcoeff,mets2733[[#This Row],[normalized coeffs]],_xlpm.gam,$J$2-$G$2,_xlfn.IFS(IFERROR(MATCH(_xlpm.id,{"atp","h2o"},0),0)&gt;0,_xlpm.oldcoeff-_xlpm.gam,IFERROR(MATCH(_xlpm.id,{"adp","h","pi"},0),0)&gt;0,_xlpm.oldcoeff+_xlpm.gam,TRUE,_xlpm.oldcoeff))</f>
        <v>-2.7580874607956912E-2</v>
      </c>
      <c r="K88" t="str" cm="1">
        <f t="array" ref="K88">"BIOSYN-"&amp;_xlfn.IFS(IFERROR(MATCH(mets2733[[#This Row],[category]],{0,"0",""},0),0)&gt;0,mets2733[[#This Row],[name]],TRUE,mets2733[[#This Row],[category]]&amp;"-"&amp;mets2733[[#This Row],[name]])</f>
        <v>BIOSYN-PROT-trptrna_c</v>
      </c>
      <c r="L88" s="149" t="str" cm="1">
        <f t="array" ref="L88">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88" s="149" cm="1">
        <f t="array" ref="M88">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-2.7757307869827708E-2</v>
      </c>
      <c r="N88" s="149"/>
      <c r="O88" s="149"/>
      <c r="P88" s="149" t="str">
        <v>"ppi_c":0.385495</v>
      </c>
      <c r="R88" s="149" t="str">
        <v>"ppi_c":-0.385495</v>
      </c>
      <c r="S88" s="149"/>
      <c r="T88" s="149"/>
      <c r="U88" s="149"/>
      <c r="V88" s="149"/>
    </row>
    <row r="89" spans="1:22" ht="16" x14ac:dyDescent="0.2">
      <c r="A89" s="144" t="s">
        <v>1470</v>
      </c>
      <c r="B89" t="str">
        <f>SUBSTITUTE(_xlfn.TEXTBEFORE(mets2733[[#This Row],[pasted JSON metabolite keys and values from GSM biomass rxn]],":"),CHAR(34),"")</f>
        <v>ttccoa_c</v>
      </c>
      <c r="C89" t="str">
        <f>_xlfn.TEXTBEFORE(mets2733[[#This Row],[name]],"_",-1)</f>
        <v>ttccoa</v>
      </c>
      <c r="D89" t="str">
        <f>_xlfn.XLOOKUP(mets2733[[#This Row],[name w/o location]],metaboliteInfo[name w/o location],metaboliteInfo[suggested category],"")</f>
        <v>LIPID</v>
      </c>
      <c r="E89" s="21">
        <f>_xlfn.XLOOKUP(mets2733[[#This Row],[name w/o location]],metaboliteInfo[name w/o location],metaboliteInfo[MW for biomass normalization (g/mol)],0)</f>
        <v>1114.123803</v>
      </c>
      <c r="F89" s="21">
        <f>_xlfn.NUMBERVALUE(SUBSTITUTE(_xlfn.TEXTAFTER(mets2733[[#This Row],[pasted JSON metabolite keys and values from GSM biomass rxn]],":"),",",""))</f>
        <v>-1.00966845632259E-3</v>
      </c>
      <c r="G89" s="21" cm="1">
        <f t="array" ref="G89">_xlfn.LET(_xlpm.id,mets2733[[#This Row],[name w/o location]],IF(IsElementOfSet_DIY(_xlpm.id,{"atp","adp","h","pi","h2o"}),SIGN(mets2733[[#This Row],[raw (GSM) coefficient]])*(ABS(mets2733[[#This Row],[raw (GSM) coefficient]])-$J$2),mets2733[[#This Row],[raw (GSM) coefficient]]))</f>
        <v>-1.00966845632259E-3</v>
      </c>
      <c r="H89" s="161">
        <f>mets2733[[#This Row],[coeff. w/o GAM]]</f>
        <v>-1.00966845632259E-3</v>
      </c>
      <c r="I89" s="161">
        <f t="shared" si="4"/>
        <v>-1.0032507194155222E-3</v>
      </c>
      <c r="J89" s="21" cm="1">
        <f t="array" ref="J89">_xlfn.LET(_xlpm.id,mets2733[[#This Row],[name w/o location]],_xlpm.oldcoeff,mets2733[[#This Row],[normalized coeffs]],_xlpm.gam,$J$2-$G$2,_xlfn.IFS(IFERROR(MATCH(_xlpm.id,{"atp","h2o"},0),0)&gt;0,_xlpm.oldcoeff-_xlpm.gam,IFERROR(MATCH(_xlpm.id,{"adp","h","pi"},0),0)&gt;0,_xlpm.oldcoeff+_xlpm.gam,TRUE,_xlpm.oldcoeff))</f>
        <v>-1.0032507194155222E-3</v>
      </c>
      <c r="K89" t="str" cm="1">
        <f t="array" ref="K89">"BIOSYN-"&amp;_xlfn.IFS(IFERROR(MATCH(mets2733[[#This Row],[category]],{0,"0",""},0),0)&gt;0,mets2733[[#This Row],[name]],TRUE,mets2733[[#This Row],[category]]&amp;"-"&amp;mets2733[[#This Row],[name]])</f>
        <v>BIOSYN-LIPID-ttccoa_c</v>
      </c>
      <c r="L89" s="149" t="str" cm="1">
        <f t="array" ref="L89">IF(IsElementOfSet_DIY(mets2733[[#This Row],[category]],{"ignore","PROT"}),"",_xlfn.LET(_xlpm.mw,mets2733[[#This Row],[MW for biomass normalization (g/mol)]],"MET-"&amp;mets2733[[#This Row],[name]]&amp;" --&gt; "&amp;IF((mets2733[[#This Row],[category]]="DNA")+(mets2733[[#This Row],[category]]="RNA"),"MET-ppi_c + ","")&amp;ROUND(ABS(_xlpm.mw/1000),6)&amp;" BIO-"&amp;mets2733[[#This Row],[name]]))</f>
        <v>MET-ttccoa_c --&gt; 1.114124 BIO-ttccoa_c</v>
      </c>
      <c r="M89" s="149" cm="1">
        <f t="array" ref="M89">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-1.00966845632259E-3</v>
      </c>
      <c r="N89" s="149"/>
      <c r="O89" s="149"/>
      <c r="P89" s="149"/>
      <c r="R89" s="149" t="str">
        <v>"trnaala_c":0.405893</v>
      </c>
      <c r="S89" s="149"/>
      <c r="T89" s="149"/>
      <c r="U89" s="149"/>
      <c r="V89" s="149"/>
    </row>
    <row r="90" spans="1:22" ht="16" x14ac:dyDescent="0.2">
      <c r="A90" s="144" t="s">
        <v>1704</v>
      </c>
      <c r="B90" t="str">
        <f>SUBSTITUTE(_xlfn.TEXTBEFORE(mets2733[[#This Row],[pasted JSON metabolite keys and values from GSM biomass rxn]],":"),CHAR(34),"")</f>
        <v>tyrtrna_c</v>
      </c>
      <c r="C90" t="str">
        <f>_xlfn.TEXTBEFORE(mets2733[[#This Row],[name]],"_",-1)</f>
        <v>tyrtrna</v>
      </c>
      <c r="D90" t="str">
        <f>_xlfn.XLOOKUP(mets2733[[#This Row],[name w/o location]],metaboliteInfo[name w/o location],metaboliteInfo[suggested category],"")</f>
        <v>PROT</v>
      </c>
      <c r="E90" s="21">
        <f>_xlfn.XLOOKUP(mets2733[[#This Row],[name w/o location]],metaboliteInfo[name w/o location],metaboliteInfo[MW for biomass normalization (g/mol)],0)</f>
        <v>164.18119999999999</v>
      </c>
      <c r="F90" s="21">
        <f>_xlfn.NUMBERVALUE(SUBSTITUTE(_xlfn.TEXTAFTER(mets2733[[#This Row],[pasted JSON metabolite keys and values from GSM biomass rxn]],":"),",",""))</f>
        <v>-8.3699528411506796E-2</v>
      </c>
      <c r="G90" s="21" cm="1">
        <f t="array" ref="G90">_xlfn.LET(_xlpm.id,mets2733[[#This Row],[name w/o location]],IF(IsElementOfSet_DIY(_xlpm.id,{"atp","adp","h","pi","h2o"}),SIGN(mets2733[[#This Row],[raw (GSM) coefficient]])*(ABS(mets2733[[#This Row],[raw (GSM) coefficient]])-$J$2),mets2733[[#This Row],[raw (GSM) coefficient]]))</f>
        <v>-8.3699528411506796E-2</v>
      </c>
      <c r="H90" s="161">
        <f>mets2733[[#This Row],[coeff. w/o GAM]]</f>
        <v>-8.3699528411506796E-2</v>
      </c>
      <c r="I90" s="161">
        <f t="shared" si="4"/>
        <v>-8.3167510649411747E-2</v>
      </c>
      <c r="J90" s="21" cm="1">
        <f t="array" ref="J90">_xlfn.LET(_xlpm.id,mets2733[[#This Row],[name w/o location]],_xlpm.oldcoeff,mets2733[[#This Row],[normalized coeffs]],_xlpm.gam,$J$2-$G$2,_xlfn.IFS(IFERROR(MATCH(_xlpm.id,{"atp","h2o"},0),0)&gt;0,_xlpm.oldcoeff-_xlpm.gam,IFERROR(MATCH(_xlpm.id,{"adp","h","pi"},0),0)&gt;0,_xlpm.oldcoeff+_xlpm.gam,TRUE,_xlpm.oldcoeff))</f>
        <v>-8.3167510649411747E-2</v>
      </c>
      <c r="K90" t="str" cm="1">
        <f t="array" ref="K90">"BIOSYN-"&amp;_xlfn.IFS(IFERROR(MATCH(mets2733[[#This Row],[category]],{0,"0",""},0),0)&gt;0,mets2733[[#This Row],[name]],TRUE,mets2733[[#This Row],[category]]&amp;"-"&amp;mets2733[[#This Row],[name]])</f>
        <v>BIOSYN-PROT-tyrtrna_c</v>
      </c>
      <c r="L90" s="149" t="str" cm="1">
        <f t="array" ref="L90">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90" s="149" cm="1">
        <f t="array" ref="M90">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-8.369952841150681E-2</v>
      </c>
      <c r="N90" s="149"/>
      <c r="O90" s="149"/>
      <c r="P90" s="149"/>
      <c r="R90" s="149" t="str">
        <v>"trnaarg_c":0.160363</v>
      </c>
      <c r="S90" s="149"/>
      <c r="T90" s="149"/>
      <c r="U90" s="149"/>
      <c r="V90" s="149"/>
    </row>
    <row r="91" spans="1:22" ht="16" x14ac:dyDescent="0.2">
      <c r="A91" s="144" t="s">
        <v>1471</v>
      </c>
      <c r="B91" t="str">
        <f>SUBSTITUTE(_xlfn.TEXTBEFORE(mets2733[[#This Row],[pasted JSON metabolite keys and values from GSM biomass rxn]],":"),CHAR(34),"")</f>
        <v>utp_c</v>
      </c>
      <c r="C91" t="str">
        <f>_xlfn.TEXTBEFORE(mets2733[[#This Row],[name]],"_",-1)</f>
        <v>utp</v>
      </c>
      <c r="D91" t="str">
        <f>_xlfn.XLOOKUP(mets2733[[#This Row],[name w/o location]],metaboliteInfo[name w/o location],metaboliteInfo[suggested category],"")</f>
        <v>RNA</v>
      </c>
      <c r="E91" s="21">
        <f>_xlfn.XLOOKUP(mets2733[[#This Row],[name w/o location]],metaboliteInfo[name w/o location],metaboliteInfo[MW for biomass normalization (g/mol)],0)</f>
        <v>305.15806099999998</v>
      </c>
      <c r="F91" s="21">
        <f>_xlfn.NUMBERVALUE(SUBSTITUTE(_xlfn.TEXTAFTER(mets2733[[#This Row],[pasted JSON metabolite keys and values from GSM biomass rxn]],":"),",",""))</f>
        <v>-6.0939362230862201E-2</v>
      </c>
      <c r="G91" s="21" cm="1">
        <f t="array" ref="G91">_xlfn.LET(_xlpm.id,mets2733[[#This Row],[name w/o location]],IF(IsElementOfSet_DIY(_xlpm.id,{"atp","adp","h","pi","h2o"}),SIGN(mets2733[[#This Row],[raw (GSM) coefficient]])*(ABS(mets2733[[#This Row],[raw (GSM) coefficient]])-$J$2),mets2733[[#This Row],[raw (GSM) coefficient]]))</f>
        <v>-6.0939362230862201E-2</v>
      </c>
      <c r="H91" s="21">
        <f>mets2733[[#This Row],[coeff. w/o GAM]]</f>
        <v>-6.0939362230862201E-2</v>
      </c>
      <c r="I91" s="161">
        <f t="shared" si="4"/>
        <v>-6.0552014491479893E-2</v>
      </c>
      <c r="J91" s="21" cm="1">
        <f t="array" ref="J91">_xlfn.LET(_xlpm.id,mets2733[[#This Row],[name w/o location]],_xlpm.oldcoeff,mets2733[[#This Row],[normalized coeffs]],_xlpm.gam,$J$2-$G$2,_xlfn.IFS(IFERROR(MATCH(_xlpm.id,{"atp","h2o"},0),0)&gt;0,_xlpm.oldcoeff-_xlpm.gam,IFERROR(MATCH(_xlpm.id,{"adp","h","pi"},0),0)&gt;0,_xlpm.oldcoeff+_xlpm.gam,TRUE,_xlpm.oldcoeff))</f>
        <v>-6.0552014491479893E-2</v>
      </c>
      <c r="K91" t="str" cm="1">
        <f t="array" ref="K91">"BIOSYN-"&amp;_xlfn.IFS(IFERROR(MATCH(mets2733[[#This Row],[category]],{0,"0",""},0),0)&gt;0,mets2733[[#This Row],[name]],TRUE,mets2733[[#This Row],[category]]&amp;"-"&amp;mets2733[[#This Row],[name]])</f>
        <v>BIOSYN-RNA-utp_c</v>
      </c>
      <c r="L91" s="149" t="str" cm="1">
        <f t="array" ref="L91">IF(IsElementOfSet_DIY(mets2733[[#This Row],[category]],{"ignore","PROT"}),"",_xlfn.LET(_xlpm.mw,mets2733[[#This Row],[MW for biomass normalization (g/mol)]],"MET-"&amp;mets2733[[#This Row],[name]]&amp;" --&gt; "&amp;IF((mets2733[[#This Row],[category]]="DNA")+(mets2733[[#This Row],[category]]="RNA"),"MET-ppi_c + ","")&amp;ROUND(ABS(_xlpm.mw/1000),6)&amp;" BIO-"&amp;mets2733[[#This Row],[name]]))</f>
        <v>MET-utp_c --&gt; MET-ppi_c + 0.305158 BIO-utp_c</v>
      </c>
      <c r="M91" s="149" cm="1">
        <f t="array" ref="M91">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-6.0939350270388042E-2</v>
      </c>
      <c r="N91" s="149"/>
      <c r="O91" s="149"/>
      <c r="P91" s="149"/>
      <c r="R91" s="149" t="str">
        <v>"trnaasn_c":0.192768</v>
      </c>
      <c r="S91" s="149"/>
      <c r="T91" s="149"/>
      <c r="U91" s="149"/>
      <c r="V91" s="149"/>
    </row>
    <row r="92" spans="1:22" ht="16" x14ac:dyDescent="0.2">
      <c r="A92" s="144" t="s">
        <v>1705</v>
      </c>
      <c r="B92" t="str">
        <f>SUBSTITUTE(_xlfn.TEXTBEFORE(mets2733[[#This Row],[pasted JSON metabolite keys and values from GSM biomass rxn]],":"),CHAR(34),"")</f>
        <v>valtrna_c</v>
      </c>
      <c r="C92" t="str">
        <f>_xlfn.TEXTBEFORE(mets2733[[#This Row],[name]],"_",-1)</f>
        <v>valtrna</v>
      </c>
      <c r="D92" t="str">
        <f>_xlfn.XLOOKUP(mets2733[[#This Row],[name w/o location]],metaboliteInfo[name w/o location],metaboliteInfo[suggested category],"")</f>
        <v>PROT</v>
      </c>
      <c r="E92" s="21">
        <f>_xlfn.XLOOKUP(mets2733[[#This Row],[name w/o location]],metaboliteInfo[name w/o location],metaboliteInfo[MW for biomass normalization (g/mol)],0)</f>
        <v>100.139</v>
      </c>
      <c r="F92" s="21">
        <f>_xlfn.NUMBERVALUE(SUBSTITUTE(_xlfn.TEXTAFTER(mets2733[[#This Row],[pasted JSON metabolite keys and values from GSM biomass rxn]],":"),",",""))</f>
        <v>-0.31301904983526202</v>
      </c>
      <c r="G92" s="21" cm="1">
        <f t="array" ref="G92">_xlfn.LET(_xlpm.id,mets2733[[#This Row],[name w/o location]],IF(IsElementOfSet_DIY(_xlpm.id,{"atp","adp","h","pi","h2o"}),SIGN(mets2733[[#This Row],[raw (GSM) coefficient]])*(ABS(mets2733[[#This Row],[raw (GSM) coefficient]])-$J$2),mets2733[[#This Row],[raw (GSM) coefficient]]))</f>
        <v>-0.31301904983526202</v>
      </c>
      <c r="H92" s="21">
        <f>mets2733[[#This Row],[coeff. w/o GAM]]</f>
        <v>-0.31301904983526202</v>
      </c>
      <c r="I92" s="161">
        <f t="shared" si="4"/>
        <v>-0.31102941264677364</v>
      </c>
      <c r="J92" s="21" cm="1">
        <f t="array" ref="J92">_xlfn.LET(_xlpm.id,mets2733[[#This Row],[name w/o location]],_xlpm.oldcoeff,mets2733[[#This Row],[normalized coeffs]],_xlpm.gam,$J$2-$G$2,_xlfn.IFS(IFERROR(MATCH(_xlpm.id,{"atp","h2o"},0),0)&gt;0,_xlpm.oldcoeff-_xlpm.gam,IFERROR(MATCH(_xlpm.id,{"adp","h","pi"},0),0)&gt;0,_xlpm.oldcoeff+_xlpm.gam,TRUE,_xlpm.oldcoeff))</f>
        <v>-0.31102941264677364</v>
      </c>
      <c r="K92" t="str" cm="1">
        <f t="array" ref="K92">"BIOSYN-"&amp;_xlfn.IFS(IFERROR(MATCH(mets2733[[#This Row],[category]],{0,"0",""},0),0)&gt;0,mets2733[[#This Row],[name]],TRUE,mets2733[[#This Row],[category]]&amp;"-"&amp;mets2733[[#This Row],[name]])</f>
        <v>BIOSYN-PROT-valtrna_c</v>
      </c>
      <c r="L92" s="149" t="str" cm="1">
        <f t="array" ref="L92">IF(IsElementOfSet_DIY(mets2733[[#This Row],[category]],{"ignore","PROT"}),"",_xlfn.LET(_xlpm.mw,mets2733[[#This Row],[MW for biomass normalization (g/mol)]],"MET-"&amp;mets2733[[#This Row],[name]]&amp;" --&gt; "&amp;IF((mets2733[[#This Row],[category]]="DNA")+(mets2733[[#This Row],[category]]="RNA"),"MET-ppi_c + ","")&amp;ROUND(ABS(_xlpm.mw/1000),6)&amp;" BIO-"&amp;mets2733[[#This Row],[name]]))</f>
        <v/>
      </c>
      <c r="M92" s="149" cm="1">
        <f t="array" ref="M92">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-0.31301904983526208</v>
      </c>
      <c r="N92" s="149"/>
      <c r="O92" s="149"/>
      <c r="P92" s="149"/>
      <c r="R92" s="149" t="str">
        <v>"trnaasp_c":0.192768</v>
      </c>
      <c r="S92" s="149"/>
      <c r="T92" s="149"/>
      <c r="U92" s="149"/>
      <c r="V92" s="149"/>
    </row>
    <row r="93" spans="1:22" ht="16" x14ac:dyDescent="0.2">
      <c r="A93" s="144" t="s">
        <v>1706</v>
      </c>
      <c r="B93" t="str">
        <f>SUBSTITUTE(_xlfn.TEXTBEFORE(mets2733[[#This Row],[pasted JSON metabolite keys and values from GSM biomass rxn]],":"),CHAR(34),"")</f>
        <v>zn2_c</v>
      </c>
      <c r="C93" t="str">
        <f>_xlfn.TEXTBEFORE(mets2733[[#This Row],[name]],"_",-1)</f>
        <v>zn2</v>
      </c>
      <c r="D93" t="str">
        <f>_xlfn.XLOOKUP(mets2733[[#This Row],[name w/o location]],metaboliteInfo[name w/o location],metaboliteInfo[suggested category],"")</f>
        <v>METAL</v>
      </c>
      <c r="E93" s="21">
        <f>_xlfn.XLOOKUP(mets2733[[#This Row],[name w/o location]],metaboliteInfo[name w/o location],metaboliteInfo[MW for biomass normalization (g/mol)],0)</f>
        <v>65.38</v>
      </c>
      <c r="F93" s="21">
        <f>_xlfn.NUMBERVALUE(SUBSTITUTE(_xlfn.TEXTAFTER(mets2733[[#This Row],[pasted JSON metabolite keys and values from GSM biomass rxn]],":"),",",""))</f>
        <v>-1.5357378012350899E-3</v>
      </c>
      <c r="G93" s="21" cm="1">
        <f t="array" ref="G93">_xlfn.LET(_xlpm.id,mets2733[[#This Row],[name w/o location]],IF(IsElementOfSet_DIY(_xlpm.id,{"atp","adp","h","pi","h2o"}),SIGN(mets2733[[#This Row],[raw (GSM) coefficient]])*(ABS(mets2733[[#This Row],[raw (GSM) coefficient]])-$J$2),mets2733[[#This Row],[raw (GSM) coefficient]]))</f>
        <v>-1.5357378012350899E-3</v>
      </c>
      <c r="H93" s="21">
        <f>mets2733[[#This Row],[coeff. w/o GAM]]</f>
        <v>-1.5357378012350899E-3</v>
      </c>
      <c r="I93" s="161">
        <f t="shared" si="4"/>
        <v>-1.5259762194952157E-3</v>
      </c>
      <c r="J93" s="21" cm="1">
        <f t="array" ref="J93">_xlfn.LET(_xlpm.id,mets2733[[#This Row],[name w/o location]],_xlpm.oldcoeff,mets2733[[#This Row],[normalized coeffs]],_xlpm.gam,$J$2-$G$2,_xlfn.IFS(IFERROR(MATCH(_xlpm.id,{"atp","h2o"},0),0)&gt;0,_xlpm.oldcoeff-_xlpm.gam,IFERROR(MATCH(_xlpm.id,{"adp","h","pi"},0),0)&gt;0,_xlpm.oldcoeff+_xlpm.gam,TRUE,_xlpm.oldcoeff))</f>
        <v>-1.5259762194952157E-3</v>
      </c>
      <c r="K93" t="str" cm="1">
        <f t="array" ref="K93">"BIOSYN-"&amp;_xlfn.IFS(IFERROR(MATCH(mets2733[[#This Row],[category]],{0,"0",""},0),0)&gt;0,mets2733[[#This Row],[name]],TRUE,mets2733[[#This Row],[category]]&amp;"-"&amp;mets2733[[#This Row],[name]])</f>
        <v>BIOSYN-METAL-zn2_c</v>
      </c>
      <c r="L93" s="149" t="str" cm="1">
        <f t="array" ref="L93">IF(IsElementOfSet_DIY(mets2733[[#This Row],[category]],{"ignore","PROT"}),"",_xlfn.LET(_xlpm.mw,mets2733[[#This Row],[MW for biomass normalization (g/mol)]],"MET-"&amp;mets2733[[#This Row],[name]]&amp;" --&gt; "&amp;IF((mets2733[[#This Row],[category]]="DNA")+(mets2733[[#This Row],[category]]="RNA"),"MET-ppi_c + ","")&amp;ROUND(ABS(_xlpm.mw/1000),6)&amp;" BIO-"&amp;mets2733[[#This Row],[name]]))</f>
        <v>MET-zn2_c --&gt; 0.06538 BIO-zn2_c</v>
      </c>
      <c r="M93" s="149" cm="1">
        <f t="array" ref="M93">_xlfn.LET(_xlpm.gam,$J$2,_xlpm.cat,IF(LEFT(mets2733[[#This Row],[name w/o location]],4)="trna","PROT",mets2733[[#This Row],[category]]),_xlpm.multipliers,_xlfn._xlws.FILTER(_xlfn.HSTACK(biomassComponents2632[normalized coeffs],biomassComponents2632[original coeffs from input]),(biomassComponents2632[rxn name]="BIOSYN-"&amp;_xlpm.cat)+IF(mets2733[[#This Row],[name w/o location]]="ppi",((biomassComponents2632[rxn name]="BIOSYN-DNA"))+((biomassComponents2632[rxn name]="BIOSYN-RNA"))&gt;0,FALSE),{1,1}),mets2733[[#This Row],[normalized coeffs]]*(SUM(_xlfn.CHOOSECOLS(_xlpm.multipliers,1))/SUM(_xlfn.CHOOSECOLS(_xlpm.multipliers,2)))+_xlfn.IFS(OR(mets2733[[#This Row],[name w/o location]]={"atp","h2o"}),-_xlpm.gam,OR(mets2733[[#This Row],[name w/o location]]={"adp","h","pi"}),_xlpm.gam,TRUE,0))</f>
        <v>-1.5357378012350899E-3</v>
      </c>
      <c r="N93" s="149"/>
      <c r="O93" s="149"/>
      <c r="P93" s="149"/>
      <c r="R93" s="149" t="str">
        <v>"trnacys_c":0.005816</v>
      </c>
      <c r="S93" s="149"/>
      <c r="T93" s="149"/>
      <c r="U93" s="149"/>
      <c r="V93" s="149"/>
    </row>
    <row r="94" spans="1:22" ht="16" x14ac:dyDescent="0.2">
      <c r="A94" s="144"/>
      <c r="E94" s="21"/>
      <c r="F94" s="21"/>
      <c r="G94" s="21"/>
      <c r="H94" s="21"/>
      <c r="I94" s="161"/>
      <c r="J94" s="21"/>
      <c r="L94" s="149"/>
      <c r="M94" s="149"/>
      <c r="N94" s="149"/>
      <c r="O94" s="149"/>
      <c r="P94" s="149"/>
      <c r="R94" s="149" t="str">
        <v>"trnagln_c":0.321557</v>
      </c>
      <c r="S94" s="149"/>
      <c r="T94" s="149"/>
      <c r="U94" s="149"/>
      <c r="V94" s="149"/>
    </row>
    <row r="95" spans="1:22" ht="16" x14ac:dyDescent="0.2">
      <c r="A95" s="144"/>
      <c r="E95" s="21"/>
      <c r="F95" s="21"/>
      <c r="G95" s="21"/>
      <c r="H95" s="21"/>
      <c r="I95" s="161"/>
      <c r="J95" s="21"/>
      <c r="L95" s="149"/>
      <c r="M95" s="149"/>
      <c r="N95" s="149"/>
      <c r="O95" s="149"/>
      <c r="P95" s="149"/>
      <c r="R95" s="149" t="str">
        <v>"trnaglu_c":0.321557</v>
      </c>
      <c r="S95" s="149"/>
      <c r="T95" s="149"/>
      <c r="U95" s="149"/>
      <c r="V95" s="149"/>
    </row>
    <row r="96" spans="1:22" ht="16" x14ac:dyDescent="0.2">
      <c r="A96" s="144"/>
      <c r="E96" s="21"/>
      <c r="F96" s="21"/>
      <c r="G96" s="21"/>
      <c r="H96" s="21"/>
      <c r="I96" s="161"/>
      <c r="J96" s="21"/>
      <c r="L96" s="149"/>
      <c r="M96" s="149"/>
      <c r="N96" s="149"/>
      <c r="O96" s="149"/>
      <c r="P96" s="149"/>
      <c r="R96" s="149" t="str">
        <v>"trnahis_c":0.080182</v>
      </c>
      <c r="S96" s="149"/>
      <c r="T96" s="149"/>
      <c r="U96" s="149"/>
      <c r="V96" s="149"/>
    </row>
    <row r="97" spans="1:22" ht="16" x14ac:dyDescent="0.2">
      <c r="A97" s="144"/>
      <c r="E97" s="21"/>
      <c r="F97" s="21"/>
      <c r="G97" s="21"/>
      <c r="H97" s="21"/>
      <c r="I97" s="161"/>
      <c r="J97" s="21"/>
      <c r="L97" s="149"/>
      <c r="M97" s="149"/>
      <c r="N97" s="149"/>
      <c r="O97" s="149"/>
      <c r="P97" s="149"/>
      <c r="R97" s="149" t="str">
        <v>"trnaile_c":0.244699</v>
      </c>
      <c r="S97" s="149"/>
      <c r="T97" s="149"/>
      <c r="U97" s="149"/>
      <c r="V97" s="149"/>
    </row>
    <row r="98" spans="1:22" ht="16" x14ac:dyDescent="0.2">
      <c r="A98" s="144"/>
      <c r="E98" s="21"/>
      <c r="F98" s="21"/>
      <c r="G98" s="21"/>
      <c r="H98" s="21"/>
      <c r="I98" s="161"/>
      <c r="J98" s="21"/>
      <c r="L98" s="149"/>
      <c r="M98" s="149"/>
      <c r="N98" s="149"/>
      <c r="O98" s="149"/>
      <c r="P98" s="149"/>
      <c r="R98" s="149" t="str">
        <v>"trnaleu_c":0.332774</v>
      </c>
      <c r="S98" s="149"/>
      <c r="T98" s="149"/>
      <c r="U98" s="149"/>
      <c r="V98" s="149"/>
    </row>
    <row r="99" spans="1:22" x14ac:dyDescent="0.15">
      <c r="R99" s="149" t="str">
        <v>"trnalys_c":0.27295</v>
      </c>
    </row>
    <row r="100" spans="1:22" x14ac:dyDescent="0.15">
      <c r="R100" s="149" t="str">
        <v>"trnamet_c":0.047361</v>
      </c>
    </row>
    <row r="101" spans="1:22" x14ac:dyDescent="0.15">
      <c r="R101" s="149" t="str">
        <v>"trnaphe_c":0.156209</v>
      </c>
    </row>
    <row r="102" spans="1:22" x14ac:dyDescent="0.15">
      <c r="R102" s="149" t="str">
        <v>"trnapro_c":0.175319</v>
      </c>
    </row>
    <row r="103" spans="1:22" x14ac:dyDescent="0.15">
      <c r="R103" s="149" t="str">
        <v>"trnaser_c":0.221434</v>
      </c>
    </row>
    <row r="104" spans="1:22" x14ac:dyDescent="0.15">
      <c r="R104" s="149" t="str">
        <v>"trnathr_c":0.231405</v>
      </c>
    </row>
    <row r="105" spans="1:22" x14ac:dyDescent="0.15">
      <c r="R105" s="149" t="str">
        <v>"trnatrp_c":0.027004</v>
      </c>
    </row>
    <row r="106" spans="1:22" x14ac:dyDescent="0.15">
      <c r="R106" s="149" t="str">
        <v>"trnatyr_c":0.081428</v>
      </c>
    </row>
    <row r="107" spans="1:22" x14ac:dyDescent="0.15">
      <c r="R107" t="str">
        <v>"trnaval_c":0.304524</v>
      </c>
    </row>
  </sheetData>
  <mergeCells count="3">
    <mergeCell ref="A1:F1"/>
    <mergeCell ref="A2:F2"/>
    <mergeCell ref="D4:E4"/>
  </mergeCells>
  <conditionalFormatting sqref="R20:R28">
    <cfRule type="expression" dxfId="28" priority="3" stopIfTrue="1">
      <formula>NOT(_xlfn.ISFORMULA(R20))</formula>
    </cfRule>
  </conditionalFormatting>
  <conditionalFormatting sqref="S6:S15">
    <cfRule type="expression" dxfId="27" priority="2" stopIfTrue="1">
      <formula>NOT(_xlfn.ISFORMULA(S6))</formula>
    </cfRule>
  </conditionalFormatting>
  <conditionalFormatting sqref="T6:T15">
    <cfRule type="expression" dxfId="26" priority="1"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D8C64-AA91-EF4E-9B02-E50DE8F698B7}">
  <dimension ref="A1:AG98"/>
  <sheetViews>
    <sheetView topLeftCell="C1" zoomScale="110" zoomScaleNormal="110" workbookViewId="0">
      <selection activeCell="T6" sqref="T6"/>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3" width="26.5"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15.1640625" customWidth="1"/>
    <col min="22" max="22" width="18.1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731</v>
      </c>
      <c r="B1" s="182"/>
      <c r="C1" s="182"/>
      <c r="D1" s="182"/>
      <c r="E1" s="182"/>
      <c r="F1" s="182"/>
      <c r="G1" s="148" t="s">
        <v>744</v>
      </c>
      <c r="I1" s="148"/>
      <c r="J1" s="148" t="s">
        <v>743</v>
      </c>
      <c r="K1" s="148" t="s">
        <v>758</v>
      </c>
      <c r="L1" s="148"/>
      <c r="M1" s="148"/>
      <c r="N1" s="148"/>
      <c r="O1" s="148"/>
      <c r="P1" s="148"/>
      <c r="Q1" s="148"/>
      <c r="R1" s="148"/>
      <c r="S1" s="148"/>
      <c r="T1" s="148"/>
      <c r="U1" s="148"/>
      <c r="V1" s="148"/>
      <c r="W1" s="148"/>
    </row>
    <row r="2" spans="1:33" ht="13" customHeight="1" x14ac:dyDescent="0.15">
      <c r="A2" s="182"/>
      <c r="B2" s="182"/>
      <c r="C2" s="182"/>
      <c r="D2" s="182"/>
      <c r="E2" s="182"/>
      <c r="F2" s="182"/>
      <c r="G2" s="140">
        <v>6.69</v>
      </c>
      <c r="J2" s="145">
        <f>_xlfn.XLOOKUP("adp",mets9[name w/o location],mets9[raw (GSM) coefficient],0)</f>
        <v>213.58504600000001</v>
      </c>
      <c r="K2" t="str" cm="1">
        <f t="array" ref="K2">_xlfn.LET(_xlpm.array,_xlfn._xlws.SORT(_xlfn._xlws.FILTER(_xlfn.HSTACK(mets9[normalized coeff. w/ updated GAM]-mets9[normalized coeffs],"MET-"&amp;mets9[name]),(mets9[category]="GAM")+(mets9[name w/o location]="atp")+(mets9[name w/o location]="pi"))),SUBSTITUTE(_xlfn.TEXTJOIN(" + ",TRUE,ABS(_xlfn.CHOOSECOLS(_xlpm.array,1))&amp;" "&amp;_xlfn.CHOOSECOLS(_xlpm.array,2))," + "," --&gt; ",2))</f>
        <v>206.895046 MET-h2o_c + 206.895046 MET-atp_c --&gt; 206.895046 MET-adp_c + 206.895046 MET-h_c + 206.895046 MET-pi_c</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_xlfn.LET(_xlpm.coeffs,mets9[coeff. w/o GAM],-SUM(_xlfn._xlws.FILTER(_xlpm.coeffs*mets9[MW for biomass normalization (g/mol)],(IFERROR(_xlfn.NUMBERVALUE(_xlpm.coeffs),0)&lt;0)*(_xlfn.IFNA(mets9[category],"ignore")&lt;&gt;"ignore")))/1000)</f>
        <v>1.0000033584234851</v>
      </c>
      <c r="H3" s="145" cm="1">
        <f t="array" ref="H3">_xlfn.LET(_xlpm.coeffs,mets9[coeffs after extra operations],-SUM(_xlfn._xlws.FILTER(_xlpm.coeffs*mets9[MW for biomass normalization (g/mol)],(IFERROR(_xlfn.NUMBERVALUE(_xlpm.coeffs),0)&lt;0)*(_xlfn.IFNA(mets9[category],"ignore")&lt;&gt;"ignore")))/1000)</f>
        <v>1.0000033584234851</v>
      </c>
      <c r="I3" s="143" cm="1">
        <f t="array" ref="I3">_xlfn.LET(_xlpm.coeffs,mets9[normalized coeffs],-SUM(_xlfn._xlws.FILTER(_xlpm.coeffs*mets9[MW for biomass normalization (g/mol)],(IFERROR(_xlfn.NUMBERVALUE(_xlpm.coeffs),0)&lt;0)*(_xlfn.IFNA(mets9[category],"ignore")&lt;&gt;"ignore")))/1000)</f>
        <v>1.0000000000000002</v>
      </c>
      <c r="J3" s="145"/>
      <c r="L3" s="145"/>
      <c r="M3" s="145" t="str" cm="1">
        <f t="array" ref="M3">_xlfn.TEXTJOIN(","&amp;CHAR(10),TRUE,CHAR(34)&amp;mets9[name]&amp;CHAR(34)&amp;":"&amp;mets9[new GSM coeffs])</f>
        <v>"ppi_c":0.198893562833447,
"13BDglucan_c":-1.39054274431251,
"16BDglucan_en":-0.365932827447535,
"G00006_c":-0.0215338721528556,
"chtn_c":-0.0328758048155142,
"gpianchorSC_r":-0.0235978598989081,
"oglycanSC_g":-0.0663766059204095,
"amet_c":-9.99996641587794E-05,
"btn_c":-9.99996641587794E-05,
"coa_c":-9.99996641587794E-05,
"fad_c":-9.99996641587794E-05,
"hemeA_c":-9.99996641587794E-05,
"nad_c":-9.99996641587794E-05,
"nadp_c":-9.99996641587794E-05,
"pydx5p_c":-9.99996641587794E-05,
"ribflv_c":-9.99996641587794E-05,
"spmd_c":-9.99996641587794E-05,
"thf_c":-9.99996641587794E-05,
"thmpp_c":-9.99996641587794E-05,
"datp_c":-0.00487378218394661,
"dctp_c":-0.00760666004786252,
"dgtp_c":-0.00760666004786252,
"dttp_c":-0.00487378218394661,
"adp_c":213.585046,
"h2o_c":-213.585046,
"h_c":213.585046,
"trnaala_c":0.316242608700842,
"trnaarg_c":0.124942845403406,
"trnaasn_c":0.150190814163122,
"trnaasp_c":0.150190814163122,
"trnacys_c":0.00453199439238882,
"trnagln_c":0.250533690005018,
"trnaglu_c":0.250533690005018,
"trnagly_c":0.287757643946386,
"trnahis_c":0.0624719227010844,
"trnaile_c":0.190651764099231,
"trnaleu_c":0.259273679190693,
"trnalys_c":0.212662736864206,
"trnamet_c":0.0369009543410282,
"trnaphe_c":0.121706849407429,
"trnapro_c":0.136596830983481,
"trnaser_c":0.172524786528438,
"trnathr_c":0.180293776915567,
"trnatrp_c":0.02103997396643,
"trnatyr_c":0.0634429214996302,
"trnaval_c":0.237262706425717,
"docosa_c":-2.90001240337566E-05,
"epist_c":-0.0727673112263575,
"hdca_c":-0.000339001449911845,
"ipc_g":-0.00573302452019058,
"linoea_c":-0.000865003699627568,
"linolen_c":-0.000232000992270053,
"ocdca_c":-0.000226000966607896,
"ocdcea_c":-0.000414001770688801,
"pail_c":-0.01556206655908,
"pc_c":-0.02920412490627,
"pe_c":-0.00705403017014204,
"ps_c":-0.0037830161799897,
"tag_c":-0.00897103836920106,
"ttcosa_c":-0.00017900076558767,
"ca2_c":-0.00128399568779873,
"cu2_c":-0.000113999617141009,
"fe2_c":-0.000662997773372707,
"k_c":-0.602523976469327,
"mg2_c":-0.0634887867777675,
"mn2_c":-9.39996843092526E-05,
"zn2_c":-0.0015729947172176,
"pi_c":213.479588354171,
"alatrna_c":-0.316242608700842,
"argtrna_c":-0.124942845403406,
"asntrna_c":-0.150190814163122,
"asptrna_c":-0.150190814163122,
"cystrna_c":-0.00453199439238882,
"glntrna_c":-0.250533690005018,
"glutrna_c":-0.250533690005018,
"glytrna_c":-0.287757643946386,
"histrna_c":-0.0624719227010844,
"iletrna_c":-0.190651764099231,
"leutrna_c":-0.259273679190693,
"lystrna_c":-0.212662736864206,
"mettrna_c":-0.0369009543410282,
"phetrna_c":-0.121706849407429,
"protrna_c":-0.136596830983481,
"sertrna_c":-0.172524786528438,
"thrtrna_c":-0.180293776915567,
"trptrna_c":-0.02103997396643,
"tyrtrna_c":-0.0634429214996302,
"valtrna_c":-0.237262706425717,
"atp_c":-213.618524931096,
"ctp_c":-0.0584398797224279,
"gtp_c":-0.0512058946109966,
"utp_c":-0.0306329369530652,
"so4_c":-0.0311648953350836</v>
      </c>
      <c r="N3" s="145"/>
      <c r="O3" s="145"/>
      <c r="P3" s="145"/>
      <c r="Q3" s="145"/>
      <c r="R3" s="145"/>
      <c r="S3" s="145"/>
      <c r="T3" s="145"/>
      <c r="U3" s="145"/>
      <c r="V3" s="145" t="str" cm="1">
        <f t="array" ref="V3">_xlfn.LET(_xlpm.eqn,_xlfn.TEXTJOIN(" + ",TRUE,biomassComponents5[new GSM coeffs])&amp;" + "&amp;K2,_xlpm.reactants,"-"&amp;SUBSTITUTE(_xlfn.TEXTBEFORE(_xlpm.eqn,"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"13BDglucan_c":-1.39054274431251,
"16BDglucan_en":-0.365932827447535,
"G00006_c":-0.0215338721528556,
"chtn_c":-0.0328758048155142,
"gpianchorSC_r":-0.0235978598989081,
"oglycanSC_g":-0.0663766059204095,
"amet_c":-9.99996641587794E-05,
"btn_c":-9.99996641587794E-05,
"coa_c":-9.99996641587794E-05,
"fad_c":-9.99996641587794E-05,
"hemeA_c":-9.99996641587794E-05,
"nad_c":-9.99996641587794E-05,
"nadp_c":-9.99996641587794E-05,
"pydx5p_c":-9.99996641587794E-05,
"ribflv_c":-9.99996641587794E-05,
"spmd_c":-9.99996641587794E-05,
"thf_c":-9.99996641587794E-05,
"thmpp_c":-9.99996641587794E-05,
"datp_c":-0.00487378218394661,
"dctp_c":-0.00760666004786252,
"dgtp_c":-0.00760666004786252,
"dttp_c":-0.00487378218394661,
"docosa_c":-2.90001240337566E-05,
"epist_c":-0.0727673112263575,
"hdca_c":-0.000339001449911845,
"ipc_g":-0.00573302452019058,
"linoea_c":-0.000865003699627568,
"linolen_c":-0.000232000992270053,
"ocdca_c":-0.000226000966607896,
"ocdcea_c":-0.000414001770688802,
"pail_c":-0.01556206655908,
"pc_c":-0.02920412490627,
"pe_c":-0.00705403017014204,
"ps_c":-0.0037830161799897,
"tag_c":-0.00897103836920106,
"ttcosa_c":-0.00017900076558767,
"ca2_c":-0.00128399568779873,
"cu2_c":-0.000113999617141009,
"fe2_c":-0.000662997773372707,
"k_c":-0.602523976469327,
"mg2_c":-0.0634887867777675,
"mn2_c":-9.39996843092526E-05,
"zn2_c":-0.0015729947172176,
"pi_c":206.789588354171,
"alatrna_c":-0.316242608700842,
"argtrna_c":-0.124942845403406,
"asntrna_c":-0.150190814163122,
"asptrna_c":-0.150190814163122,
"cystrna_c":-0.00453199439238882,
"glntrna_c":-0.250533690005018,
"glutrna_c":-0.250533690005018,
"glytrna_c":-0.287757643946386,
"histrna_c":-0.0624719227010844,
"iletrna_c":-0.190651764099231,
"leutrna_c":-0.259273679190693,
"lystrna_c":-0.212662736864206,
"mettrna_c":-0.0369009543410282,
"phetrna_c":-0.121706849407428,
"protrna_c":-0.136596830983481,
"sertrna_c":-0.172524786528438,
"thrtrna_c":-0.180293776915567,
"trptrna_c":-0.02103997396643,
"tyrtrna_c":-0.0634429214996302,
"valtrna_c":-0.237262706425717,
"atp_c":-206.928524931096,
"ctp_c":-0.0584398797224279,
"gtp_c":-0.0512058946109966,
"utp_c":-0.0306329369530652,
"so4_c":-0.0311648953350836,
"h2o_c":-206.895046,
"adp_c":206.895046,
"h_c":206.895046</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x14ac:dyDescent="0.2">
      <c r="A6" s="144" t="s">
        <v>1170</v>
      </c>
      <c r="B6" t="str">
        <f>SUBSTITUTE(_xlfn.TEXTBEFORE(mets9[[#This Row],[pasted JSON metabolite keys and values from GSM biomass rxn]],":"),CHAR(34),"")</f>
        <v>ppi_c</v>
      </c>
      <c r="C6" t="str">
        <f>_xlfn.TEXTBEFORE(mets9[[#This Row],[name]],"_",-1)</f>
        <v>ppi</v>
      </c>
      <c r="D6">
        <f>_xlfn.XLOOKUP(mets9[[#This Row],[name w/o location]],metaboliteInfo[name w/o location],metaboliteInfo[suggested category],"")</f>
        <v>0</v>
      </c>
      <c r="E6" s="21">
        <f>_xlfn.XLOOKUP(mets9[[#This Row],[name w/o location]],metaboliteInfo[name w/o location],metaboliteInfo[MW for biomass normalization (g/mol)],0)</f>
        <v>174.95126200000001</v>
      </c>
      <c r="F6" s="21">
        <f>_xlfn.NUMBERVALUE(SUBSTITUTE(_xlfn.TEXTAFTER(mets9[[#This Row],[pasted JSON metabolite keys and values from GSM biomass rxn]],":"),",",""))</f>
        <v>0.19889499999999999</v>
      </c>
      <c r="G6" s="21" cm="1">
        <f t="array" ref="G6">_xlfn.LET(_xlpm.id,mets9[[#This Row],[name w/o location]],IF(IsElementOfSet_DIY(_xlpm.id,{"atp","adp","h","pi","h2o"}),SIGN(mets9[[#This Row],[raw (GSM) coefficient]])*(ABS(mets9[[#This Row],[raw (GSM) coefficient]])-$J$2),mets9[[#This Row],[raw (GSM) coefficient]]))</f>
        <v>0.19889499999999999</v>
      </c>
      <c r="H6" s="21">
        <f>mets9[[#This Row],[coeff. w/o GAM]]</f>
        <v>0.19889499999999999</v>
      </c>
      <c r="I6" s="161">
        <f t="shared" ref="I6:I37" si="0">H6/($H$3)</f>
        <v>0.19889433202860426</v>
      </c>
      <c r="J6" s="21" cm="1">
        <f t="array" ref="J6">_xlfn.LET(_xlpm.id,mets9[[#This Row],[name w/o location]],_xlpm.oldcoeff,mets9[[#This Row],[normalized coeffs]],_xlpm.gam,$J$2-$G$2,_xlfn.IFS(IFERROR(MATCH(_xlpm.id,{"atp","h2o"},0),0)&gt;0,_xlpm.oldcoeff-_xlpm.gam,IFERROR(MATCH(_xlpm.id,{"adp","h","pi"},0),0)&gt;0,_xlpm.oldcoeff+_xlpm.gam,TRUE,_xlpm.oldcoeff))</f>
        <v>0.19889433202860426</v>
      </c>
      <c r="K6" t="str" cm="1">
        <f t="array" ref="K6">"BIOSYN-"&amp;_xlfn.IFS(IFERROR(MATCH(mets9[[#This Row],[category]],{0,"0",""},0),0)&gt;0,mets9[[#This Row],[name]],TRUE,mets9[[#This Row],[category]]&amp;"-"&amp;mets9[[#This Row],[name]])</f>
        <v>BIOSYN-ppi_c</v>
      </c>
      <c r="L6" s="149" t="str" cm="1">
        <f t="array" ref="L6">IF(IsElementOfSet_DIY(mets9[[#This Row],[category]],{"ignore","PROT"}),"",_xlfn.LET(_xlpm.mw,mets9[[#This Row],[MW for biomass normalization (g/mol)]],"MET-"&amp;mets9[[#This Row],[name]]&amp;" --&gt; "&amp;IF((mets9[[#This Row],[category]]="DNA")+(mets9[[#This Row],[category]]="RNA"),"MET-ppi_c + ","")&amp;ROUND(ABS(_xlpm.mw/1000),6)&amp;" BIO-"&amp;mets9[[#This Row],[name]]))</f>
        <v>MET-ppi_c --&gt; 0.174951 BIO-ppi_c</v>
      </c>
      <c r="M6" s="149" cm="1">
        <f t="array" ref="M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0.19889356283344692</v>
      </c>
      <c r="N6" s="149"/>
      <c r="O6" s="162" t="str" cm="1">
        <f t="array" ref="O6:O14">"BIOSYN-"&amp;_xlfn._xlws.SORT(_xlfn.UNIQUE(_xlfn._xlws.FILTER(mets9[category],(mets9[category]&lt;&gt;0)*(mets9[category]&lt;&gt;"GAM")*(mets9[category]&lt;&gt;"ignore"))))</f>
        <v>BIOSYN-CARB</v>
      </c>
      <c r="P6" s="158" t="str">
        <f t="shared" ref="P6:P14" si="1">O6</f>
        <v>BIOSYN-CARB</v>
      </c>
      <c r="Q6" s="158" t="str">
        <f>SUBSTITUTE(LOWER(biomassComponents5[[#This Row],[rxn name]]),"biosyn-","BIO-")</f>
        <v>BIO-carb</v>
      </c>
      <c r="R6" s="160" cm="1">
        <f t="array" ref="R6">SUM(_xlfn._xlws.FILTER(-mets9[MW for biomass normalization (g/mol)]*mets9[normalized coeffs]/1000,mets9[category]=_xlfn.TEXTAFTER(O6,"BIOSYN-"),""))</f>
        <v>0.45550204042597864</v>
      </c>
      <c r="S6" s="160">
        <v>0.47399999999999998</v>
      </c>
      <c r="T6" s="160" cm="1">
        <f t="array" ref="T6">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0.45550086587455141</v>
      </c>
      <c r="U6" s="158" t="str" cm="1">
        <f t="array" ref="U6">_xlfn.TEXTJOIN(" + ",TRUE,_xlfn._xlws.FILTER(ROUND(-mets9[MW for biomass normalization (g/mol)]*mets9[normalized coeffs]*(biomassComponents5[[#This Row],[normalized coeffs]]/biomassComponents5[[#This Row],[original coeffs from input]])/(1000*biomassComponents5[[#This Row],[normalized coeffs]]),6)&amp;" BIO-"&amp;mets9[name],mets9[category]=_xlfn.TEXTAFTER(O6,"BIOSYN-"),""))&amp;" --&gt; "&amp;biomassComponents5[[#This Row],[product name]]</f>
        <v>0.494979 BIO-13BDglucan_c + 0.130258 BIO-16BDglucan_en + 0.12382 BIO-G00006_c + 0.014665 BIO-chtn_c + 0.11814 BIO-gpianchorSC_r + 0.118137 BIO-oglycanSC_g --&gt; BIO-carb</v>
      </c>
      <c r="V6" s="158" t="str" cm="1">
        <f t="array" ref="V6">_xlfn.TEXTJOIN(" + ",TRUE,_xlfn._xlws.FILTER((-mets9[normalized coeffs]*biomassComponents5[[#This Row],[normalized coeffs]]/biomassComponents5[[#This Row],[original coeffs from input]])&amp;" BIO-"&amp;mets9[name],mets9[category]=_xlfn.TEXTAFTER(P6,"BIOSYN-"),""))</f>
        <v>1.39054274431251 BIO-13BDglucan_c + 0.365932827447535 BIO-16BDglucan_en + 0.0215338721528556 BIO-G00006_c + 0.0328758048155142 BIO-chtn_c + 0.0235978598989081 BIO-gpianchorSC_r + 0.0663766059204095 BIO-oglycanSC_g</v>
      </c>
      <c r="Y6" s="152" t="s">
        <v>17</v>
      </c>
      <c r="Z6" t="str">
        <f>SUBSTITUTE(Z7," --&gt; "," + "&amp;K2)</f>
        <v>0.455500865874551 BIO-carb + 0.000607683104342791 BIO-cofactor + 0.00768777832699665 BIO-dna + 0.0874484784695869 BIO-lipid + 0.025304494014729 BIO-metal + 0.0101217511317312 BIO-pi + 0.35459877533272 BIO-varbiom + 0.0557363928707257 BIO-rna + 0.002993780874616 BIO-so4 + 206.895046 MET-h2o_c + 206.895046 MET-atp_c --&gt; 206.895046 MET-adp_c + 206.895046 MET-h_c + 206.895046 MET-pi_c</v>
      </c>
      <c r="AB6" t="str" cm="1">
        <f t="array" ref="AB6:AC72">_xlfn.LET(_xlpm.macros,_xlfn._xlws.FILTER(_xlfn.HSTACK(_xlfn.ANCHORARRAY(O6),biomassComponents5[stoichiometry (if needed)]),biomassComponents5[stoichiometry (if needed)]&lt;&gt;""),_xlfn.VSTACK(_xlfn._xlws.FILTER(ExtraRxns3[[name]:[stoichiometry]],ExtraRxns3[stoichiometry]&lt;&gt;""),_xlpm.macros,_xlfn._xlws.SORT(_xlfn._xlws.FILTER(mets9[[biomass equation name]:[biomass equation]],ISNUMBER(MATCH(mets9[category],_xlfn.TEXTAFTER(biomassComponents5[rxn name],"BIOSYN-"),0))*(mets9[biomass equation]&lt;&gt;"")))))</f>
        <v>BIOSYN-BIODILAERO</v>
      </c>
      <c r="AC6" t="str">
        <v>0.455500865874551 BIO-carb + 0.000607683104342791 BIO-cofactor + 0.00768777832699665 BIO-dna + 0.0874484784695869 BIO-lipid + 0.025304494014729 BIO-metal + 0.0101217511317312 BIO-pi + 0.35459877533272 BIO-varbiom + 0.0557363928707257 BIO-rna + 0.002993780874616 BIO-so4 + 206.895046 MET-h2o_c + 206.895046 MET-atp_c --&gt; 206.895046 MET-adp_c + 206.895046 MET-h_c + 206.895046 MET-pi_c</v>
      </c>
    </row>
    <row r="7" spans="1:33" ht="16" x14ac:dyDescent="0.2">
      <c r="A7" s="144" t="s">
        <v>1124</v>
      </c>
      <c r="B7" t="str">
        <f>SUBSTITUTE(_xlfn.TEXTBEFORE(mets9[[#This Row],[pasted JSON metabolite keys and values from GSM biomass rxn]],":"),CHAR(34),"")</f>
        <v>13BDglucan_c</v>
      </c>
      <c r="C7" t="str">
        <f>_xlfn.TEXTBEFORE(mets9[[#This Row],[name]],"_",-1)</f>
        <v>13BDglucan</v>
      </c>
      <c r="D7" t="str">
        <f>_xlfn.XLOOKUP(mets9[[#This Row],[name w/o location]],metaboliteInfo[name w/o location],metaboliteInfo[suggested category],"")</f>
        <v>CARB</v>
      </c>
      <c r="E7" s="21">
        <f>_xlfn.XLOOKUP(mets9[[#This Row],[name w/o location]],metaboliteInfo[name w/o location],metaboliteInfo[MW for biomass normalization (g/mol)],0)</f>
        <v>162.14060000000001</v>
      </c>
      <c r="F7" s="21">
        <f>_xlfn.NUMBERVALUE(SUBSTITUTE(_xlfn.TEXTAFTER(mets9[[#This Row],[pasted JSON metabolite keys and values from GSM biomass rxn]],":"),",",""))</f>
        <v>-1.3905510000000001</v>
      </c>
      <c r="G7" s="21" cm="1">
        <f t="array" ref="G7">_xlfn.LET(_xlpm.id,mets9[[#This Row],[name w/o location]],IF(IsElementOfSet_DIY(_xlpm.id,{"atp","adp","h","pi","h2o"}),SIGN(mets9[[#This Row],[raw (GSM) coefficient]])*(ABS(mets9[[#This Row],[raw (GSM) coefficient]])-$J$2),mets9[[#This Row],[raw (GSM) coefficient]]))</f>
        <v>-1.3905510000000001</v>
      </c>
      <c r="H7" s="21">
        <f>mets9[[#This Row],[coeff. w/o GAM]]</f>
        <v>-1.3905510000000001</v>
      </c>
      <c r="I7" s="161">
        <f t="shared" si="0"/>
        <v>-1.3905463299565484</v>
      </c>
      <c r="J7" s="21" cm="1">
        <f t="array" ref="J7">_xlfn.LET(_xlpm.id,mets9[[#This Row],[name w/o location]],_xlpm.oldcoeff,mets9[[#This Row],[normalized coeffs]],_xlpm.gam,$J$2-$G$2,_xlfn.IFS(IFERROR(MATCH(_xlpm.id,{"atp","h2o"},0),0)&gt;0,_xlpm.oldcoeff-_xlpm.gam,IFERROR(MATCH(_xlpm.id,{"adp","h","pi"},0),0)&gt;0,_xlpm.oldcoeff+_xlpm.gam,TRUE,_xlpm.oldcoeff))</f>
        <v>-1.3905463299565484</v>
      </c>
      <c r="K7" t="str" cm="1">
        <f t="array" ref="K7">"BIOSYN-"&amp;_xlfn.IFS(IFERROR(MATCH(mets9[[#This Row],[category]],{0,"0",""},0),0)&gt;0,mets9[[#This Row],[name]],TRUE,mets9[[#This Row],[category]]&amp;"-"&amp;mets9[[#This Row],[name]])</f>
        <v>BIOSYN-CARB-13BDglucan_c</v>
      </c>
      <c r="L7" s="149" t="str" cm="1">
        <f t="array" ref="L7">IF(IsElementOfSet_DIY(mets9[[#This Row],[category]],{"ignore","PROT"}),"",_xlfn.LET(_xlpm.mw,mets9[[#This Row],[MW for biomass normalization (g/mol)]],"MET-"&amp;mets9[[#This Row],[name]]&amp;" --&gt; "&amp;IF((mets9[[#This Row],[category]]="DNA")+(mets9[[#This Row],[category]]="RNA"),"MET-ppi_c + ","")&amp;ROUND(ABS(_xlpm.mw/1000),6)&amp;" BIO-"&amp;mets9[[#This Row],[name]]))</f>
        <v>MET-13BDglucan_c --&gt; 0.162141 BIO-13BDglucan_c</v>
      </c>
      <c r="M7" s="149" cm="1">
        <f t="array" ref="M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-1.3905427443125082</v>
      </c>
      <c r="N7" s="149"/>
      <c r="O7" s="162" t="str">
        <v>BIOSYN-COFACTOR</v>
      </c>
      <c r="P7" s="158" t="str">
        <f t="shared" si="1"/>
        <v>BIOSYN-COFACTOR</v>
      </c>
      <c r="Q7" s="158" t="str">
        <f>SUBSTITUTE(LOWER(biomassComponents5[[#This Row],[rxn name]]),"biosyn-","BIO-")</f>
        <v>BIO-cofactor</v>
      </c>
      <c r="R7" s="160" cm="1">
        <f t="array" ref="R7">SUM(_xlfn._xlws.FILTER(-mets9[MW for biomass normalization (g/mol)]*mets9[normalized coeffs]/1000,mets9[category]=_xlfn.TEXTAFTER(O7,"BIOSYN-"),""))</f>
        <v>6.0768310434279084E-4</v>
      </c>
      <c r="S7" s="160"/>
      <c r="T7" s="160" cm="1">
        <f t="array" ref="T7">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6.0768310434279084E-4</v>
      </c>
      <c r="U7" s="158" t="str" cm="1">
        <f t="array" ref="U7">_xlfn.TEXTJOIN(" + ",TRUE,_xlfn._xlws.FILTER(ROUND(-mets9[MW for biomass normalization (g/mol)]*mets9[normalized coeffs]*(biomassComponents5[[#This Row],[normalized coeffs]]/biomassComponents5[[#This Row],[original coeffs from input]])/(1000*biomassComponents5[[#This Row],[normalized coeffs]]),6)&amp;" BIO-"&amp;mets9[name],mets9[category]=_xlfn.TEXTAFTER(O7,"BIOSYN-"),""))&amp;" --&gt; "&amp;biomassComponents5[[#This Row],[product name]]</f>
        <v>0.065732 BIO-amet_c + 0.040038 BIO-btn_c + 0.125641 BIO-coa_c + 0.128772 BIO-fad_c + 0.14001 BIO-hemeA_c + 0.109007 BIO-nad_c + 0.121836 BIO-nadp_c + 0.040338 BIO-pydx5p_c + 0.061768 BIO-ribflv_c + 0.024399 BIO-spmd_c + 0.072968 BIO-thf_c + 0.069492 BIO-thmpp_c --&gt; BIO-cofactor</v>
      </c>
      <c r="V7" s="158" t="str" cm="1">
        <f t="array" ref="V7">_xlfn.TEXTJOIN(" + ",TRUE,_xlfn._xlws.FILTER((-mets9[normalized coeffs]*biomassComponents5[[#This Row],[normalized coeffs]]/biomassComponents5[[#This Row],[original coeffs from input]])&amp;" BIO-"&amp;mets9[name],mets9[category]=_xlfn.TEXTAFTER(P7,"BIOSYN-"),""))</f>
        <v>9.99996641587794E-05 BIO-amet_c + 9.99996641587794E-05 BIO-btn_c + 9.99996641587794E-05 BIO-coa_c + 9.99996641587794E-05 BIO-fad_c + 9.99996641587794E-05 BIO-hemeA_c + 9.99996641587794E-05 BIO-nad_c + 9.99996641587794E-05 BIO-nadp_c + 9.99996641587794E-05 BIO-pydx5p_c + 9.99996641587794E-05 BIO-ribflv_c + 9.99996641587794E-05 BIO-spmd_c + 9.99996641587794E-05 BIO-thf_c + 9.99996641587794E-05 BIO-thmpp_c</v>
      </c>
      <c r="Y7" s="152" t="str">
        <f>Y6&amp;"-NOGAM"</f>
        <v>BIOSYN-BIODILAERO-NOGAM</v>
      </c>
      <c r="Z7" t="str" cm="1">
        <f t="array" ref="Z7">_xlfn.TEXTJOIN(" + ",TRUE,_xlfn._xlws.FILTER(biomassComponents5[normalized coeffs]&amp;" "&amp;biomassComponents5[product name],biomassComponents5[normalized coeffs]&lt;&gt;0))&amp;" --&gt; "</f>
        <v xml:space="preserve">0.455500865874551 BIO-carb + 0.000607683104342791 BIO-cofactor + 0.00768777832699665 BIO-dna + 0.0874484784695869 BIO-lipid + 0.025304494014729 BIO-metal + 0.0101217511317312 BIO-pi + 0.35459877533272 BIO-varbiom + 0.0557363928707257 BIO-rna + 0.002993780874616 BIO-so4 --&gt; </v>
      </c>
      <c r="AB7" t="str">
        <v>BIOSYN-BIODILAERO-NOGAM</v>
      </c>
      <c r="AC7" t="str">
        <v xml:space="preserve">0.455500865874551 BIO-carb + 0.000607683104342791 BIO-cofactor + 0.00768777832699665 BIO-dna + 0.0874484784695869 BIO-lipid + 0.025304494014729 BIO-metal + 0.0101217511317312 BIO-pi + 0.35459877533272 BIO-varbiom + 0.0557363928707257 BIO-rna + 0.002993780874616 BIO-so4 --&gt; </v>
      </c>
    </row>
    <row r="8" spans="1:33" ht="16" x14ac:dyDescent="0.2">
      <c r="A8" s="144" t="s">
        <v>1125</v>
      </c>
      <c r="B8" t="str">
        <f>SUBSTITUTE(_xlfn.TEXTBEFORE(mets9[[#This Row],[pasted JSON metabolite keys and values from GSM biomass rxn]],":"),CHAR(34),"")</f>
        <v>16BDglucan_en</v>
      </c>
      <c r="C8" t="str">
        <f>_xlfn.TEXTBEFORE(mets9[[#This Row],[name]],"_",-1)</f>
        <v>16BDglucan</v>
      </c>
      <c r="D8" t="str">
        <f>_xlfn.XLOOKUP(mets9[[#This Row],[name w/o location]],metaboliteInfo[name w/o location],metaboliteInfo[suggested category],"")</f>
        <v>CARB</v>
      </c>
      <c r="E8" s="21">
        <f>_xlfn.XLOOKUP(mets9[[#This Row],[name w/o location]],metaboliteInfo[name w/o location],metaboliteInfo[MW for biomass normalization (g/mol)],0)</f>
        <v>162.14060000000001</v>
      </c>
      <c r="F8" s="21">
        <f>_xlfn.NUMBERVALUE(SUBSTITUTE(_xlfn.TEXTAFTER(mets9[[#This Row],[pasted JSON metabolite keys and values from GSM biomass rxn]],":"),",",""))</f>
        <v>-0.36593500000000001</v>
      </c>
      <c r="G8" s="21" cm="1">
        <f t="array" ref="G8">_xlfn.LET(_xlpm.id,mets9[[#This Row],[name w/o location]],IF(IsElementOfSet_DIY(_xlpm.id,{"atp","adp","h","pi","h2o"}),SIGN(mets9[[#This Row],[raw (GSM) coefficient]])*(ABS(mets9[[#This Row],[raw (GSM) coefficient]])-$J$2),mets9[[#This Row],[raw (GSM) coefficient]]))</f>
        <v>-0.36593500000000001</v>
      </c>
      <c r="H8" s="161">
        <f>mets9[[#This Row],[coeff. w/o GAM]]</f>
        <v>-0.36593500000000001</v>
      </c>
      <c r="I8" s="161">
        <f t="shared" si="0"/>
        <v>-0.36593377103942937</v>
      </c>
      <c r="J8" s="21" cm="1">
        <f t="array" ref="J8">_xlfn.LET(_xlpm.id,mets9[[#This Row],[name w/o location]],_xlpm.oldcoeff,mets9[[#This Row],[normalized coeffs]],_xlpm.gam,$J$2-$G$2,_xlfn.IFS(IFERROR(MATCH(_xlpm.id,{"atp","h2o"},0),0)&gt;0,_xlpm.oldcoeff-_xlpm.gam,IFERROR(MATCH(_xlpm.id,{"adp","h","pi"},0),0)&gt;0,_xlpm.oldcoeff+_xlpm.gam,TRUE,_xlpm.oldcoeff))</f>
        <v>-0.36593377103942937</v>
      </c>
      <c r="K8" t="str" cm="1">
        <f t="array" ref="K8">"BIOSYN-"&amp;_xlfn.IFS(IFERROR(MATCH(mets9[[#This Row],[category]],{0,"0",""},0),0)&gt;0,mets9[[#This Row],[name]],TRUE,mets9[[#This Row],[category]]&amp;"-"&amp;mets9[[#This Row],[name]])</f>
        <v>BIOSYN-CARB-16BDglucan_en</v>
      </c>
      <c r="L8" s="149" t="str" cm="1">
        <f t="array" ref="L8">IF(IsElementOfSet_DIY(mets9[[#This Row],[category]],{"ignore","PROT"}),"",_xlfn.LET(_xlpm.mw,mets9[[#This Row],[MW for biomass normalization (g/mol)]],"MET-"&amp;mets9[[#This Row],[name]]&amp;" --&gt; "&amp;IF((mets9[[#This Row],[category]]="DNA")+(mets9[[#This Row],[category]]="RNA"),"MET-ppi_c + ","")&amp;ROUND(ABS(_xlpm.mw/1000),6)&amp;" BIO-"&amp;mets9[[#This Row],[name]]))</f>
        <v>MET-16BDglucan_en --&gt; 0.162141 BIO-16BDglucan_en</v>
      </c>
      <c r="M8" s="149" cm="1">
        <f t="array" ref="M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-0.36593282744753536</v>
      </c>
      <c r="N8" s="149"/>
      <c r="O8" s="162" t="str">
        <v>BIOSYN-DNA</v>
      </c>
      <c r="P8" s="158" t="str">
        <f t="shared" si="1"/>
        <v>BIOSYN-DNA</v>
      </c>
      <c r="Q8" s="158" t="str">
        <f>SUBSTITUTE(LOWER(biomassComponents5[[#This Row],[rxn name]]),"biosyn-","BIO-")</f>
        <v>BIO-dna</v>
      </c>
      <c r="R8" s="160" cm="1">
        <f t="array" ref="R8">SUM(_xlfn._xlws.FILTER(-mets9[MW for biomass normalization (g/mol)]*mets9[normalized coeffs]/1000,mets9[category]=_xlfn.TEXTAFTER(O8,"BIOSYN-"),""))</f>
        <v>7.6880960845395543E-3</v>
      </c>
      <c r="S8" s="160">
        <v>8.0000000000000002E-3</v>
      </c>
      <c r="T8" s="160" cm="1">
        <f t="array" ref="T8">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7.6877783269966487E-3</v>
      </c>
      <c r="U8" s="158" t="str" cm="1">
        <f t="array" ref="U8">_xlfn.TEXTJOIN(" + ",TRUE,_xlfn._xlws.FILTER(ROUND(-mets9[MW for biomass normalization (g/mol)]*mets9[normalized coeffs]*(biomassComponents5[[#This Row],[normalized coeffs]]/biomassComponents5[[#This Row],[original coeffs from input]])/(1000*biomassComponents5[[#This Row],[normalized coeffs]]),6)&amp;" BIO-"&amp;mets9[name],mets9[category]=_xlfn.TEXTAFTER(O8,"BIOSYN-"),""))&amp;" --&gt; "&amp;biomassComponents5[[#This Row],[product name]]</f>
        <v>0.197923 BIO-datp_c + 0.285133 BIO-dctp_c + 0.324735 BIO-dgtp_c + 0.192209 BIO-dttp_c --&gt; BIO-dna</v>
      </c>
      <c r="V8" s="158" t="str" cm="1">
        <f t="array" ref="V8">_xlfn.TEXTJOIN(" + ",TRUE,_xlfn._xlws.FILTER((-mets9[normalized coeffs]*biomassComponents5[[#This Row],[normalized coeffs]]/biomassComponents5[[#This Row],[original coeffs from input]])&amp;" BIO-"&amp;mets9[name],mets9[category]=_xlfn.TEXTAFTER(P8,"BIOSYN-"),""))</f>
        <v>0.00487378218394661 BIO-datp_c + 0.00760666004786252 BIO-dctp_c + 0.00760666004786252 BIO-dgtp_c + 0.00487378218394661 BIO-dttp_c</v>
      </c>
      <c r="X8" s="153" t="s">
        <v>757</v>
      </c>
      <c r="Y8" t="s">
        <v>49</v>
      </c>
      <c r="Z8" t="s">
        <v>747</v>
      </c>
      <c r="AB8" t="str">
        <v>BIOSYN-PROTTOBIO</v>
      </c>
      <c r="AC8" t="str">
        <v>BIO-prot --&gt; BIO-varbiom</v>
      </c>
    </row>
    <row r="9" spans="1:33" ht="16" x14ac:dyDescent="0.2">
      <c r="A9" s="144" t="s">
        <v>1126</v>
      </c>
      <c r="B9" t="str">
        <f>SUBSTITUTE(_xlfn.TEXTBEFORE(mets9[[#This Row],[pasted JSON metabolite keys and values from GSM biomass rxn]],":"),CHAR(34),"")</f>
        <v>G00006_c</v>
      </c>
      <c r="C9" t="str">
        <f>_xlfn.TEXTBEFORE(mets9[[#This Row],[name]],"_",-1)</f>
        <v>G00006</v>
      </c>
      <c r="D9" t="str">
        <f>_xlfn.XLOOKUP(mets9[[#This Row],[name w/o location]],metaboliteInfo[name w/o location],metaboliteInfo[suggested category],"")</f>
        <v>CARB</v>
      </c>
      <c r="E9" s="21">
        <f>_xlfn.XLOOKUP(mets9[[#This Row],[name w/o location]],metaboliteInfo[name w/o location],metaboliteInfo[MW for biomass normalization (g/mol)],0)</f>
        <v>2619.1368040000002</v>
      </c>
      <c r="F9" s="21">
        <f>_xlfn.NUMBERVALUE(SUBSTITUTE(_xlfn.TEXTAFTER(mets9[[#This Row],[pasted JSON metabolite keys and values from GSM biomass rxn]],":"),",",""))</f>
        <v>-2.1534000000000001E-2</v>
      </c>
      <c r="G9" s="21" cm="1">
        <f t="array" ref="G9">_xlfn.LET(_xlpm.id,mets9[[#This Row],[name w/o location]],IF(IsElementOfSet_DIY(_xlpm.id,{"atp","adp","h","pi","h2o"}),SIGN(mets9[[#This Row],[raw (GSM) coefficient]])*(ABS(mets9[[#This Row],[raw (GSM) coefficient]])-$J$2),mets9[[#This Row],[raw (GSM) coefficient]]))</f>
        <v>-2.1534000000000001E-2</v>
      </c>
      <c r="H9" s="21">
        <f>mets9[[#This Row],[coeff. w/o GAM]]</f>
        <v>-2.1534000000000001E-2</v>
      </c>
      <c r="I9" s="161">
        <f t="shared" si="0"/>
        <v>-2.1533927679951555E-2</v>
      </c>
      <c r="J9" s="21" cm="1">
        <f t="array" ref="J9">_xlfn.LET(_xlpm.id,mets9[[#This Row],[name w/o location]],_xlpm.oldcoeff,mets9[[#This Row],[normalized coeffs]],_xlpm.gam,$J$2-$G$2,_xlfn.IFS(IFERROR(MATCH(_xlpm.id,{"atp","h2o"},0),0)&gt;0,_xlpm.oldcoeff-_xlpm.gam,IFERROR(MATCH(_xlpm.id,{"adp","h","pi"},0),0)&gt;0,_xlpm.oldcoeff+_xlpm.gam,TRUE,_xlpm.oldcoeff))</f>
        <v>-2.1533927679951555E-2</v>
      </c>
      <c r="K9" t="str" cm="1">
        <f t="array" ref="K9">"BIOSYN-"&amp;_xlfn.IFS(IFERROR(MATCH(mets9[[#This Row],[category]],{0,"0",""},0),0)&gt;0,mets9[[#This Row],[name]],TRUE,mets9[[#This Row],[category]]&amp;"-"&amp;mets9[[#This Row],[name]])</f>
        <v>BIOSYN-CARB-G00006_c</v>
      </c>
      <c r="L9" s="149" t="str" cm="1">
        <f t="array" ref="L9">IF(IsElementOfSet_DIY(mets9[[#This Row],[category]],{"ignore","PROT"}),"",_xlfn.LET(_xlpm.mw,mets9[[#This Row],[MW for biomass normalization (g/mol)]],"MET-"&amp;mets9[[#This Row],[name]]&amp;" --&gt; "&amp;IF((mets9[[#This Row],[category]]="DNA")+(mets9[[#This Row],[category]]="RNA"),"MET-ppi_c + ","")&amp;ROUND(ABS(_xlpm.mw/1000),6)&amp;" BIO-"&amp;mets9[[#This Row],[name]]))</f>
        <v>MET-G00006_c --&gt; 2.619137 BIO-G00006_c</v>
      </c>
      <c r="M9" s="149" cm="1">
        <f t="array" ref="M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-2.1533872152855633E-2</v>
      </c>
      <c r="N9" s="149"/>
      <c r="O9" s="162" t="str">
        <v>BIOSYN-LIPID</v>
      </c>
      <c r="P9" s="158" t="str">
        <f t="shared" si="1"/>
        <v>BIOSYN-LIPID</v>
      </c>
      <c r="Q9" s="158" t="str">
        <f>SUBSTITUTE(LOWER(biomassComponents5[[#This Row],[rxn name]]),"biosyn-","BIO-")</f>
        <v>BIO-lipid</v>
      </c>
      <c r="R9" s="160" cm="1">
        <f t="array" ref="R9">SUM(_xlfn._xlws.FILTER(-mets9[MW for biomass normalization (g/mol)]*mets9[normalized coeffs]/1000,mets9[category]=_xlfn.TEXTAFTER(O9,"BIOSYN-"),""))</f>
        <v>8.7447810764981149E-2</v>
      </c>
      <c r="S9" s="160">
        <v>9.0999999999999998E-2</v>
      </c>
      <c r="T9" s="160" cm="1">
        <f t="array" ref="T9">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8.7448478469586866E-2</v>
      </c>
      <c r="U9" s="158" t="str" cm="1">
        <f t="array" ref="U9">_xlfn.TEXTJOIN(" + ",TRUE,_xlfn._xlws.FILTER(ROUND(-mets9[MW for biomass normalization (g/mol)]*mets9[normalized coeffs]*(biomassComponents5[[#This Row],[normalized coeffs]]/biomassComponents5[[#This Row],[original coeffs from input]])/(1000*biomassComponents5[[#This Row],[normalized coeffs]]),6)&amp;" BIO-"&amp;mets9[name],mets9[category]=_xlfn.TEXTAFTER(O9,"BIOSYN-"),""))&amp;" --&gt; "&amp;biomassComponents5[[#This Row],[product name]]</f>
        <v>0.000113 BIO-docosa_c + 0.331735 BIO-epist_c + 0.00099 BIO-hdca_c + 0.060004 BIO-ipc_g + 0.002764 BIO-linoea_c + 0.000736 BIO-linolen_c + 0.000733 BIO-ocdca_c + 0.001332 BIO-ocdcea_c + 0.153425 BIO-pail_c + 0.262546 BIO-pc_c + 0.060022 BIO-pe_c + 0.034006 BIO-ps_c + 0.090842 BIO-tag_c + 0.000753 BIO-ttcosa_c --&gt; BIO-lipid</v>
      </c>
      <c r="V9" s="158" t="str" cm="1">
        <f t="array" ref="V9">_xlfn.TEXTJOIN(" + ",TRUE,_xlfn._xlws.FILTER((-mets9[normalized coeffs]*biomassComponents5[[#This Row],[normalized coeffs]]/biomassComponents5[[#This Row],[original coeffs from input]])&amp;" BIO-"&amp;mets9[name],mets9[category]=_xlfn.TEXTAFTER(P9,"BIOSYN-"),""))</f>
        <v>2.90001240337566E-05 BIO-docosa_c + 0.0727673112263575 BIO-epist_c + 0.000339001449911845 BIO-hdca_c + 0.00573302452019058 BIO-ipc_g + 0.000865003699627568 BIO-linoea_c + 0.000232000992270053 BIO-linolen_c + 0.000226000966607896 BIO-ocdca_c + 0.000414001770688802 BIO-ocdcea_c + 0.01556206655908 BIO-pail_c + 0.02920412490627 BIO-pc_c + 0.00705403017014204 BIO-pe_c + 0.0037830161799897 BIO-ps_c + 0.00897103836920106 BIO-tag_c + 0.00017900076558767 BIO-ttcosa_c</v>
      </c>
      <c r="X9" s="153"/>
      <c r="AB9" t="str">
        <v>BIOSYN-PROTMODELED</v>
      </c>
      <c r="AC9" t="str">
        <v>BIO-protmodeled --&gt; BIO-prot</v>
      </c>
    </row>
    <row r="10" spans="1:33" ht="16" x14ac:dyDescent="0.2">
      <c r="A10" s="144" t="s">
        <v>1134</v>
      </c>
      <c r="B10" t="str">
        <f>SUBSTITUTE(_xlfn.TEXTBEFORE(mets9[[#This Row],[pasted JSON metabolite keys and values from GSM biomass rxn]],":"),CHAR(34),"")</f>
        <v>chtn_c</v>
      </c>
      <c r="C10" t="str">
        <f>_xlfn.TEXTBEFORE(mets9[[#This Row],[name]],"_",-1)</f>
        <v>chtn</v>
      </c>
      <c r="D10" t="str">
        <f>_xlfn.XLOOKUP(mets9[[#This Row],[name w/o location]],metaboliteInfo[name w/o location],metaboliteInfo[suggested category],"")</f>
        <v>CARB</v>
      </c>
      <c r="E10" s="21">
        <f>_xlfn.XLOOKUP(mets9[[#This Row],[name w/o location]],metaboliteInfo[name w/o location],metaboliteInfo[MW for biomass normalization (g/mol)],0)</f>
        <v>203.19252</v>
      </c>
      <c r="F10" s="21">
        <f>_xlfn.NUMBERVALUE(SUBSTITUTE(_xlfn.TEXTAFTER(mets9[[#This Row],[pasted JSON metabolite keys and values from GSM biomass rxn]],":"),",",""))</f>
        <v>-3.2876000000000002E-2</v>
      </c>
      <c r="G10" s="21" cm="1">
        <f t="array" ref="G10">_xlfn.LET(_xlpm.id,mets9[[#This Row],[name w/o location]],IF(IsElementOfSet_DIY(_xlpm.id,{"atp","adp","h","pi","h2o"}),SIGN(mets9[[#This Row],[raw (GSM) coefficient]])*(ABS(mets9[[#This Row],[raw (GSM) coefficient]])-$J$2),mets9[[#This Row],[raw (GSM) coefficient]]))</f>
        <v>-3.2876000000000002E-2</v>
      </c>
      <c r="H10" s="21">
        <f>mets9[[#This Row],[coeff. w/o GAM]]</f>
        <v>-3.2876000000000002E-2</v>
      </c>
      <c r="I10" s="161">
        <f t="shared" si="0"/>
        <v>-3.2875889588840315E-2</v>
      </c>
      <c r="J10" s="21" cm="1">
        <f t="array" ref="J10">_xlfn.LET(_xlpm.id,mets9[[#This Row],[name w/o location]],_xlpm.oldcoeff,mets9[[#This Row],[normalized coeffs]],_xlpm.gam,$J$2-$G$2,_xlfn.IFS(IFERROR(MATCH(_xlpm.id,{"atp","h2o"},0),0)&gt;0,_xlpm.oldcoeff-_xlpm.gam,IFERROR(MATCH(_xlpm.id,{"adp","h","pi"},0),0)&gt;0,_xlpm.oldcoeff+_xlpm.gam,TRUE,_xlpm.oldcoeff))</f>
        <v>-3.2875889588840315E-2</v>
      </c>
      <c r="K10" t="str" cm="1">
        <f t="array" ref="K10">"BIOSYN-"&amp;_xlfn.IFS(IFERROR(MATCH(mets9[[#This Row],[category]],{0,"0",""},0),0)&gt;0,mets9[[#This Row],[name]],TRUE,mets9[[#This Row],[category]]&amp;"-"&amp;mets9[[#This Row],[name]])</f>
        <v>BIOSYN-CARB-chtn_c</v>
      </c>
      <c r="L10" s="149" t="str" cm="1">
        <f t="array" ref="L10">IF(IsElementOfSet_DIY(mets9[[#This Row],[category]],{"ignore","PROT"}),"",_xlfn.LET(_xlpm.mw,mets9[[#This Row],[MW for biomass normalization (g/mol)]],"MET-"&amp;mets9[[#This Row],[name]]&amp;" --&gt; "&amp;IF((mets9[[#This Row],[category]]="DNA")+(mets9[[#This Row],[category]]="RNA"),"MET-ppi_c + ","")&amp;ROUND(ABS(_xlpm.mw/1000),6)&amp;" BIO-"&amp;mets9[[#This Row],[name]]))</f>
        <v>MET-chtn_c --&gt; 0.203193 BIO-chtn_c</v>
      </c>
      <c r="M10" s="149" cm="1">
        <f t="array" ref="M1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-3.2875804815514158E-2</v>
      </c>
      <c r="N10" s="149"/>
      <c r="O10" s="162" t="str">
        <v>BIOSYN-METAL</v>
      </c>
      <c r="P10" s="158" t="str">
        <f t="shared" si="1"/>
        <v>BIOSYN-METAL</v>
      </c>
      <c r="Q10" s="158" t="str">
        <f>SUBSTITUTE(LOWER(biomassComponents5[[#This Row],[rxn name]]),"biosyn-","BIO-")</f>
        <v>BIO-metal</v>
      </c>
      <c r="R10" s="160" cm="1">
        <f t="array" ref="R10">SUM(_xlfn._xlws.FILTER(-mets9[MW for biomass normalization (g/mol)]*mets9[normalized coeffs]/1000,mets9[category]=_xlfn.TEXTAFTER(O10,"BIOSYN-"),""))</f>
        <v>2.530449401472902E-2</v>
      </c>
      <c r="S10" s="160"/>
      <c r="T10" s="160" cm="1">
        <f t="array" ref="T10">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2.530449401472902E-2</v>
      </c>
      <c r="U10" s="158" t="str" cm="1">
        <f t="array" ref="U10">_xlfn.TEXTJOIN(" + ",TRUE,_xlfn._xlws.FILTER(ROUND(-mets9[MW for biomass normalization (g/mol)]*mets9[normalized coeffs]*(biomassComponents5[[#This Row],[normalized coeffs]]/biomassComponents5[[#This Row],[original coeffs from input]])/(1000*biomassComponents5[[#This Row],[normalized coeffs]]),6)&amp;" BIO-"&amp;mets9[name],mets9[category]=_xlfn.TEXTAFTER(O10,"BIOSYN-"),""))&amp;" --&gt; "&amp;biomassComponents5[[#This Row],[product name]]</f>
        <v>0.002034 BIO-ca2_c + 0.000286 BIO-cu2_c + 0.001463 BIO-fe2_c + 0.930968 BIO-k_c + 0.060981 BIO-mg2_c + 0.000204 BIO-mn2_c + 0.004064 BIO-zn2_c --&gt; BIO-metal</v>
      </c>
      <c r="V10" s="158" t="str" cm="1">
        <f t="array" ref="V10">_xlfn.TEXTJOIN(" + ",TRUE,_xlfn._xlws.FILTER((-mets9[normalized coeffs]*biomassComponents5[[#This Row],[normalized coeffs]]/biomassComponents5[[#This Row],[original coeffs from input]])&amp;" BIO-"&amp;mets9[name],mets9[category]=_xlfn.TEXTAFTER(P10,"BIOSYN-"),""))</f>
        <v>0.00128399568779873 BIO-ca2_c + 0.000113999617141009 BIO-cu2_c + 0.000662997773372707 BIO-fe2_c + 0.602523976469327 BIO-k_c + 0.0634887867777675 BIO-mg2_c + 9.39996843092526E-05 BIO-mn2_c + 0.0015729947172176 BIO-zn2_c</v>
      </c>
      <c r="X10" s="153"/>
      <c r="AB10" t="str">
        <v>BIOSYN-PROTDUMMY</v>
      </c>
      <c r="AC10" t="str">
        <v>BIO-protdummy --&gt; BIO-prot</v>
      </c>
    </row>
    <row r="11" spans="1:33" ht="16" x14ac:dyDescent="0.2">
      <c r="A11" s="144" t="s">
        <v>1147</v>
      </c>
      <c r="B11" t="str">
        <f>SUBSTITUTE(_xlfn.TEXTBEFORE(mets9[[#This Row],[pasted JSON metabolite keys and values from GSM biomass rxn]],":"),CHAR(34),"")</f>
        <v>gpianchorSC_r</v>
      </c>
      <c r="C11" t="str">
        <f>_xlfn.TEXTBEFORE(mets9[[#This Row],[name]],"_",-1)</f>
        <v>gpianchorSC</v>
      </c>
      <c r="D11" t="str">
        <f>_xlfn.XLOOKUP(mets9[[#This Row],[name w/o location]],metaboliteInfo[name w/o location],metaboliteInfo[suggested category],"")</f>
        <v>CARB</v>
      </c>
      <c r="E11" s="21">
        <f>_xlfn.XLOOKUP(mets9[[#This Row],[name w/o location]],metaboliteInfo[name w/o location],metaboliteInfo[MW for biomass normalization (g/mol)],0)</f>
        <v>2280.41334042176</v>
      </c>
      <c r="F11" s="21">
        <f>_xlfn.NUMBERVALUE(SUBSTITUTE(_xlfn.TEXTAFTER(mets9[[#This Row],[pasted JSON metabolite keys and values from GSM biomass rxn]],":"),",",""))</f>
        <v>-2.3598000000000001E-2</v>
      </c>
      <c r="G11" s="21" cm="1">
        <f t="array" ref="G11">_xlfn.LET(_xlpm.id,mets9[[#This Row],[name w/o location]],IF(IsElementOfSet_DIY(_xlpm.id,{"atp","adp","h","pi","h2o"}),SIGN(mets9[[#This Row],[raw (GSM) coefficient]])*(ABS(mets9[[#This Row],[raw (GSM) coefficient]])-$J$2),mets9[[#This Row],[raw (GSM) coefficient]]))</f>
        <v>-2.3598000000000001E-2</v>
      </c>
      <c r="H11" s="21">
        <f>mets9[[#This Row],[coeff. w/o GAM]]</f>
        <v>-2.3598000000000001E-2</v>
      </c>
      <c r="I11" s="161">
        <f t="shared" si="0"/>
        <v>-2.3597920748188762E-2</v>
      </c>
      <c r="J11" s="21" cm="1">
        <f t="array" ref="J11">_xlfn.LET(_xlpm.id,mets9[[#This Row],[name w/o location]],_xlpm.oldcoeff,mets9[[#This Row],[normalized coeffs]],_xlpm.gam,$J$2-$G$2,_xlfn.IFS(IFERROR(MATCH(_xlpm.id,{"atp","h2o"},0),0)&gt;0,_xlpm.oldcoeff-_xlpm.gam,IFERROR(MATCH(_xlpm.id,{"adp","h","pi"},0),0)&gt;0,_xlpm.oldcoeff+_xlpm.gam,TRUE,_xlpm.oldcoeff))</f>
        <v>-2.3597920748188762E-2</v>
      </c>
      <c r="K11" t="str" cm="1">
        <f t="array" ref="K11">"BIOSYN-"&amp;_xlfn.IFS(IFERROR(MATCH(mets9[[#This Row],[category]],{0,"0",""},0),0)&gt;0,mets9[[#This Row],[name]],TRUE,mets9[[#This Row],[category]]&amp;"-"&amp;mets9[[#This Row],[name]])</f>
        <v>BIOSYN-CARB-gpianchorSC_r</v>
      </c>
      <c r="L11" s="149" t="str" cm="1">
        <f t="array" ref="L11">IF(IsElementOfSet_DIY(mets9[[#This Row],[category]],{"ignore","PROT"}),"",_xlfn.LET(_xlpm.mw,mets9[[#This Row],[MW for biomass normalization (g/mol)]],"MET-"&amp;mets9[[#This Row],[name]]&amp;" --&gt; "&amp;IF((mets9[[#This Row],[category]]="DNA")+(mets9[[#This Row],[category]]="RNA"),"MET-ppi_c + ","")&amp;ROUND(ABS(_xlpm.mw/1000),6)&amp;" BIO-"&amp;mets9[[#This Row],[name]]))</f>
        <v>MET-gpianchorSC_r --&gt; 2.280413 BIO-gpianchorSC_r</v>
      </c>
      <c r="M11" s="149" cm="1">
        <f t="array" ref="M1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-2.3597859898908113E-2</v>
      </c>
      <c r="N11" s="149"/>
      <c r="O11" s="162" t="str">
        <v>BIOSYN-PI</v>
      </c>
      <c r="P11" s="158" t="str">
        <f t="shared" si="1"/>
        <v>BIOSYN-PI</v>
      </c>
      <c r="Q11" s="158" t="str">
        <f>SUBSTITUTE(LOWER(biomassComponents5[[#This Row],[rxn name]]),"biosyn-","BIO-")</f>
        <v>BIO-pi</v>
      </c>
      <c r="R11" s="160" cm="1">
        <f t="array" ref="R11">SUM(_xlfn._xlws.FILTER(-mets9[MW for biomass normalization (g/mol)]*mets9[normalized coeffs]/1000,mets9[category]=_xlfn.TEXTAFTER(O11,"BIOSYN-"),""))</f>
        <v>1.0121751131731166E-2</v>
      </c>
      <c r="S11" s="160"/>
      <c r="T11" s="160" cm="1">
        <f t="array" ref="T11">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1.0121751131731166E-2</v>
      </c>
      <c r="U11" s="158" t="str" cm="1">
        <f t="array" ref="U11">_xlfn.TEXTJOIN(" + ",TRUE,_xlfn._xlws.FILTER(ROUND(-mets9[MW for biomass normalization (g/mol)]*mets9[normalized coeffs]*(biomassComponents5[[#This Row],[normalized coeffs]]/biomassComponents5[[#This Row],[original coeffs from input]])/(1000*biomassComponents5[[#This Row],[normalized coeffs]]),6)&amp;" BIO-"&amp;mets9[name],mets9[category]=_xlfn.TEXTAFTER(O11,"BIOSYN-"),""))&amp;" --&gt; "&amp;biomassComponents5[[#This Row],[product name]]</f>
        <v>1 BIO-pi_c --&gt; BIO-pi</v>
      </c>
      <c r="V11" s="158" t="str" cm="1">
        <f t="array" ref="V11">_xlfn.TEXTJOIN(" + ",TRUE,_xlfn._xlws.FILTER((-mets9[normalized coeffs]*biomassComponents5[[#This Row],[normalized coeffs]]/biomassComponents5[[#This Row],[original coeffs from input]])&amp;" BIO-"&amp;mets9[name],mets9[category]=_xlfn.TEXTAFTER(P11,"BIOSYN-"),""))</f>
        <v>0.105457645828564 BIO-pi_c</v>
      </c>
      <c r="X11" s="154" t="s">
        <v>52</v>
      </c>
      <c r="Y11" s="152" t="s">
        <v>53</v>
      </c>
      <c r="Z11" s="152" t="s">
        <v>54</v>
      </c>
      <c r="AB11" t="str">
        <v>BIOSYN-PROTCYT</v>
      </c>
      <c r="AC11" t="str">
        <v>BIO-protcyt --&gt; BIO-protmodeled</v>
      </c>
    </row>
    <row r="12" spans="1:33" ht="16" x14ac:dyDescent="0.2">
      <c r="A12" s="144" t="s">
        <v>1164</v>
      </c>
      <c r="B12" t="str">
        <f>SUBSTITUTE(_xlfn.TEXTBEFORE(mets9[[#This Row],[pasted JSON metabolite keys and values from GSM biomass rxn]],":"),CHAR(34),"")</f>
        <v>oglycanSC_g</v>
      </c>
      <c r="C12" t="str">
        <f>_xlfn.TEXTBEFORE(mets9[[#This Row],[name]],"_",-1)</f>
        <v>oglycanSC</v>
      </c>
      <c r="D12" t="str">
        <f>_xlfn.XLOOKUP(mets9[[#This Row],[name w/o location]],metaboliteInfo[name w/o location],metaboliteInfo[suggested category],"")</f>
        <v>CARB</v>
      </c>
      <c r="E12" s="21">
        <f>_xlfn.XLOOKUP(mets9[[#This Row],[name w/o location]],metaboliteInfo[name w/o location],metaboliteInfo[MW for biomass normalization (g/mol)],0)</f>
        <v>810.70299999999997</v>
      </c>
      <c r="F12" s="21">
        <f>_xlfn.NUMBERVALUE(SUBSTITUTE(_xlfn.TEXTAFTER(mets9[[#This Row],[pasted JSON metabolite keys and values from GSM biomass rxn]],":"),",",""))</f>
        <v>-6.6377000000000005E-2</v>
      </c>
      <c r="G12" s="21" cm="1">
        <f t="array" ref="G12">_xlfn.LET(_xlpm.id,mets9[[#This Row],[name w/o location]],IF(IsElementOfSet_DIY(_xlpm.id,{"atp","adp","h","pi","h2o"}),SIGN(mets9[[#This Row],[raw (GSM) coefficient]])*(ABS(mets9[[#This Row],[raw (GSM) coefficient]])-$J$2),mets9[[#This Row],[raw (GSM) coefficient]]))</f>
        <v>-6.6377000000000005E-2</v>
      </c>
      <c r="H12" s="21">
        <f>mets9[[#This Row],[coeff. w/o GAM]]</f>
        <v>-6.6377000000000005E-2</v>
      </c>
      <c r="I12" s="161">
        <f t="shared" si="0"/>
        <v>-6.6376777078672997E-2</v>
      </c>
      <c r="J12" s="21" cm="1">
        <f t="array" ref="J12">_xlfn.LET(_xlpm.id,mets9[[#This Row],[name w/o location]],_xlpm.oldcoeff,mets9[[#This Row],[normalized coeffs]],_xlpm.gam,$J$2-$G$2,_xlfn.IFS(IFERROR(MATCH(_xlpm.id,{"atp","h2o"},0),0)&gt;0,_xlpm.oldcoeff-_xlpm.gam,IFERROR(MATCH(_xlpm.id,{"adp","h","pi"},0),0)&gt;0,_xlpm.oldcoeff+_xlpm.gam,TRUE,_xlpm.oldcoeff))</f>
        <v>-6.6376777078672997E-2</v>
      </c>
      <c r="K12" t="str" cm="1">
        <f t="array" ref="K12">"BIOSYN-"&amp;_xlfn.IFS(IFERROR(MATCH(mets9[[#This Row],[category]],{0,"0",""},0),0)&gt;0,mets9[[#This Row],[name]],TRUE,mets9[[#This Row],[category]]&amp;"-"&amp;mets9[[#This Row],[name]])</f>
        <v>BIOSYN-CARB-oglycanSC_g</v>
      </c>
      <c r="L12" s="149" t="str" cm="1">
        <f t="array" ref="L12">IF(IsElementOfSet_DIY(mets9[[#This Row],[category]],{"ignore","PROT"}),"",_xlfn.LET(_xlpm.mw,mets9[[#This Row],[MW for biomass normalization (g/mol)]],"MET-"&amp;mets9[[#This Row],[name]]&amp;" --&gt; "&amp;IF((mets9[[#This Row],[category]]="DNA")+(mets9[[#This Row],[category]]="RNA"),"MET-ppi_c + ","")&amp;ROUND(ABS(_xlpm.mw/1000),6)&amp;" BIO-"&amp;mets9[[#This Row],[name]]))</f>
        <v>MET-oglycanSC_g --&gt; 0.810703 BIO-oglycanSC_g</v>
      </c>
      <c r="M12" s="149" cm="1">
        <f t="array" ref="M1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-6.6376605920409518E-2</v>
      </c>
      <c r="N12" s="149"/>
      <c r="O12" s="162" t="str">
        <v>BIOSYN-PROT</v>
      </c>
      <c r="P12" s="158" t="str">
        <f t="shared" si="1"/>
        <v>BIOSYN-PROT</v>
      </c>
      <c r="Q12" s="158" t="s">
        <v>21</v>
      </c>
      <c r="R12" s="160" cm="1">
        <f t="array" ref="R12">SUM(_xlfn._xlws.FILTER(-mets9[MW for biomass normalization (g/mol)]*mets9[normalized coeffs]/1000,mets9[category]=_xlfn.TEXTAFTER(O12,"BIOSYN-"),""))</f>
        <v>0.35459802320111117</v>
      </c>
      <c r="S12" s="160">
        <v>0.36899999999999999</v>
      </c>
      <c r="T12" s="160" cm="1">
        <f t="array" ref="T12">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0.35459877533272038</v>
      </c>
      <c r="U12" s="158"/>
      <c r="V12" s="158" t="str" cm="1">
        <f t="array" ref="V12">_xlfn.TEXTJOIN(" + ",TRUE,_xlfn._xlws.FILTER((-mets9[normalized coeffs]*biomassComponents5[[#This Row],[normalized coeffs]]/biomassComponents5[[#This Row],[original coeffs from input]])&amp;" BIO-"&amp;mets9[name],mets9[category]=_xlfn.TEXTAFTER(P12,"BIOSYN-"),""))</f>
        <v>0.316242608700842 BIO-alatrna_c + 0.124942845403406 BIO-argtrna_c + 0.150190814163122 BIO-asntrna_c + 0.150190814163122 BIO-asptrna_c + 0.00453199439238882 BIO-cystrna_c + 0.250533690005018 BIO-glntrna_c + 0.250533690005018 BIO-glutrna_c + 0.287757643946386 BIO-glytrna_c + 0.0624719227010844 BIO-histrna_c + 0.190651764099231 BIO-iletrna_c + 0.259273679190693 BIO-leutrna_c + 0.212662736864206 BIO-lystrna_c + 0.0369009543410282 BIO-mettrna_c + 0.121706849407428 BIO-phetrna_c + 0.136596830983481 BIO-protrna_c + 0.172524786528438 BIO-sertrna_c + 0.180293776915567 BIO-thrtrna_c + 0.02103997396643 BIO-trptrna_c + 0.0634429214996302 BIO-tyrtrna_c + 0.237262706425717 BIO-valtrna_c</v>
      </c>
      <c r="X12" s="154" t="s">
        <v>52</v>
      </c>
      <c r="Y12" s="152" t="s">
        <v>55</v>
      </c>
      <c r="Z12" s="152" t="s">
        <v>56</v>
      </c>
      <c r="AB12" t="str">
        <v>BIOSYN-PROTMITO</v>
      </c>
      <c r="AC12" t="str">
        <v>BIO-protmito --&gt; BIO-protmodeled</v>
      </c>
    </row>
    <row r="13" spans="1:33" ht="16" x14ac:dyDescent="0.2">
      <c r="A13" s="144" t="s">
        <v>958</v>
      </c>
      <c r="B13" t="str">
        <f>SUBSTITUTE(_xlfn.TEXTBEFORE(mets9[[#This Row],[pasted JSON metabolite keys and values from GSM biomass rxn]],":"),CHAR(34),"")</f>
        <v>amet_c</v>
      </c>
      <c r="C13" t="str">
        <f>_xlfn.TEXTBEFORE(mets9[[#This Row],[name]],"_",-1)</f>
        <v>amet</v>
      </c>
      <c r="D13" t="str">
        <f>_xlfn.XLOOKUP(mets9[[#This Row],[name w/o location]],metaboliteInfo[name w/o location],metaboliteInfo[suggested category],"")</f>
        <v>COFACTOR</v>
      </c>
      <c r="E13" s="21">
        <f>_xlfn.XLOOKUP(mets9[[#This Row],[name w/o location]],metaboliteInfo[name w/o location],metaboliteInfo[MW for biomass normalization (g/mol)],0)</f>
        <v>399.44531999999998</v>
      </c>
      <c r="F13" s="21">
        <f>_xlfn.NUMBERVALUE(SUBSTITUTE(_xlfn.TEXTAFTER(mets9[[#This Row],[pasted JSON metabolite keys and values from GSM biomass rxn]],":"),",",""))</f>
        <v>-1E-4</v>
      </c>
      <c r="G13" s="21" cm="1">
        <f t="array" ref="G13">_xlfn.LET(_xlpm.id,mets9[[#This Row],[name w/o location]],IF(IsElementOfSet_DIY(_xlpm.id,{"atp","adp","h","pi","h2o"}),SIGN(mets9[[#This Row],[raw (GSM) coefficient]])*(ABS(mets9[[#This Row],[raw (GSM) coefficient]])-$J$2),mets9[[#This Row],[raw (GSM) coefficient]]))</f>
        <v>-1E-4</v>
      </c>
      <c r="H13" s="21">
        <f>mets9[[#This Row],[coeff. w/o GAM]]</f>
        <v>-1E-4</v>
      </c>
      <c r="I13" s="161">
        <f t="shared" si="0"/>
        <v>-9.9999664158779395E-5</v>
      </c>
      <c r="J13" s="21" cm="1">
        <f t="array" ref="J13">_xlfn.LET(_xlpm.id,mets9[[#This Row],[name w/o location]],_xlpm.oldcoeff,mets9[[#This Row],[normalized coeffs]],_xlpm.gam,$J$2-$G$2,_xlfn.IFS(IFERROR(MATCH(_xlpm.id,{"atp","h2o"},0),0)&gt;0,_xlpm.oldcoeff-_xlpm.gam,IFERROR(MATCH(_xlpm.id,{"adp","h","pi"},0),0)&gt;0,_xlpm.oldcoeff+_xlpm.gam,TRUE,_xlpm.oldcoeff))</f>
        <v>-9.9999664158779395E-5</v>
      </c>
      <c r="K13" t="str" cm="1">
        <f t="array" ref="K13">"BIOSYN-"&amp;_xlfn.IFS(IFERROR(MATCH(mets9[[#This Row],[category]],{0,"0",""},0),0)&gt;0,mets9[[#This Row],[name]],TRUE,mets9[[#This Row],[category]]&amp;"-"&amp;mets9[[#This Row],[name]])</f>
        <v>BIOSYN-COFACTOR-amet_c</v>
      </c>
      <c r="L13" s="149" t="str" cm="1">
        <f t="array" ref="L13">IF(IsElementOfSet_DIY(mets9[[#This Row],[category]],{"ignore","PROT"}),"",_xlfn.LET(_xlpm.mw,mets9[[#This Row],[MW for biomass normalization (g/mol)]],"MET-"&amp;mets9[[#This Row],[name]]&amp;" --&gt; "&amp;IF((mets9[[#This Row],[category]]="DNA")+(mets9[[#This Row],[category]]="RNA"),"MET-ppi_c + ","")&amp;ROUND(ABS(_xlpm.mw/1000),6)&amp;" BIO-"&amp;mets9[[#This Row],[name]]))</f>
        <v>MET-amet_c --&gt; 0.399445 BIO-amet_c</v>
      </c>
      <c r="M13" s="149" cm="1">
        <f t="array" ref="M1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13" s="149"/>
      <c r="O13" s="162" t="str">
        <v>BIOSYN-RNA</v>
      </c>
      <c r="P13" s="158" t="str">
        <f t="shared" si="1"/>
        <v>BIOSYN-RNA</v>
      </c>
      <c r="Q13" s="158" t="str">
        <f>SUBSTITUTE(LOWER(biomassComponents5[[#This Row],[rxn name]]),"biosyn-","BIO-")</f>
        <v>BIO-rna</v>
      </c>
      <c r="R13" s="160" cm="1">
        <f t="array" ref="R13">SUM(_xlfn._xlws.FILTER(-mets9[MW for biomass normalization (g/mol)]*mets9[normalized coeffs]/1000,mets9[category]=_xlfn.TEXTAFTER(O13,"BIOSYN-"),""))</f>
        <v>5.5736320397970544E-2</v>
      </c>
      <c r="S13" s="160">
        <v>5.8000000000000003E-2</v>
      </c>
      <c r="T13" s="160" cm="1">
        <f t="array" ref="T13">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5.5736392870725703E-2</v>
      </c>
      <c r="U13" s="163" t="s">
        <v>81</v>
      </c>
      <c r="V13" s="158" t="str" cm="1">
        <f t="array" ref="V13">_xlfn.TEXTJOIN(" + ",TRUE,_xlfn._xlws.FILTER((-mets9[normalized coeffs]*biomassComponents5[[#This Row],[normalized coeffs]]/biomassComponents5[[#This Row],[original coeffs from input]])&amp;" BIO-"&amp;mets9[name],mets9[category]=_xlfn.TEXTAFTER(P13,"BIOSYN-"),""))</f>
        <v>0.0334789310956049 BIO-atp_c + 0.0584398797224279 BIO-ctp_c + 0.0512058946109966 BIO-gtp_c + 0.0306329369530652 BIO-utp_c</v>
      </c>
      <c r="X13" s="154" t="s">
        <v>52</v>
      </c>
      <c r="Y13" s="152" t="s">
        <v>59</v>
      </c>
      <c r="Z13" s="152" t="s">
        <v>60</v>
      </c>
      <c r="AB13" t="str">
        <v>BIOSYN-TRNA</v>
      </c>
      <c r="AC13" t="str">
        <v>0.197142287723668 BIO-atp_c + 0.31892986044557 BIO-ctp_c + 0.316220679025268 BIO-gtp_c + 0.167718065675359 BIO-utp_c --&gt; BIO-trna</v>
      </c>
    </row>
    <row r="14" spans="1:33" ht="16" x14ac:dyDescent="0.2">
      <c r="A14" s="144" t="s">
        <v>962</v>
      </c>
      <c r="B14" t="str">
        <f>SUBSTITUTE(_xlfn.TEXTBEFORE(mets9[[#This Row],[pasted JSON metabolite keys and values from GSM biomass rxn]],":"),CHAR(34),"")</f>
        <v>btn_c</v>
      </c>
      <c r="C14" t="str">
        <f>_xlfn.TEXTBEFORE(mets9[[#This Row],[name]],"_",-1)</f>
        <v>btn</v>
      </c>
      <c r="D14" t="str">
        <f>_xlfn.XLOOKUP(mets9[[#This Row],[name w/o location]],metaboliteInfo[name w/o location],metaboliteInfo[suggested category],"")</f>
        <v>COFACTOR</v>
      </c>
      <c r="E14" s="21">
        <f>_xlfn.XLOOKUP(mets9[[#This Row],[name w/o location]],metaboliteInfo[name w/o location],metaboliteInfo[MW for biomass normalization (g/mol)],0)</f>
        <v>243.30269999999999</v>
      </c>
      <c r="F14" s="21">
        <f>_xlfn.NUMBERVALUE(SUBSTITUTE(_xlfn.TEXTAFTER(mets9[[#This Row],[pasted JSON metabolite keys and values from GSM biomass rxn]],":"),",",""))</f>
        <v>-1E-4</v>
      </c>
      <c r="G14" s="21" cm="1">
        <f t="array" ref="G14">_xlfn.LET(_xlpm.id,mets9[[#This Row],[name w/o location]],IF(IsElementOfSet_DIY(_xlpm.id,{"atp","adp","h","pi","h2o"}),SIGN(mets9[[#This Row],[raw (GSM) coefficient]])*(ABS(mets9[[#This Row],[raw (GSM) coefficient]])-$J$2),mets9[[#This Row],[raw (GSM) coefficient]]))</f>
        <v>-1E-4</v>
      </c>
      <c r="H14" s="21">
        <f>mets9[[#This Row],[coeff. w/o GAM]]</f>
        <v>-1E-4</v>
      </c>
      <c r="I14" s="161">
        <f t="shared" si="0"/>
        <v>-9.9999664158779395E-5</v>
      </c>
      <c r="J14" s="21" cm="1">
        <f t="array" ref="J14">_xlfn.LET(_xlpm.id,mets9[[#This Row],[name w/o location]],_xlpm.oldcoeff,mets9[[#This Row],[normalized coeffs]],_xlpm.gam,$J$2-$G$2,_xlfn.IFS(IFERROR(MATCH(_xlpm.id,{"atp","h2o"},0),0)&gt;0,_xlpm.oldcoeff-_xlpm.gam,IFERROR(MATCH(_xlpm.id,{"adp","h","pi"},0),0)&gt;0,_xlpm.oldcoeff+_xlpm.gam,TRUE,_xlpm.oldcoeff))</f>
        <v>-9.9999664158779395E-5</v>
      </c>
      <c r="K14" t="str" cm="1">
        <f t="array" ref="K14">"BIOSYN-"&amp;_xlfn.IFS(IFERROR(MATCH(mets9[[#This Row],[category]],{0,"0",""},0),0)&gt;0,mets9[[#This Row],[name]],TRUE,mets9[[#This Row],[category]]&amp;"-"&amp;mets9[[#This Row],[name]])</f>
        <v>BIOSYN-COFACTOR-btn_c</v>
      </c>
      <c r="L14" s="149" t="str" cm="1">
        <f t="array" ref="L14">IF(IsElementOfSet_DIY(mets9[[#This Row],[category]],{"ignore","PROT"}),"",_xlfn.LET(_xlpm.mw,mets9[[#This Row],[MW for biomass normalization (g/mol)]],"MET-"&amp;mets9[[#This Row],[name]]&amp;" --&gt; "&amp;IF((mets9[[#This Row],[category]]="DNA")+(mets9[[#This Row],[category]]="RNA"),"MET-ppi_c + ","")&amp;ROUND(ABS(_xlpm.mw/1000),6)&amp;" BIO-"&amp;mets9[[#This Row],[name]]))</f>
        <v>MET-btn_c --&gt; 0.243303 BIO-btn_c</v>
      </c>
      <c r="M14" s="149" cm="1">
        <f t="array" ref="M1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14" s="149"/>
      <c r="O14" s="162" t="str">
        <v>BIOSYN-SO4</v>
      </c>
      <c r="P14" s="158" t="str">
        <f t="shared" si="1"/>
        <v>BIOSYN-SO4</v>
      </c>
      <c r="Q14" s="158" t="str">
        <f>SUBSTITUTE(LOWER(biomassComponents5[[#This Row],[rxn name]]),"biosyn-","BIO-")</f>
        <v>BIO-so4</v>
      </c>
      <c r="R14" s="160" cm="1">
        <f t="array" ref="R14">SUM(_xlfn._xlws.FILTER(-mets9[MW for biomass normalization (g/mol)]*mets9[normalized coeffs]/1000,mets9[category]=_xlfn.TEXTAFTER(O14,"BIOSYN-"),""))</f>
        <v>2.9937808746160017E-3</v>
      </c>
      <c r="S14" s="160"/>
      <c r="T14" s="160" cm="1">
        <f t="array" ref="T14">IF(biomassComponents5[[#This Row],[pre-determined coeffs]]&lt;&gt;"",biomassComponents5[[#This Row],[pre-determined coeffs]]*IF(SUM(biomassComponents5[pre-determined coeffs])&gt;1,1/SUM(biomassComponents5[pre-determined coeffs]),1)*(1-SUM(_xlfn._xlws.FILTER(biomassComponents5[original coeffs from input],biomassComponents5[pre-determined coeffs]=""))),biomassComponents5[[#This Row],[original coeffs from input]])</f>
        <v>2.9937808746160017E-3</v>
      </c>
      <c r="U14" s="158" t="str" cm="1">
        <f t="array" ref="U14">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BIO-"&amp;mets24[name],mets24[category]=_xlfn.TEXTAFTER(O14,"BIOSYN-"),""))&amp;" --&gt; "&amp;biomassComponents23[[#This Row],[product name]]</f>
        <v>1 BIO-so4_c --&gt; BIO-so4</v>
      </c>
      <c r="V14" s="158" t="str" cm="1">
        <f t="array" ref="V14">_xlfn.TEXTJOIN(" + ",TRUE,_xlfn._xlws.FILTER((-mets9[normalized coeffs]*biomassComponents5[[#This Row],[normalized coeffs]]/biomassComponents5[[#This Row],[original coeffs from input]])&amp;" BIO-"&amp;mets9[name],mets9[category]=_xlfn.TEXTAFTER(P14,"BIOSYN-"),""))</f>
        <v>0.0311648953350836 BIO-so4_c</v>
      </c>
      <c r="X14" s="154" t="s">
        <v>52</v>
      </c>
      <c r="Y14" s="152" t="s">
        <v>61</v>
      </c>
      <c r="Z14" s="152" t="s">
        <v>62</v>
      </c>
      <c r="AB14" t="str">
        <v>BIOSYN-RRNA</v>
      </c>
      <c r="AC14" t="str">
        <v>0.197142287723668 BIO-atp_c + 0.31892986044557 BIO-ctp_c + 0.316220679025268 BIO-gtp_c + 0.167718065675359 BIO-utp_c --&gt; BIO-rrna</v>
      </c>
    </row>
    <row r="15" spans="1:33" ht="16" x14ac:dyDescent="0.2">
      <c r="A15" s="144" t="s">
        <v>965</v>
      </c>
      <c r="B15" t="str">
        <f>SUBSTITUTE(_xlfn.TEXTBEFORE(mets9[[#This Row],[pasted JSON metabolite keys and values from GSM biomass rxn]],":"),CHAR(34),"")</f>
        <v>coa_c</v>
      </c>
      <c r="C15" t="str">
        <f>_xlfn.TEXTBEFORE(mets9[[#This Row],[name]],"_",-1)</f>
        <v>coa</v>
      </c>
      <c r="D15" t="str">
        <f>_xlfn.XLOOKUP(mets9[[#This Row],[name w/o location]],metaboliteInfo[name w/o location],metaboliteInfo[suggested category],"")</f>
        <v>COFACTOR</v>
      </c>
      <c r="E15" s="21">
        <f>_xlfn.XLOOKUP(mets9[[#This Row],[name w/o location]],metaboliteInfo[name w/o location],metaboliteInfo[MW for biomass normalization (g/mol)],0)</f>
        <v>763.50236299999995</v>
      </c>
      <c r="F15" s="21">
        <f>_xlfn.NUMBERVALUE(SUBSTITUTE(_xlfn.TEXTAFTER(mets9[[#This Row],[pasted JSON metabolite keys and values from GSM biomass rxn]],":"),",",""))</f>
        <v>-1E-4</v>
      </c>
      <c r="G15" s="21" cm="1">
        <f t="array" ref="G15">_xlfn.LET(_xlpm.id,mets9[[#This Row],[name w/o location]],IF(IsElementOfSet_DIY(_xlpm.id,{"atp","adp","h","pi","h2o"}),SIGN(mets9[[#This Row],[raw (GSM) coefficient]])*(ABS(mets9[[#This Row],[raw (GSM) coefficient]])-$J$2),mets9[[#This Row],[raw (GSM) coefficient]]))</f>
        <v>-1E-4</v>
      </c>
      <c r="H15" s="21">
        <f>mets9[[#This Row],[coeff. w/o GAM]]</f>
        <v>-1E-4</v>
      </c>
      <c r="I15" s="161">
        <f t="shared" si="0"/>
        <v>-9.9999664158779395E-5</v>
      </c>
      <c r="J15" s="21" cm="1">
        <f t="array" ref="J15">_xlfn.LET(_xlpm.id,mets9[[#This Row],[name w/o location]],_xlpm.oldcoeff,mets9[[#This Row],[normalized coeffs]],_xlpm.gam,$J$2-$G$2,_xlfn.IFS(IFERROR(MATCH(_xlpm.id,{"atp","h2o"},0),0)&gt;0,_xlpm.oldcoeff-_xlpm.gam,IFERROR(MATCH(_xlpm.id,{"adp","h","pi"},0),0)&gt;0,_xlpm.oldcoeff+_xlpm.gam,TRUE,_xlpm.oldcoeff))</f>
        <v>-9.9999664158779395E-5</v>
      </c>
      <c r="K15" t="str" cm="1">
        <f t="array" ref="K15">"BIOSYN-"&amp;_xlfn.IFS(IFERROR(MATCH(mets9[[#This Row],[category]],{0,"0",""},0),0)&gt;0,mets9[[#This Row],[name]],TRUE,mets9[[#This Row],[category]]&amp;"-"&amp;mets9[[#This Row],[name]])</f>
        <v>BIOSYN-COFACTOR-coa_c</v>
      </c>
      <c r="L15" s="149" t="str" cm="1">
        <f t="array" ref="L15">IF(IsElementOfSet_DIY(mets9[[#This Row],[category]],{"ignore","PROT"}),"",_xlfn.LET(_xlpm.mw,mets9[[#This Row],[MW for biomass normalization (g/mol)]],"MET-"&amp;mets9[[#This Row],[name]]&amp;" --&gt; "&amp;IF((mets9[[#This Row],[category]]="DNA")+(mets9[[#This Row],[category]]="RNA"),"MET-ppi_c + ","")&amp;ROUND(ABS(_xlpm.mw/1000),6)&amp;" BIO-"&amp;mets9[[#This Row],[name]]))</f>
        <v>MET-coa_c --&gt; 0.763502 BIO-coa_c</v>
      </c>
      <c r="M15" s="149" cm="1">
        <f t="array" ref="M1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15" s="149"/>
      <c r="O15" s="149"/>
      <c r="P15" s="149"/>
      <c r="Q15" s="149"/>
      <c r="R15" s="149"/>
      <c r="S15" s="149"/>
      <c r="T15" s="149"/>
      <c r="U15" s="149"/>
      <c r="V15" s="149"/>
      <c r="X15" s="154"/>
      <c r="Y15" s="152" t="s">
        <v>763</v>
      </c>
      <c r="Z15" s="152" t="str" cm="1">
        <f t="array" ref="Z15">_xlfn.LET(_xlpm.RNAmass,_xlfn.XLOOKUP("BIOSYN-RNA",biomassComponents5[rxn name],biomassComponents5[normalized coeffs],0),_xlpm.coeff,1/_xlpm.RNAmass,_xlfn.TEXTJOIN(" + ",TRUE,_xlfn._xlws.FILTER(ROUND(-mets9[MW for biomass normalization (g/mol)]*mets9[normalized coeffs]/(1000),6)*_xlpm.coeff&amp;" BIO-"&amp;mets9[name],mets9[category]="RNA",""))&amp;" --&gt; "&amp;SUBSTITUTE(LOWER(ExtraRxns3[[#This Row],[name]]),"biosyn-","BIO-"))</f>
        <v>0.197142287723668 BIO-atp_c + 0.31892986044557 BIO-ctp_c + 0.316220679025268 BIO-gtp_c + 0.167718065675359 BIO-utp_c --&gt; BIO-trna</v>
      </c>
      <c r="AB15" t="str">
        <v>BIOSYN-MRNA</v>
      </c>
      <c r="AC15" t="str">
        <v>0.197142287723668 BIO-atp_c + 0.31892986044557 BIO-ctp_c + 0.316220679025268 BIO-gtp_c + 0.167718065675359 BIO-utp_c --&gt; BIO-mrna</v>
      </c>
    </row>
    <row r="16" spans="1:33" ht="16" x14ac:dyDescent="0.2">
      <c r="A16" s="144" t="s">
        <v>974</v>
      </c>
      <c r="B16" t="str">
        <f>SUBSTITUTE(_xlfn.TEXTBEFORE(mets9[[#This Row],[pasted JSON metabolite keys and values from GSM biomass rxn]],":"),CHAR(34),"")</f>
        <v>fad_c</v>
      </c>
      <c r="C16" t="str">
        <f>_xlfn.TEXTBEFORE(mets9[[#This Row],[name]],"_",-1)</f>
        <v>fad</v>
      </c>
      <c r="D16" t="str">
        <f>_xlfn.XLOOKUP(mets9[[#This Row],[name w/o location]],metaboliteInfo[name w/o location],metaboliteInfo[suggested category],"")</f>
        <v>COFACTOR</v>
      </c>
      <c r="E16" s="21">
        <f>_xlfn.XLOOKUP(mets9[[#This Row],[name w/o location]],metaboliteInfo[name w/o location],metaboliteInfo[MW for biomass normalization (g/mol)],0)</f>
        <v>782.52592200000004</v>
      </c>
      <c r="F16" s="21">
        <f>_xlfn.NUMBERVALUE(SUBSTITUTE(_xlfn.TEXTAFTER(mets9[[#This Row],[pasted JSON metabolite keys and values from GSM biomass rxn]],":"),",",""))</f>
        <v>-1E-4</v>
      </c>
      <c r="G16" s="21" cm="1">
        <f t="array" ref="G16">_xlfn.LET(_xlpm.id,mets9[[#This Row],[name w/o location]],IF(IsElementOfSet_DIY(_xlpm.id,{"atp","adp","h","pi","h2o"}),SIGN(mets9[[#This Row],[raw (GSM) coefficient]])*(ABS(mets9[[#This Row],[raw (GSM) coefficient]])-$J$2),mets9[[#This Row],[raw (GSM) coefficient]]))</f>
        <v>-1E-4</v>
      </c>
      <c r="H16" s="21">
        <f>mets9[[#This Row],[coeff. w/o GAM]]</f>
        <v>-1E-4</v>
      </c>
      <c r="I16" s="161">
        <f t="shared" si="0"/>
        <v>-9.9999664158779395E-5</v>
      </c>
      <c r="J16" s="21" cm="1">
        <f t="array" ref="J16">_xlfn.LET(_xlpm.id,mets9[[#This Row],[name w/o location]],_xlpm.oldcoeff,mets9[[#This Row],[normalized coeffs]],_xlpm.gam,$J$2-$G$2,_xlfn.IFS(IFERROR(MATCH(_xlpm.id,{"atp","h2o"},0),0)&gt;0,_xlpm.oldcoeff-_xlpm.gam,IFERROR(MATCH(_xlpm.id,{"adp","h","pi"},0),0)&gt;0,_xlpm.oldcoeff+_xlpm.gam,TRUE,_xlpm.oldcoeff))</f>
        <v>-9.9999664158779395E-5</v>
      </c>
      <c r="K16" t="str" cm="1">
        <f t="array" ref="K16">"BIOSYN-"&amp;_xlfn.IFS(IFERROR(MATCH(mets9[[#This Row],[category]],{0,"0",""},0),0)&gt;0,mets9[[#This Row],[name]],TRUE,mets9[[#This Row],[category]]&amp;"-"&amp;mets9[[#This Row],[name]])</f>
        <v>BIOSYN-COFACTOR-fad_c</v>
      </c>
      <c r="L16" s="149" t="str" cm="1">
        <f t="array" ref="L16">IF(IsElementOfSet_DIY(mets9[[#This Row],[category]],{"ignore","PROT"}),"",_xlfn.LET(_xlpm.mw,mets9[[#This Row],[MW for biomass normalization (g/mol)]],"MET-"&amp;mets9[[#This Row],[name]]&amp;" --&gt; "&amp;IF((mets9[[#This Row],[category]]="DNA")+(mets9[[#This Row],[category]]="RNA"),"MET-ppi_c + ","")&amp;ROUND(ABS(_xlpm.mw/1000),6)&amp;" BIO-"&amp;mets9[[#This Row],[name]]))</f>
        <v>MET-fad_c --&gt; 0.782526 BIO-fad_c</v>
      </c>
      <c r="M16" s="149" cm="1">
        <f t="array" ref="M1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16" s="149"/>
      <c r="O16" s="149"/>
      <c r="P16" s="145"/>
      <c r="Q16" s="166"/>
      <c r="R16" s="95"/>
      <c r="S16" s="149"/>
      <c r="T16" s="149"/>
      <c r="U16" s="149"/>
      <c r="V16" s="149"/>
      <c r="X16" s="154"/>
      <c r="Y16" s="152" t="s">
        <v>765</v>
      </c>
      <c r="Z16" s="152" t="str" cm="1">
        <f t="array" ref="Z16">_xlfn.LET(_xlpm.RNAmass,_xlfn.XLOOKUP("BIOSYN-RNA",biomassComponents5[rxn name],biomassComponents5[normalized coeffs],0),_xlpm.coeff,1/_xlpm.RNAmass,_xlfn.TEXTJOIN(" + ",TRUE,_xlfn._xlws.FILTER(ROUND(-mets9[MW for biomass normalization (g/mol)]*mets9[normalized coeffs]/(1000),6)*_xlpm.coeff&amp;" BIO-"&amp;mets9[name],mets9[category]="RNA",""))&amp;" --&gt; "&amp;SUBSTITUTE(LOWER(ExtraRxns3[[#This Row],[name]]),"biosyn-","BIO-"))</f>
        <v>0.197142287723668 BIO-atp_c + 0.31892986044557 BIO-ctp_c + 0.316220679025268 BIO-gtp_c + 0.167718065675359 BIO-utp_c --&gt; BIO-rrna</v>
      </c>
      <c r="AB16" t="str">
        <v>BIOSYN-CARB</v>
      </c>
      <c r="AC16" t="str">
        <v>0.494979 BIO-13BDglucan_c + 0.130258 BIO-16BDglucan_en + 0.12382 BIO-G00006_c + 0.014665 BIO-chtn_c + 0.11814 BIO-gpianchorSC_r + 0.118137 BIO-oglycanSC_g --&gt; BIO-carb</v>
      </c>
    </row>
    <row r="17" spans="1:29" ht="16" x14ac:dyDescent="0.2">
      <c r="A17" s="144" t="s">
        <v>981</v>
      </c>
      <c r="B17" t="str">
        <f>SUBSTITUTE(_xlfn.TEXTBEFORE(mets9[[#This Row],[pasted JSON metabolite keys and values from GSM biomass rxn]],":"),CHAR(34),"")</f>
        <v>hemeA_c</v>
      </c>
      <c r="C17" t="str">
        <f>_xlfn.TEXTBEFORE(mets9[[#This Row],[name]],"_",-1)</f>
        <v>hemeA</v>
      </c>
      <c r="D17" t="str">
        <f>_xlfn.XLOOKUP(mets9[[#This Row],[name w/o location]],metaboliteInfo[name w/o location],metaboliteInfo[suggested category],"")</f>
        <v>COFACTOR</v>
      </c>
      <c r="E17" s="21">
        <f>_xlfn.XLOOKUP(mets9[[#This Row],[name w/o location]],metaboliteInfo[name w/o location],metaboliteInfo[MW for biomass normalization (g/mol)],0)</f>
        <v>850.82126000000005</v>
      </c>
      <c r="F17" s="21">
        <f>_xlfn.NUMBERVALUE(SUBSTITUTE(_xlfn.TEXTAFTER(mets9[[#This Row],[pasted JSON metabolite keys and values from GSM biomass rxn]],":"),",",""))</f>
        <v>-1E-4</v>
      </c>
      <c r="G17" s="21" cm="1">
        <f t="array" ref="G17">_xlfn.LET(_xlpm.id,mets9[[#This Row],[name w/o location]],IF(IsElementOfSet_DIY(_xlpm.id,{"atp","adp","h","pi","h2o"}),SIGN(mets9[[#This Row],[raw (GSM) coefficient]])*(ABS(mets9[[#This Row],[raw (GSM) coefficient]])-$J$2),mets9[[#This Row],[raw (GSM) coefficient]]))</f>
        <v>-1E-4</v>
      </c>
      <c r="H17" s="21">
        <f>mets9[[#This Row],[coeff. w/o GAM]]</f>
        <v>-1E-4</v>
      </c>
      <c r="I17" s="161">
        <f t="shared" si="0"/>
        <v>-9.9999664158779395E-5</v>
      </c>
      <c r="J17" s="21" cm="1">
        <f t="array" ref="J17">_xlfn.LET(_xlpm.id,mets9[[#This Row],[name w/o location]],_xlpm.oldcoeff,mets9[[#This Row],[normalized coeffs]],_xlpm.gam,$J$2-$G$2,_xlfn.IFS(IFERROR(MATCH(_xlpm.id,{"atp","h2o"},0),0)&gt;0,_xlpm.oldcoeff-_xlpm.gam,IFERROR(MATCH(_xlpm.id,{"adp","h","pi"},0),0)&gt;0,_xlpm.oldcoeff+_xlpm.gam,TRUE,_xlpm.oldcoeff))</f>
        <v>-9.9999664158779395E-5</v>
      </c>
      <c r="K17" t="str" cm="1">
        <f t="array" ref="K17">"BIOSYN-"&amp;_xlfn.IFS(IFERROR(MATCH(mets9[[#This Row],[category]],{0,"0",""},0),0)&gt;0,mets9[[#This Row],[name]],TRUE,mets9[[#This Row],[category]]&amp;"-"&amp;mets9[[#This Row],[name]])</f>
        <v>BIOSYN-COFACTOR-hemeA_c</v>
      </c>
      <c r="L17" s="149" t="str" cm="1">
        <f t="array" ref="L17">IF(IsElementOfSet_DIY(mets9[[#This Row],[category]],{"ignore","PROT"}),"",_xlfn.LET(_xlpm.mw,mets9[[#This Row],[MW for biomass normalization (g/mol)]],"MET-"&amp;mets9[[#This Row],[name]]&amp;" --&gt; "&amp;IF((mets9[[#This Row],[category]]="DNA")+(mets9[[#This Row],[category]]="RNA"),"MET-ppi_c + ","")&amp;ROUND(ABS(_xlpm.mw/1000),6)&amp;" BIO-"&amp;mets9[[#This Row],[name]]))</f>
        <v>MET-hemeA_c --&gt; 0.850821 BIO-hemeA_c</v>
      </c>
      <c r="M17" s="149" cm="1">
        <f t="array" ref="M1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17" s="149"/>
      <c r="O17" s="149"/>
      <c r="P17" s="149"/>
      <c r="Q17" s="167"/>
      <c r="R17" s="149"/>
      <c r="S17" s="149"/>
      <c r="T17" s="149"/>
      <c r="U17" s="149"/>
      <c r="V17" s="149"/>
      <c r="X17" s="154"/>
      <c r="Y17" s="152" t="s">
        <v>764</v>
      </c>
      <c r="Z17" s="152" t="str" cm="1">
        <f t="array" ref="Z17">_xlfn.LET(_xlpm.RNAmass,_xlfn.XLOOKUP("BIOSYN-RNA",biomassComponents5[rxn name],biomassComponents5[normalized coeffs],0),_xlpm.coeff,1/_xlpm.RNAmass,_xlfn.TEXTJOIN(" + ",TRUE,_xlfn._xlws.FILTER(ROUND(-mets9[MW for biomass normalization (g/mol)]*mets9[normalized coeffs]/(1000),6)*_xlpm.coeff&amp;" BIO-"&amp;mets9[name],mets9[category]="RNA",""))&amp;" --&gt; "&amp;SUBSTITUTE(LOWER(ExtraRxns3[[#This Row],[name]]),"biosyn-","BIO-"))</f>
        <v>0.197142287723668 BIO-atp_c + 0.31892986044557 BIO-ctp_c + 0.316220679025268 BIO-gtp_c + 0.167718065675359 BIO-utp_c --&gt; BIO-mrna</v>
      </c>
      <c r="AB17" t="str">
        <v>BIOSYN-COFACTOR</v>
      </c>
      <c r="AC17" t="str">
        <v>0.065732 BIO-amet_c + 0.040038 BIO-btn_c + 0.125641 BIO-coa_c + 0.128772 BIO-fad_c + 0.14001 BIO-hemeA_c + 0.109007 BIO-nad_c + 0.121836 BIO-nadp_c + 0.040338 BIO-pydx5p_c + 0.061768 BIO-ribflv_c + 0.024399 BIO-spmd_c + 0.072968 BIO-thf_c + 0.069492 BIO-thmpp_c --&gt; BIO-cofactor</v>
      </c>
    </row>
    <row r="18" spans="1:29" ht="16" x14ac:dyDescent="0.2">
      <c r="A18" s="144" t="s">
        <v>993</v>
      </c>
      <c r="B18" t="str">
        <f>SUBSTITUTE(_xlfn.TEXTBEFORE(mets9[[#This Row],[pasted JSON metabolite keys and values from GSM biomass rxn]],":"),CHAR(34),"")</f>
        <v>nad_c</v>
      </c>
      <c r="C18" t="str">
        <f>_xlfn.TEXTBEFORE(mets9[[#This Row],[name]],"_",-1)</f>
        <v>nad</v>
      </c>
      <c r="D18" t="str">
        <f>_xlfn.XLOOKUP(mets9[[#This Row],[name w/o location]],metaboliteInfo[name w/o location],metaboliteInfo[suggested category],"")</f>
        <v>COFACTOR</v>
      </c>
      <c r="E18" s="21">
        <f>_xlfn.XLOOKUP(mets9[[#This Row],[name w/o location]],metaboliteInfo[name w/o location],metaboliteInfo[MW for biomass normalization (g/mol)],0)</f>
        <v>662.41716199999996</v>
      </c>
      <c r="F18" s="21">
        <f>_xlfn.NUMBERVALUE(SUBSTITUTE(_xlfn.TEXTAFTER(mets9[[#This Row],[pasted JSON metabolite keys and values from GSM biomass rxn]],":"),",",""))</f>
        <v>-1E-4</v>
      </c>
      <c r="G18" s="21" cm="1">
        <f t="array" ref="G18">_xlfn.LET(_xlpm.id,mets9[[#This Row],[name w/o location]],IF(IsElementOfSet_DIY(_xlpm.id,{"atp","adp","h","pi","h2o"}),SIGN(mets9[[#This Row],[raw (GSM) coefficient]])*(ABS(mets9[[#This Row],[raw (GSM) coefficient]])-$J$2),mets9[[#This Row],[raw (GSM) coefficient]]))</f>
        <v>-1E-4</v>
      </c>
      <c r="H18" s="21">
        <f>mets9[[#This Row],[coeff. w/o GAM]]</f>
        <v>-1E-4</v>
      </c>
      <c r="I18" s="161">
        <f t="shared" si="0"/>
        <v>-9.9999664158779395E-5</v>
      </c>
      <c r="J18" s="21" cm="1">
        <f t="array" ref="J18">_xlfn.LET(_xlpm.id,mets9[[#This Row],[name w/o location]],_xlpm.oldcoeff,mets9[[#This Row],[normalized coeffs]],_xlpm.gam,$J$2-$G$2,_xlfn.IFS(IFERROR(MATCH(_xlpm.id,{"atp","h2o"},0),0)&gt;0,_xlpm.oldcoeff-_xlpm.gam,IFERROR(MATCH(_xlpm.id,{"adp","h","pi"},0),0)&gt;0,_xlpm.oldcoeff+_xlpm.gam,TRUE,_xlpm.oldcoeff))</f>
        <v>-9.9999664158779395E-5</v>
      </c>
      <c r="K18" t="str" cm="1">
        <f t="array" ref="K18">"BIOSYN-"&amp;_xlfn.IFS(IFERROR(MATCH(mets9[[#This Row],[category]],{0,"0",""},0),0)&gt;0,mets9[[#This Row],[name]],TRUE,mets9[[#This Row],[category]]&amp;"-"&amp;mets9[[#This Row],[name]])</f>
        <v>BIOSYN-COFACTOR-nad_c</v>
      </c>
      <c r="L18" s="149" t="str" cm="1">
        <f t="array" ref="L18">IF(IsElementOfSet_DIY(mets9[[#This Row],[category]],{"ignore","PROT"}),"",_xlfn.LET(_xlpm.mw,mets9[[#This Row],[MW for biomass normalization (g/mol)]],"MET-"&amp;mets9[[#This Row],[name]]&amp;" --&gt; "&amp;IF((mets9[[#This Row],[category]]="DNA")+(mets9[[#This Row],[category]]="RNA"),"MET-ppi_c + ","")&amp;ROUND(ABS(_xlpm.mw/1000),6)&amp;" BIO-"&amp;mets9[[#This Row],[name]]))</f>
        <v>MET-nad_c --&gt; 0.662417 BIO-nad_c</v>
      </c>
      <c r="M18" s="149" cm="1">
        <f t="array" ref="M1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18" s="149"/>
      <c r="O18" s="149"/>
      <c r="P18" s="149"/>
      <c r="Q18" s="149"/>
      <c r="R18" s="167"/>
      <c r="S18" s="149"/>
      <c r="T18" s="149"/>
      <c r="U18" s="149"/>
      <c r="V18" s="149"/>
      <c r="AB18" t="str">
        <v>BIOSYN-DNA</v>
      </c>
      <c r="AC18" t="str">
        <v>0.197923 BIO-datp_c + 0.285133 BIO-dctp_c + 0.324735 BIO-dgtp_c + 0.192209 BIO-dttp_c --&gt; BIO-dna</v>
      </c>
    </row>
    <row r="19" spans="1:29" ht="16" x14ac:dyDescent="0.2">
      <c r="A19" s="144" t="s">
        <v>994</v>
      </c>
      <c r="B19" t="str">
        <f>SUBSTITUTE(_xlfn.TEXTBEFORE(mets9[[#This Row],[pasted JSON metabolite keys and values from GSM biomass rxn]],":"),CHAR(34),"")</f>
        <v>nadp_c</v>
      </c>
      <c r="C19" t="str">
        <f>_xlfn.TEXTBEFORE(mets9[[#This Row],[name]],"_",-1)</f>
        <v>nadp</v>
      </c>
      <c r="D19" t="str">
        <f>_xlfn.XLOOKUP(mets9[[#This Row],[name w/o location]],metaboliteInfo[name w/o location],metaboliteInfo[suggested category],"")</f>
        <v>COFACTOR</v>
      </c>
      <c r="E19" s="21">
        <f>_xlfn.XLOOKUP(mets9[[#This Row],[name w/o location]],metaboliteInfo[name w/o location],metaboliteInfo[MW for biomass normalization (g/mol)],0)</f>
        <v>740.38118299999996</v>
      </c>
      <c r="F19" s="21">
        <f>_xlfn.NUMBERVALUE(SUBSTITUTE(_xlfn.TEXTAFTER(mets9[[#This Row],[pasted JSON metabolite keys and values from GSM biomass rxn]],":"),",",""))</f>
        <v>-1E-4</v>
      </c>
      <c r="G19" s="21" cm="1">
        <f t="array" ref="G19">_xlfn.LET(_xlpm.id,mets9[[#This Row],[name w/o location]],IF(IsElementOfSet_DIY(_xlpm.id,{"atp","adp","h","pi","h2o"}),SIGN(mets9[[#This Row],[raw (GSM) coefficient]])*(ABS(mets9[[#This Row],[raw (GSM) coefficient]])-$J$2),mets9[[#This Row],[raw (GSM) coefficient]]))</f>
        <v>-1E-4</v>
      </c>
      <c r="H19" s="21">
        <f>mets9[[#This Row],[coeff. w/o GAM]]</f>
        <v>-1E-4</v>
      </c>
      <c r="I19" s="161">
        <f t="shared" si="0"/>
        <v>-9.9999664158779395E-5</v>
      </c>
      <c r="J19" s="21" cm="1">
        <f t="array" ref="J19">_xlfn.LET(_xlpm.id,mets9[[#This Row],[name w/o location]],_xlpm.oldcoeff,mets9[[#This Row],[normalized coeffs]],_xlpm.gam,$J$2-$G$2,_xlfn.IFS(IFERROR(MATCH(_xlpm.id,{"atp","h2o"},0),0)&gt;0,_xlpm.oldcoeff-_xlpm.gam,IFERROR(MATCH(_xlpm.id,{"adp","h","pi"},0),0)&gt;0,_xlpm.oldcoeff+_xlpm.gam,TRUE,_xlpm.oldcoeff))</f>
        <v>-9.9999664158779395E-5</v>
      </c>
      <c r="K19" t="str" cm="1">
        <f t="array" ref="K19">"BIOSYN-"&amp;_xlfn.IFS(IFERROR(MATCH(mets9[[#This Row],[category]],{0,"0",""},0),0)&gt;0,mets9[[#This Row],[name]],TRUE,mets9[[#This Row],[category]]&amp;"-"&amp;mets9[[#This Row],[name]])</f>
        <v>BIOSYN-COFACTOR-nadp_c</v>
      </c>
      <c r="L19" s="149" t="str" cm="1">
        <f t="array" ref="L19">IF(IsElementOfSet_DIY(mets9[[#This Row],[category]],{"ignore","PROT"}),"",_xlfn.LET(_xlpm.mw,mets9[[#This Row],[MW for biomass normalization (g/mol)]],"MET-"&amp;mets9[[#This Row],[name]]&amp;" --&gt; "&amp;IF((mets9[[#This Row],[category]]="DNA")+(mets9[[#This Row],[category]]="RNA"),"MET-ppi_c + ","")&amp;ROUND(ABS(_xlpm.mw/1000),6)&amp;" BIO-"&amp;mets9[[#This Row],[name]]))</f>
        <v>MET-nadp_c --&gt; 0.740381 BIO-nadp_c</v>
      </c>
      <c r="M19" s="149" cm="1">
        <f t="array" ref="M1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19" s="149"/>
      <c r="O19" s="149"/>
      <c r="P19" s="149"/>
      <c r="Q19" s="149"/>
      <c r="R19" s="149"/>
      <c r="S19" s="149"/>
      <c r="T19" s="149"/>
      <c r="U19" s="149"/>
      <c r="V19" s="149"/>
      <c r="AB19" t="str">
        <v>BIOSYN-LIPID</v>
      </c>
      <c r="AC19" t="str">
        <v>0.000113 BIO-docosa_c + 0.331735 BIO-epist_c + 0.00099 BIO-hdca_c + 0.060004 BIO-ipc_g + 0.002764 BIO-linoea_c + 0.000736 BIO-linolen_c + 0.000733 BIO-ocdca_c + 0.001332 BIO-ocdcea_c + 0.153425 BIO-pail_c + 0.262546 BIO-pc_c + 0.060022 BIO-pe_c + 0.034006 BIO-ps_c + 0.090842 BIO-tag_c + 0.000753 BIO-ttcosa_c --&gt; BIO-lipid</v>
      </c>
    </row>
    <row r="20" spans="1:29" ht="16" x14ac:dyDescent="0.2">
      <c r="A20" s="144" t="s">
        <v>1004</v>
      </c>
      <c r="B20" t="str">
        <f>SUBSTITUTE(_xlfn.TEXTBEFORE(mets9[[#This Row],[pasted JSON metabolite keys and values from GSM biomass rxn]],":"),CHAR(34),"")</f>
        <v>pydx5p_c</v>
      </c>
      <c r="C20" t="str">
        <f>_xlfn.TEXTBEFORE(mets9[[#This Row],[name]],"_",-1)</f>
        <v>pydx5p</v>
      </c>
      <c r="D20" t="str">
        <f>_xlfn.XLOOKUP(mets9[[#This Row],[name w/o location]],metaboliteInfo[name w/o location],metaboliteInfo[suggested category],"")</f>
        <v>COFACTOR</v>
      </c>
      <c r="E20" s="21">
        <f>_xlfn.XLOOKUP(mets9[[#This Row],[name w/o location]],metaboliteInfo[name w/o location],metaboliteInfo[MW for biomass normalization (g/mol)],0)</f>
        <v>245.126</v>
      </c>
      <c r="F20" s="21">
        <f>_xlfn.NUMBERVALUE(SUBSTITUTE(_xlfn.TEXTAFTER(mets9[[#This Row],[pasted JSON metabolite keys and values from GSM biomass rxn]],":"),",",""))</f>
        <v>-1E-4</v>
      </c>
      <c r="G20" s="21" cm="1">
        <f t="array" ref="G20">_xlfn.LET(_xlpm.id,mets9[[#This Row],[name w/o location]],IF(IsElementOfSet_DIY(_xlpm.id,{"atp","adp","h","pi","h2o"}),SIGN(mets9[[#This Row],[raw (GSM) coefficient]])*(ABS(mets9[[#This Row],[raw (GSM) coefficient]])-$J$2),mets9[[#This Row],[raw (GSM) coefficient]]))</f>
        <v>-1E-4</v>
      </c>
      <c r="H20" s="21">
        <f>mets9[[#This Row],[coeff. w/o GAM]]</f>
        <v>-1E-4</v>
      </c>
      <c r="I20" s="161">
        <f t="shared" si="0"/>
        <v>-9.9999664158779395E-5</v>
      </c>
      <c r="J20" s="21" cm="1">
        <f t="array" ref="J20">_xlfn.LET(_xlpm.id,mets9[[#This Row],[name w/o location]],_xlpm.oldcoeff,mets9[[#This Row],[normalized coeffs]],_xlpm.gam,$J$2-$G$2,_xlfn.IFS(IFERROR(MATCH(_xlpm.id,{"atp","h2o"},0),0)&gt;0,_xlpm.oldcoeff-_xlpm.gam,IFERROR(MATCH(_xlpm.id,{"adp","h","pi"},0),0)&gt;0,_xlpm.oldcoeff+_xlpm.gam,TRUE,_xlpm.oldcoeff))</f>
        <v>-9.9999664158779395E-5</v>
      </c>
      <c r="K20" t="str" cm="1">
        <f t="array" ref="K20">"BIOSYN-"&amp;_xlfn.IFS(IFERROR(MATCH(mets9[[#This Row],[category]],{0,"0",""},0),0)&gt;0,mets9[[#This Row],[name]],TRUE,mets9[[#This Row],[category]]&amp;"-"&amp;mets9[[#This Row],[name]])</f>
        <v>BIOSYN-COFACTOR-pydx5p_c</v>
      </c>
      <c r="L20" s="149" t="str" cm="1">
        <f t="array" ref="L20">IF(IsElementOfSet_DIY(mets9[[#This Row],[category]],{"ignore","PROT"}),"",_xlfn.LET(_xlpm.mw,mets9[[#This Row],[MW for biomass normalization (g/mol)]],"MET-"&amp;mets9[[#This Row],[name]]&amp;" --&gt; "&amp;IF((mets9[[#This Row],[category]]="DNA")+(mets9[[#This Row],[category]]="RNA"),"MET-ppi_c + ","")&amp;ROUND(ABS(_xlpm.mw/1000),6)&amp;" BIO-"&amp;mets9[[#This Row],[name]]))</f>
        <v>MET-pydx5p_c --&gt; 0.245126 BIO-pydx5p_c</v>
      </c>
      <c r="M20" s="149" cm="1">
        <f t="array" ref="M2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20" s="149"/>
      <c r="O20" s="149"/>
      <c r="P20" s="149"/>
      <c r="Q20" s="149"/>
      <c r="R20" s="149"/>
      <c r="S20" s="149"/>
      <c r="T20" s="149"/>
      <c r="U20" s="149"/>
      <c r="V20" s="149"/>
      <c r="AB20" t="str">
        <v>BIOSYN-METAL</v>
      </c>
      <c r="AC20" t="str">
        <v>0.002034 BIO-ca2_c + 0.000286 BIO-cu2_c + 0.001463 BIO-fe2_c + 0.930968 BIO-k_c + 0.060981 BIO-mg2_c + 0.000204 BIO-mn2_c + 0.004064 BIO-zn2_c --&gt; BIO-metal</v>
      </c>
    </row>
    <row r="21" spans="1:29" ht="16" x14ac:dyDescent="0.2">
      <c r="A21" s="144" t="s">
        <v>1005</v>
      </c>
      <c r="B21" t="str">
        <f>SUBSTITUTE(_xlfn.TEXTBEFORE(mets9[[#This Row],[pasted JSON metabolite keys and values from GSM biomass rxn]],":"),CHAR(34),"")</f>
        <v>ribflv_c</v>
      </c>
      <c r="C21" t="str">
        <f>_xlfn.TEXTBEFORE(mets9[[#This Row],[name]],"_",-1)</f>
        <v>ribflv</v>
      </c>
      <c r="D21" t="str">
        <f>_xlfn.XLOOKUP(mets9[[#This Row],[name w/o location]],metaboliteInfo[name w/o location],metaboliteInfo[suggested category],"")</f>
        <v>COFACTOR</v>
      </c>
      <c r="E21" s="21">
        <f>_xlfn.XLOOKUP(mets9[[#This Row],[name w/o location]],metaboliteInfo[name w/o location],metaboliteInfo[MW for biomass normalization (g/mol)],0)</f>
        <v>375.35595999999998</v>
      </c>
      <c r="F21" s="21">
        <f>_xlfn.NUMBERVALUE(SUBSTITUTE(_xlfn.TEXTAFTER(mets9[[#This Row],[pasted JSON metabolite keys and values from GSM biomass rxn]],":"),",",""))</f>
        <v>-1E-4</v>
      </c>
      <c r="G21" s="21" cm="1">
        <f t="array" ref="G21">_xlfn.LET(_xlpm.id,mets9[[#This Row],[name w/o location]],IF(IsElementOfSet_DIY(_xlpm.id,{"atp","adp","h","pi","h2o"}),SIGN(mets9[[#This Row],[raw (GSM) coefficient]])*(ABS(mets9[[#This Row],[raw (GSM) coefficient]])-$J$2),mets9[[#This Row],[raw (GSM) coefficient]]))</f>
        <v>-1E-4</v>
      </c>
      <c r="H21" s="21">
        <f>mets9[[#This Row],[coeff. w/o GAM]]</f>
        <v>-1E-4</v>
      </c>
      <c r="I21" s="161">
        <f t="shared" si="0"/>
        <v>-9.9999664158779395E-5</v>
      </c>
      <c r="J21" s="21" cm="1">
        <f t="array" ref="J21">_xlfn.LET(_xlpm.id,mets9[[#This Row],[name w/o location]],_xlpm.oldcoeff,mets9[[#This Row],[normalized coeffs]],_xlpm.gam,$J$2-$G$2,_xlfn.IFS(IFERROR(MATCH(_xlpm.id,{"atp","h2o"},0),0)&gt;0,_xlpm.oldcoeff-_xlpm.gam,IFERROR(MATCH(_xlpm.id,{"adp","h","pi"},0),0)&gt;0,_xlpm.oldcoeff+_xlpm.gam,TRUE,_xlpm.oldcoeff))</f>
        <v>-9.9999664158779395E-5</v>
      </c>
      <c r="K21" t="str" cm="1">
        <f t="array" ref="K21">"BIOSYN-"&amp;_xlfn.IFS(IFERROR(MATCH(mets9[[#This Row],[category]],{0,"0",""},0),0)&gt;0,mets9[[#This Row],[name]],TRUE,mets9[[#This Row],[category]]&amp;"-"&amp;mets9[[#This Row],[name]])</f>
        <v>BIOSYN-COFACTOR-ribflv_c</v>
      </c>
      <c r="L21" s="149" t="str" cm="1">
        <f t="array" ref="L21">IF(IsElementOfSet_DIY(mets9[[#This Row],[category]],{"ignore","PROT"}),"",_xlfn.LET(_xlpm.mw,mets9[[#This Row],[MW for biomass normalization (g/mol)]],"MET-"&amp;mets9[[#This Row],[name]]&amp;" --&gt; "&amp;IF((mets9[[#This Row],[category]]="DNA")+(mets9[[#This Row],[category]]="RNA"),"MET-ppi_c + ","")&amp;ROUND(ABS(_xlpm.mw/1000),6)&amp;" BIO-"&amp;mets9[[#This Row],[name]]))</f>
        <v>MET-ribflv_c --&gt; 0.375356 BIO-ribflv_c</v>
      </c>
      <c r="M21" s="149" cm="1">
        <f t="array" ref="M2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21" s="149"/>
      <c r="O21" s="149"/>
      <c r="P21" s="149"/>
      <c r="Q21" s="149"/>
      <c r="R21" s="149"/>
      <c r="S21" s="149"/>
      <c r="T21" s="149"/>
      <c r="U21" s="149"/>
      <c r="V21" s="149"/>
      <c r="AB21" t="str">
        <v>BIOSYN-PI</v>
      </c>
      <c r="AC21" t="str">
        <v>1 BIO-pi_c --&gt; BIO-pi</v>
      </c>
    </row>
    <row r="22" spans="1:29" ht="16" x14ac:dyDescent="0.2">
      <c r="A22" s="144" t="s">
        <v>1008</v>
      </c>
      <c r="B22" t="str">
        <f>SUBSTITUTE(_xlfn.TEXTBEFORE(mets9[[#This Row],[pasted JSON metabolite keys and values from GSM biomass rxn]],":"),CHAR(34),"")</f>
        <v>spmd_c</v>
      </c>
      <c r="C22" t="str">
        <f>_xlfn.TEXTBEFORE(mets9[[#This Row],[name]],"_",-1)</f>
        <v>spmd</v>
      </c>
      <c r="D22" t="str">
        <f>_xlfn.XLOOKUP(mets9[[#This Row],[name w/o location]],metaboliteInfo[name w/o location],metaboliteInfo[suggested category],"")</f>
        <v>COFACTOR</v>
      </c>
      <c r="E22" s="21">
        <f>_xlfn.XLOOKUP(mets9[[#This Row],[name w/o location]],metaboliteInfo[name w/o location],metaboliteInfo[MW for biomass normalization (g/mol)],0)</f>
        <v>148.26967999999999</v>
      </c>
      <c r="F22" s="21">
        <f>_xlfn.NUMBERVALUE(SUBSTITUTE(_xlfn.TEXTAFTER(mets9[[#This Row],[pasted JSON metabolite keys and values from GSM biomass rxn]],":"),",",""))</f>
        <v>-1E-4</v>
      </c>
      <c r="G22" s="21" cm="1">
        <f t="array" ref="G22">_xlfn.LET(_xlpm.id,mets9[[#This Row],[name w/o location]],IF(IsElementOfSet_DIY(_xlpm.id,{"atp","adp","h","pi","h2o"}),SIGN(mets9[[#This Row],[raw (GSM) coefficient]])*(ABS(mets9[[#This Row],[raw (GSM) coefficient]])-$J$2),mets9[[#This Row],[raw (GSM) coefficient]]))</f>
        <v>-1E-4</v>
      </c>
      <c r="H22" s="21">
        <f>mets9[[#This Row],[coeff. w/o GAM]]</f>
        <v>-1E-4</v>
      </c>
      <c r="I22" s="161">
        <f t="shared" si="0"/>
        <v>-9.9999664158779395E-5</v>
      </c>
      <c r="J22" s="21" cm="1">
        <f t="array" ref="J22">_xlfn.LET(_xlpm.id,mets9[[#This Row],[name w/o location]],_xlpm.oldcoeff,mets9[[#This Row],[normalized coeffs]],_xlpm.gam,$J$2-$G$2,_xlfn.IFS(IFERROR(MATCH(_xlpm.id,{"atp","h2o"},0),0)&gt;0,_xlpm.oldcoeff-_xlpm.gam,IFERROR(MATCH(_xlpm.id,{"adp","h","pi"},0),0)&gt;0,_xlpm.oldcoeff+_xlpm.gam,TRUE,_xlpm.oldcoeff))</f>
        <v>-9.9999664158779395E-5</v>
      </c>
      <c r="K22" t="str" cm="1">
        <f t="array" ref="K22">"BIOSYN-"&amp;_xlfn.IFS(IFERROR(MATCH(mets9[[#This Row],[category]],{0,"0",""},0),0)&gt;0,mets9[[#This Row],[name]],TRUE,mets9[[#This Row],[category]]&amp;"-"&amp;mets9[[#This Row],[name]])</f>
        <v>BIOSYN-COFACTOR-spmd_c</v>
      </c>
      <c r="L22" s="149" t="str" cm="1">
        <f t="array" ref="L22">IF(IsElementOfSet_DIY(mets9[[#This Row],[category]],{"ignore","PROT"}),"",_xlfn.LET(_xlpm.mw,mets9[[#This Row],[MW for biomass normalization (g/mol)]],"MET-"&amp;mets9[[#This Row],[name]]&amp;" --&gt; "&amp;IF((mets9[[#This Row],[category]]="DNA")+(mets9[[#This Row],[category]]="RNA"),"MET-ppi_c + ","")&amp;ROUND(ABS(_xlpm.mw/1000),6)&amp;" BIO-"&amp;mets9[[#This Row],[name]]))</f>
        <v>MET-spmd_c --&gt; 0.14827 BIO-spmd_c</v>
      </c>
      <c r="M22" s="149" cm="1">
        <f t="array" ref="M2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22" s="149"/>
      <c r="O22" s="149"/>
      <c r="P22" s="149"/>
      <c r="Q22" s="149"/>
      <c r="R22" s="149"/>
      <c r="S22" s="149"/>
      <c r="T22" s="149"/>
      <c r="U22" s="149"/>
      <c r="V22" s="149"/>
      <c r="AB22" t="str">
        <v>BIOSYN-RNA</v>
      </c>
      <c r="AC22" t="str">
        <v>0.15 BIO-trna + 0.05 BIO-mrna + 0.80 BIO-rrna --&gt; BIO-rna</v>
      </c>
    </row>
    <row r="23" spans="1:29" ht="16" x14ac:dyDescent="0.2">
      <c r="A23" s="144" t="s">
        <v>1010</v>
      </c>
      <c r="B23" t="str">
        <f>SUBSTITUTE(_xlfn.TEXTBEFORE(mets9[[#This Row],[pasted JSON metabolite keys and values from GSM biomass rxn]],":"),CHAR(34),"")</f>
        <v>thf_c</v>
      </c>
      <c r="C23" t="str">
        <f>_xlfn.TEXTBEFORE(mets9[[#This Row],[name]],"_",-1)</f>
        <v>thf</v>
      </c>
      <c r="D23" t="str">
        <f>_xlfn.XLOOKUP(mets9[[#This Row],[name w/o location]],metaboliteInfo[name w/o location],metaboliteInfo[suggested category],"")</f>
        <v>COFACTOR</v>
      </c>
      <c r="E23" s="21">
        <f>_xlfn.XLOOKUP(mets9[[#This Row],[name w/o location]],metaboliteInfo[name w/o location],metaboliteInfo[MW for biomass normalization (g/mol)],0)</f>
        <v>443.41334000000001</v>
      </c>
      <c r="F23" s="21">
        <f>_xlfn.NUMBERVALUE(SUBSTITUTE(_xlfn.TEXTAFTER(mets9[[#This Row],[pasted JSON metabolite keys and values from GSM biomass rxn]],":"),",",""))</f>
        <v>-1E-4</v>
      </c>
      <c r="G23" s="21" cm="1">
        <f t="array" ref="G23">_xlfn.LET(_xlpm.id,mets9[[#This Row],[name w/o location]],IF(IsElementOfSet_DIY(_xlpm.id,{"atp","adp","h","pi","h2o"}),SIGN(mets9[[#This Row],[raw (GSM) coefficient]])*(ABS(mets9[[#This Row],[raw (GSM) coefficient]])-$J$2),mets9[[#This Row],[raw (GSM) coefficient]]))</f>
        <v>-1E-4</v>
      </c>
      <c r="H23" s="21">
        <f>mets9[[#This Row],[coeff. w/o GAM]]</f>
        <v>-1E-4</v>
      </c>
      <c r="I23" s="161">
        <f t="shared" si="0"/>
        <v>-9.9999664158779395E-5</v>
      </c>
      <c r="J23" s="21" cm="1">
        <f t="array" ref="J23">_xlfn.LET(_xlpm.id,mets9[[#This Row],[name w/o location]],_xlpm.oldcoeff,mets9[[#This Row],[normalized coeffs]],_xlpm.gam,$J$2-$G$2,_xlfn.IFS(IFERROR(MATCH(_xlpm.id,{"atp","h2o"},0),0)&gt;0,_xlpm.oldcoeff-_xlpm.gam,IFERROR(MATCH(_xlpm.id,{"adp","h","pi"},0),0)&gt;0,_xlpm.oldcoeff+_xlpm.gam,TRUE,_xlpm.oldcoeff))</f>
        <v>-9.9999664158779395E-5</v>
      </c>
      <c r="K23" t="str" cm="1">
        <f t="array" ref="K23">"BIOSYN-"&amp;_xlfn.IFS(IFERROR(MATCH(mets9[[#This Row],[category]],{0,"0",""},0),0)&gt;0,mets9[[#This Row],[name]],TRUE,mets9[[#This Row],[category]]&amp;"-"&amp;mets9[[#This Row],[name]])</f>
        <v>BIOSYN-COFACTOR-thf_c</v>
      </c>
      <c r="L23" s="149" t="str" cm="1">
        <f t="array" ref="L23">IF(IsElementOfSet_DIY(mets9[[#This Row],[category]],{"ignore","PROT"}),"",_xlfn.LET(_xlpm.mw,mets9[[#This Row],[MW for biomass normalization (g/mol)]],"MET-"&amp;mets9[[#This Row],[name]]&amp;" --&gt; "&amp;IF((mets9[[#This Row],[category]]="DNA")+(mets9[[#This Row],[category]]="RNA"),"MET-ppi_c + ","")&amp;ROUND(ABS(_xlpm.mw/1000),6)&amp;" BIO-"&amp;mets9[[#This Row],[name]]))</f>
        <v>MET-thf_c --&gt; 0.443413 BIO-thf_c</v>
      </c>
      <c r="M23" s="149" cm="1">
        <f t="array" ref="M2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23" s="149"/>
      <c r="O23" s="149"/>
      <c r="P23" s="149"/>
      <c r="Q23" s="149"/>
      <c r="R23" s="149"/>
      <c r="S23" s="149"/>
      <c r="T23" s="149"/>
      <c r="U23" s="149"/>
      <c r="V23" s="149"/>
      <c r="AB23" t="str">
        <v>BIOSYN-SO4</v>
      </c>
      <c r="AC23" t="str">
        <v>1 BIO-so4_c --&gt; BIO-so4</v>
      </c>
    </row>
    <row r="24" spans="1:29" ht="16" x14ac:dyDescent="0.2">
      <c r="A24" s="144" t="s">
        <v>1011</v>
      </c>
      <c r="B24" t="str">
        <f>SUBSTITUTE(_xlfn.TEXTBEFORE(mets9[[#This Row],[pasted JSON metabolite keys and values from GSM biomass rxn]],":"),CHAR(34),"")</f>
        <v>thmpp_c</v>
      </c>
      <c r="C24" t="str">
        <f>_xlfn.TEXTBEFORE(mets9[[#This Row],[name]],"_",-1)</f>
        <v>thmpp</v>
      </c>
      <c r="D24" t="str">
        <f>_xlfn.XLOOKUP(mets9[[#This Row],[name w/o location]],metaboliteInfo[name w/o location],metaboliteInfo[suggested category],"")</f>
        <v>COFACTOR</v>
      </c>
      <c r="E24" s="21">
        <f>_xlfn.XLOOKUP(mets9[[#This Row],[name w/o location]],metaboliteInfo[name w/o location],metaboliteInfo[MW for biomass normalization (g/mol)],0)</f>
        <v>422.29056200000002</v>
      </c>
      <c r="F24" s="21">
        <f>_xlfn.NUMBERVALUE(SUBSTITUTE(_xlfn.TEXTAFTER(mets9[[#This Row],[pasted JSON metabolite keys and values from GSM biomass rxn]],":"),",",""))</f>
        <v>-1E-4</v>
      </c>
      <c r="G24" s="21" cm="1">
        <f t="array" ref="G24">_xlfn.LET(_xlpm.id,mets9[[#This Row],[name w/o location]],IF(IsElementOfSet_DIY(_xlpm.id,{"atp","adp","h","pi","h2o"}),SIGN(mets9[[#This Row],[raw (GSM) coefficient]])*(ABS(mets9[[#This Row],[raw (GSM) coefficient]])-$J$2),mets9[[#This Row],[raw (GSM) coefficient]]))</f>
        <v>-1E-4</v>
      </c>
      <c r="H24" s="21">
        <f>mets9[[#This Row],[coeff. w/o GAM]]</f>
        <v>-1E-4</v>
      </c>
      <c r="I24" s="161">
        <f t="shared" si="0"/>
        <v>-9.9999664158779395E-5</v>
      </c>
      <c r="J24" s="21" cm="1">
        <f t="array" ref="J24">_xlfn.LET(_xlpm.id,mets9[[#This Row],[name w/o location]],_xlpm.oldcoeff,mets9[[#This Row],[normalized coeffs]],_xlpm.gam,$J$2-$G$2,_xlfn.IFS(IFERROR(MATCH(_xlpm.id,{"atp","h2o"},0),0)&gt;0,_xlpm.oldcoeff-_xlpm.gam,IFERROR(MATCH(_xlpm.id,{"adp","h","pi"},0),0)&gt;0,_xlpm.oldcoeff+_xlpm.gam,TRUE,_xlpm.oldcoeff))</f>
        <v>-9.9999664158779395E-5</v>
      </c>
      <c r="K24" t="str" cm="1">
        <f t="array" ref="K24">"BIOSYN-"&amp;_xlfn.IFS(IFERROR(MATCH(mets9[[#This Row],[category]],{0,"0",""},0),0)&gt;0,mets9[[#This Row],[name]],TRUE,mets9[[#This Row],[category]]&amp;"-"&amp;mets9[[#This Row],[name]])</f>
        <v>BIOSYN-COFACTOR-thmpp_c</v>
      </c>
      <c r="L24" s="149" t="str" cm="1">
        <f t="array" ref="L24">IF(IsElementOfSet_DIY(mets9[[#This Row],[category]],{"ignore","PROT"}),"",_xlfn.LET(_xlpm.mw,mets9[[#This Row],[MW for biomass normalization (g/mol)]],"MET-"&amp;mets9[[#This Row],[name]]&amp;" --&gt; "&amp;IF((mets9[[#This Row],[category]]="DNA")+(mets9[[#This Row],[category]]="RNA"),"MET-ppi_c + ","")&amp;ROUND(ABS(_xlpm.mw/1000),6)&amp;" BIO-"&amp;mets9[[#This Row],[name]]))</f>
        <v>MET-thmpp_c --&gt; 0.422291 BIO-thmpp_c</v>
      </c>
      <c r="M24" s="149" cm="1">
        <f t="array" ref="M2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-9.9999664158779395E-5</v>
      </c>
      <c r="N24" s="149"/>
      <c r="O24" s="149"/>
      <c r="P24" s="149"/>
      <c r="Q24" s="149"/>
      <c r="R24" s="149"/>
      <c r="S24" s="149"/>
      <c r="T24" s="149"/>
      <c r="U24" s="149"/>
      <c r="V24" s="149"/>
      <c r="AB24" t="str">
        <v>BIOSYN-CARB-13BDglucan_c</v>
      </c>
      <c r="AC24" t="str">
        <v>MET-13BDglucan_c --&gt; 0.162141 BIO-13BDglucan_c</v>
      </c>
    </row>
    <row r="25" spans="1:29" ht="16" x14ac:dyDescent="0.2">
      <c r="A25" s="144" t="s">
        <v>1137</v>
      </c>
      <c r="B25" t="str">
        <f>SUBSTITUTE(_xlfn.TEXTBEFORE(mets9[[#This Row],[pasted JSON metabolite keys and values from GSM biomass rxn]],":"),CHAR(34),"")</f>
        <v>datp_c</v>
      </c>
      <c r="C25" t="str">
        <f>_xlfn.TEXTBEFORE(mets9[[#This Row],[name]],"_",-1)</f>
        <v>datp</v>
      </c>
      <c r="D25" t="str">
        <f>_xlfn.XLOOKUP(mets9[[#This Row],[name w/o location]],metaboliteInfo[name w/o location],metaboliteInfo[suggested category],"")</f>
        <v>DNA</v>
      </c>
      <c r="E25" s="21">
        <f>_xlfn.XLOOKUP(mets9[[#This Row],[name w/o location]],metaboliteInfo[name w/o location],metaboliteInfo[MW for biomass normalization (g/mol)],0)</f>
        <v>312.19860099999994</v>
      </c>
      <c r="F25" s="21">
        <f>_xlfn.NUMBERVALUE(SUBSTITUTE(_xlfn.TEXTAFTER(mets9[[#This Row],[pasted JSON metabolite keys and values from GSM biomass rxn]],":"),",",""))</f>
        <v>-4.8739999999999999E-3</v>
      </c>
      <c r="G25" s="21" cm="1">
        <f t="array" ref="G25">_xlfn.LET(_xlpm.id,mets9[[#This Row],[name w/o location]],IF(IsElementOfSet_DIY(_xlpm.id,{"atp","adp","h","pi","h2o"}),SIGN(mets9[[#This Row],[raw (GSM) coefficient]])*(ABS(mets9[[#This Row],[raw (GSM) coefficient]])-$J$2),mets9[[#This Row],[raw (GSM) coefficient]]))</f>
        <v>-4.8739999999999999E-3</v>
      </c>
      <c r="H25" s="21">
        <f>mets9[[#This Row],[coeff. w/o GAM]]</f>
        <v>-4.8739999999999999E-3</v>
      </c>
      <c r="I25" s="161">
        <f t="shared" si="0"/>
        <v>-4.8739836310989076E-3</v>
      </c>
      <c r="J25" s="21" cm="1">
        <f t="array" ref="J25">_xlfn.LET(_xlpm.id,mets9[[#This Row],[name w/o location]],_xlpm.oldcoeff,mets9[[#This Row],[normalized coeffs]],_xlpm.gam,$J$2-$G$2,_xlfn.IFS(IFERROR(MATCH(_xlpm.id,{"atp","h2o"},0),0)&gt;0,_xlpm.oldcoeff-_xlpm.gam,IFERROR(MATCH(_xlpm.id,{"adp","h","pi"},0),0)&gt;0,_xlpm.oldcoeff+_xlpm.gam,TRUE,_xlpm.oldcoeff))</f>
        <v>-4.8739836310989076E-3</v>
      </c>
      <c r="K25" t="str" cm="1">
        <f t="array" ref="K25">"BIOSYN-"&amp;_xlfn.IFS(IFERROR(MATCH(mets9[[#This Row],[category]],{0,"0",""},0),0)&gt;0,mets9[[#This Row],[name]],TRUE,mets9[[#This Row],[category]]&amp;"-"&amp;mets9[[#This Row],[name]])</f>
        <v>BIOSYN-DNA-datp_c</v>
      </c>
      <c r="L25" s="149" t="str" cm="1">
        <f t="array" ref="L25">IF(IsElementOfSet_DIY(mets9[[#This Row],[category]],{"ignore","PROT"}),"",_xlfn.LET(_xlpm.mw,mets9[[#This Row],[MW for biomass normalization (g/mol)]],"MET-"&amp;mets9[[#This Row],[name]]&amp;" --&gt; "&amp;IF((mets9[[#This Row],[category]]="DNA")+(mets9[[#This Row],[category]]="RNA"),"MET-ppi_c + ","")&amp;ROUND(ABS(_xlpm.mw/1000),6)&amp;" BIO-"&amp;mets9[[#This Row],[name]]))</f>
        <v>MET-datp_c --&gt; MET-ppi_c + 0.312199 BIO-datp_c</v>
      </c>
      <c r="M25" s="149" cm="1">
        <f t="array" ref="M2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-4.873782183946615E-3</v>
      </c>
      <c r="N25" s="149"/>
      <c r="O25" s="149"/>
      <c r="P25" s="149"/>
      <c r="Q25" s="149"/>
      <c r="R25" s="149"/>
      <c r="S25" s="149"/>
      <c r="T25" s="149"/>
      <c r="U25" s="149"/>
      <c r="V25" s="149"/>
      <c r="AB25" t="str">
        <v>BIOSYN-CARB-16BDglucan_en</v>
      </c>
      <c r="AC25" t="str">
        <v>MET-16BDglucan_en --&gt; 0.162141 BIO-16BDglucan_en</v>
      </c>
    </row>
    <row r="26" spans="1:29" ht="16" x14ac:dyDescent="0.2">
      <c r="A26" s="144" t="s">
        <v>1138</v>
      </c>
      <c r="B26" t="str">
        <f>SUBSTITUTE(_xlfn.TEXTBEFORE(mets9[[#This Row],[pasted JSON metabolite keys and values from GSM biomass rxn]],":"),CHAR(34),"")</f>
        <v>dctp_c</v>
      </c>
      <c r="C26" t="str">
        <f>_xlfn.TEXTBEFORE(mets9[[#This Row],[name]],"_",-1)</f>
        <v>dctp</v>
      </c>
      <c r="D26" t="str">
        <f>_xlfn.XLOOKUP(mets9[[#This Row],[name w/o location]],metaboliteInfo[name w/o location],metaboliteInfo[suggested category],"")</f>
        <v>DNA</v>
      </c>
      <c r="E26" s="21">
        <f>_xlfn.XLOOKUP(mets9[[#This Row],[name w/o location]],metaboliteInfo[name w/o location],metaboliteInfo[MW for biomass normalization (g/mol)],0)</f>
        <v>288.173901</v>
      </c>
      <c r="F26" s="21">
        <f>_xlfn.NUMBERVALUE(SUBSTITUTE(_xlfn.TEXTAFTER(mets9[[#This Row],[pasted JSON metabolite keys and values from GSM biomass rxn]],":"),",",""))</f>
        <v>-7.607E-3</v>
      </c>
      <c r="G26" s="21" cm="1">
        <f t="array" ref="G26">_xlfn.LET(_xlpm.id,mets9[[#This Row],[name w/o location]],IF(IsElementOfSet_DIY(_xlpm.id,{"atp","adp","h","pi","h2o"}),SIGN(mets9[[#This Row],[raw (GSM) coefficient]])*(ABS(mets9[[#This Row],[raw (GSM) coefficient]])-$J$2),mets9[[#This Row],[raw (GSM) coefficient]]))</f>
        <v>-7.607E-3</v>
      </c>
      <c r="H26" s="21">
        <f>mets9[[#This Row],[coeff. w/o GAM]]</f>
        <v>-7.607E-3</v>
      </c>
      <c r="I26" s="161">
        <f t="shared" si="0"/>
        <v>-7.6069744525583483E-3</v>
      </c>
      <c r="J26" s="21" cm="1">
        <f t="array" ref="J26">_xlfn.LET(_xlpm.id,mets9[[#This Row],[name w/o location]],_xlpm.oldcoeff,mets9[[#This Row],[normalized coeffs]],_xlpm.gam,$J$2-$G$2,_xlfn.IFS(IFERROR(MATCH(_xlpm.id,{"atp","h2o"},0),0)&gt;0,_xlpm.oldcoeff-_xlpm.gam,IFERROR(MATCH(_xlpm.id,{"adp","h","pi"},0),0)&gt;0,_xlpm.oldcoeff+_xlpm.gam,TRUE,_xlpm.oldcoeff))</f>
        <v>-7.6069744525583483E-3</v>
      </c>
      <c r="K26" t="str" cm="1">
        <f t="array" ref="K26">"BIOSYN-"&amp;_xlfn.IFS(IFERROR(MATCH(mets9[[#This Row],[category]],{0,"0",""},0),0)&gt;0,mets9[[#This Row],[name]],TRUE,mets9[[#This Row],[category]]&amp;"-"&amp;mets9[[#This Row],[name]])</f>
        <v>BIOSYN-DNA-dctp_c</v>
      </c>
      <c r="L26" s="149" t="str" cm="1">
        <f t="array" ref="L26">IF(IsElementOfSet_DIY(mets9[[#This Row],[category]],{"ignore","PROT"}),"",_xlfn.LET(_xlpm.mw,mets9[[#This Row],[MW for biomass normalization (g/mol)]],"MET-"&amp;mets9[[#This Row],[name]]&amp;" --&gt; "&amp;IF((mets9[[#This Row],[category]]="DNA")+(mets9[[#This Row],[category]]="RNA"),"MET-ppi_c + ","")&amp;ROUND(ABS(_xlpm.mw/1000),6)&amp;" BIO-"&amp;mets9[[#This Row],[name]]))</f>
        <v>MET-dctp_c --&gt; MET-ppi_c + 0.288174 BIO-dctp_c</v>
      </c>
      <c r="M26" s="149" cm="1">
        <f t="array" ref="M2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-7.6066600478625155E-3</v>
      </c>
      <c r="N26" s="149"/>
      <c r="O26" s="149"/>
      <c r="P26" s="149"/>
      <c r="Q26" s="149"/>
      <c r="R26" s="149"/>
      <c r="S26" s="149"/>
      <c r="T26" s="149"/>
      <c r="U26" s="149"/>
      <c r="V26" s="149"/>
      <c r="AB26" t="str">
        <v>BIOSYN-CARB-chtn_c</v>
      </c>
      <c r="AC26" t="str">
        <v>MET-chtn_c --&gt; 0.203193 BIO-chtn_c</v>
      </c>
    </row>
    <row r="27" spans="1:29" ht="16" x14ac:dyDescent="0.2">
      <c r="A27" s="144" t="s">
        <v>1139</v>
      </c>
      <c r="B27" t="str">
        <f>SUBSTITUTE(_xlfn.TEXTBEFORE(mets9[[#This Row],[pasted JSON metabolite keys and values from GSM biomass rxn]],":"),CHAR(34),"")</f>
        <v>dgtp_c</v>
      </c>
      <c r="C27" t="str">
        <f>_xlfn.TEXTBEFORE(mets9[[#This Row],[name]],"_",-1)</f>
        <v>dgtp</v>
      </c>
      <c r="D27" t="str">
        <f>_xlfn.XLOOKUP(mets9[[#This Row],[name w/o location]],metaboliteInfo[name w/o location],metaboliteInfo[suggested category],"")</f>
        <v>DNA</v>
      </c>
      <c r="E27" s="21">
        <f>_xlfn.XLOOKUP(mets9[[#This Row],[name w/o location]],metaboliteInfo[name w/o location],metaboliteInfo[MW for biomass normalization (g/mol)],0)</f>
        <v>328.19800099999998</v>
      </c>
      <c r="F27" s="21">
        <f>_xlfn.NUMBERVALUE(SUBSTITUTE(_xlfn.TEXTAFTER(mets9[[#This Row],[pasted JSON metabolite keys and values from GSM biomass rxn]],":"),",",""))</f>
        <v>-7.607E-3</v>
      </c>
      <c r="G27" s="21" cm="1">
        <f t="array" ref="G27">_xlfn.LET(_xlpm.id,mets9[[#This Row],[name w/o location]],IF(IsElementOfSet_DIY(_xlpm.id,{"atp","adp","h","pi","h2o"}),SIGN(mets9[[#This Row],[raw (GSM) coefficient]])*(ABS(mets9[[#This Row],[raw (GSM) coefficient]])-$J$2),mets9[[#This Row],[raw (GSM) coefficient]]))</f>
        <v>-7.607E-3</v>
      </c>
      <c r="H27" s="21">
        <f>mets9[[#This Row],[coeff. w/o GAM]]</f>
        <v>-7.607E-3</v>
      </c>
      <c r="I27" s="161">
        <f t="shared" si="0"/>
        <v>-7.6069744525583483E-3</v>
      </c>
      <c r="J27" s="21" cm="1">
        <f t="array" ref="J27">_xlfn.LET(_xlpm.id,mets9[[#This Row],[name w/o location]],_xlpm.oldcoeff,mets9[[#This Row],[normalized coeffs]],_xlpm.gam,$J$2-$G$2,_xlfn.IFS(IFERROR(MATCH(_xlpm.id,{"atp","h2o"},0),0)&gt;0,_xlpm.oldcoeff-_xlpm.gam,IFERROR(MATCH(_xlpm.id,{"adp","h","pi"},0),0)&gt;0,_xlpm.oldcoeff+_xlpm.gam,TRUE,_xlpm.oldcoeff))</f>
        <v>-7.6069744525583483E-3</v>
      </c>
      <c r="K27" t="str" cm="1">
        <f t="array" ref="K27">"BIOSYN-"&amp;_xlfn.IFS(IFERROR(MATCH(mets9[[#This Row],[category]],{0,"0",""},0),0)&gt;0,mets9[[#This Row],[name]],TRUE,mets9[[#This Row],[category]]&amp;"-"&amp;mets9[[#This Row],[name]])</f>
        <v>BIOSYN-DNA-dgtp_c</v>
      </c>
      <c r="L27" s="149" t="str" cm="1">
        <f t="array" ref="L27">IF(IsElementOfSet_DIY(mets9[[#This Row],[category]],{"ignore","PROT"}),"",_xlfn.LET(_xlpm.mw,mets9[[#This Row],[MW for biomass normalization (g/mol)]],"MET-"&amp;mets9[[#This Row],[name]]&amp;" --&gt; "&amp;IF((mets9[[#This Row],[category]]="DNA")+(mets9[[#This Row],[category]]="RNA"),"MET-ppi_c + ","")&amp;ROUND(ABS(_xlpm.mw/1000),6)&amp;" BIO-"&amp;mets9[[#This Row],[name]]))</f>
        <v>MET-dgtp_c --&gt; MET-ppi_c + 0.328198 BIO-dgtp_c</v>
      </c>
      <c r="M27" s="149" cm="1">
        <f t="array" ref="M2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-7.6066600478625155E-3</v>
      </c>
      <c r="N27" s="149"/>
      <c r="O27" s="149"/>
      <c r="P27" s="149"/>
      <c r="Q27" s="149"/>
      <c r="R27" s="149"/>
      <c r="S27" s="149"/>
      <c r="T27" s="149"/>
      <c r="U27" s="149"/>
      <c r="V27" s="149"/>
      <c r="AB27" t="str">
        <v>BIOSYN-CARB-G00006_c</v>
      </c>
      <c r="AC27" t="str">
        <v>MET-G00006_c --&gt; 2.619137 BIO-G00006_c</v>
      </c>
    </row>
    <row r="28" spans="1:29" ht="16" x14ac:dyDescent="0.2">
      <c r="A28" s="144" t="s">
        <v>1141</v>
      </c>
      <c r="B28" t="str">
        <f>SUBSTITUTE(_xlfn.TEXTBEFORE(mets9[[#This Row],[pasted JSON metabolite keys and values from GSM biomass rxn]],":"),CHAR(34),"")</f>
        <v>dttp_c</v>
      </c>
      <c r="C28" t="str">
        <f>_xlfn.TEXTBEFORE(mets9[[#This Row],[name]],"_",-1)</f>
        <v>dttp</v>
      </c>
      <c r="D28" t="str">
        <f>_xlfn.XLOOKUP(mets9[[#This Row],[name w/o location]],metaboliteInfo[name w/o location],metaboliteInfo[suggested category],"")</f>
        <v>DNA</v>
      </c>
      <c r="E28" s="21">
        <f>_xlfn.XLOOKUP(mets9[[#This Row],[name w/o location]],metaboliteInfo[name w/o location],metaboliteInfo[MW for biomass normalization (g/mol)],0)</f>
        <v>303.18524100000002</v>
      </c>
      <c r="F28" s="21">
        <f>_xlfn.NUMBERVALUE(SUBSTITUTE(_xlfn.TEXTAFTER(mets9[[#This Row],[pasted JSON metabolite keys and values from GSM biomass rxn]],":"),",",""))</f>
        <v>-4.8739999999999999E-3</v>
      </c>
      <c r="G28" s="21" cm="1">
        <f t="array" ref="G28">_xlfn.LET(_xlpm.id,mets9[[#This Row],[name w/o location]],IF(IsElementOfSet_DIY(_xlpm.id,{"atp","adp","h","pi","h2o"}),SIGN(mets9[[#This Row],[raw (GSM) coefficient]])*(ABS(mets9[[#This Row],[raw (GSM) coefficient]])-$J$2),mets9[[#This Row],[raw (GSM) coefficient]]))</f>
        <v>-4.8739999999999999E-3</v>
      </c>
      <c r="H28" s="21">
        <f>mets9[[#This Row],[coeff. w/o GAM]]</f>
        <v>-4.8739999999999999E-3</v>
      </c>
      <c r="I28" s="161">
        <f t="shared" si="0"/>
        <v>-4.8739836310989076E-3</v>
      </c>
      <c r="J28" s="21" cm="1">
        <f t="array" ref="J28">_xlfn.LET(_xlpm.id,mets9[[#This Row],[name w/o location]],_xlpm.oldcoeff,mets9[[#This Row],[normalized coeffs]],_xlpm.gam,$J$2-$G$2,_xlfn.IFS(IFERROR(MATCH(_xlpm.id,{"atp","h2o"},0),0)&gt;0,_xlpm.oldcoeff-_xlpm.gam,IFERROR(MATCH(_xlpm.id,{"adp","h","pi"},0),0)&gt;0,_xlpm.oldcoeff+_xlpm.gam,TRUE,_xlpm.oldcoeff))</f>
        <v>-4.8739836310989076E-3</v>
      </c>
      <c r="K28" t="str" cm="1">
        <f t="array" ref="K28">"BIOSYN-"&amp;_xlfn.IFS(IFERROR(MATCH(mets9[[#This Row],[category]],{0,"0",""},0),0)&gt;0,mets9[[#This Row],[name]],TRUE,mets9[[#This Row],[category]]&amp;"-"&amp;mets9[[#This Row],[name]])</f>
        <v>BIOSYN-DNA-dttp_c</v>
      </c>
      <c r="L28" s="149" t="str" cm="1">
        <f t="array" ref="L28">IF(IsElementOfSet_DIY(mets9[[#This Row],[category]],{"ignore","PROT"}),"",_xlfn.LET(_xlpm.mw,mets9[[#This Row],[MW for biomass normalization (g/mol)]],"MET-"&amp;mets9[[#This Row],[name]]&amp;" --&gt; "&amp;IF((mets9[[#This Row],[category]]="DNA")+(mets9[[#This Row],[category]]="RNA"),"MET-ppi_c + ","")&amp;ROUND(ABS(_xlpm.mw/1000),6)&amp;" BIO-"&amp;mets9[[#This Row],[name]]))</f>
        <v>MET-dttp_c --&gt; MET-ppi_c + 0.303185 BIO-dttp_c</v>
      </c>
      <c r="M28" s="149" cm="1">
        <f t="array" ref="M2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-4.873782183946615E-3</v>
      </c>
      <c r="N28" s="149"/>
      <c r="O28" s="149"/>
      <c r="P28" s="149"/>
      <c r="Q28" s="149"/>
      <c r="R28" s="149"/>
      <c r="S28" s="149"/>
      <c r="T28" s="149"/>
      <c r="U28" s="149"/>
      <c r="V28" s="149"/>
      <c r="AB28" t="str">
        <v>BIOSYN-CARB-gpianchorSC_r</v>
      </c>
      <c r="AC28" t="str">
        <v>MET-gpianchorSC_r --&gt; 2.280413 BIO-gpianchorSC_r</v>
      </c>
    </row>
    <row r="29" spans="1:29" ht="16" x14ac:dyDescent="0.2">
      <c r="A29" s="144" t="s">
        <v>1127</v>
      </c>
      <c r="B29" t="str">
        <f>SUBSTITUTE(_xlfn.TEXTBEFORE(mets9[[#This Row],[pasted JSON metabolite keys and values from GSM biomass rxn]],":"),CHAR(34),"")</f>
        <v>adp_c</v>
      </c>
      <c r="C29" t="str">
        <f>_xlfn.TEXTBEFORE(mets9[[#This Row],[name]],"_",-1)</f>
        <v>adp</v>
      </c>
      <c r="D29" t="str">
        <f>_xlfn.XLOOKUP(mets9[[#This Row],[name w/o location]],metaboliteInfo[name w/o location],metaboliteInfo[suggested category],"")</f>
        <v>GAM</v>
      </c>
      <c r="E29" s="21">
        <f>_xlfn.XLOOKUP(mets9[[#This Row],[name w/o location]],metaboliteInfo[name w/o location],metaboliteInfo[MW for biomass normalization (g/mol)],0)</f>
        <v>424.177302</v>
      </c>
      <c r="F29" s="21">
        <f>_xlfn.NUMBERVALUE(SUBSTITUTE(_xlfn.TEXTAFTER(mets9[[#This Row],[pasted JSON metabolite keys and values from GSM biomass rxn]],":"),",",""))</f>
        <v>213.58504600000001</v>
      </c>
      <c r="G29" s="21" cm="1">
        <f t="array" ref="G29">_xlfn.LET(_xlpm.id,mets9[[#This Row],[name w/o location]],IF(IsElementOfSet_DIY(_xlpm.id,{"atp","adp","h","pi","h2o"}),SIGN(mets9[[#This Row],[raw (GSM) coefficient]])*(ABS(mets9[[#This Row],[raw (GSM) coefficient]])-$J$2),mets9[[#This Row],[raw (GSM) coefficient]]))</f>
        <v>0</v>
      </c>
      <c r="H29" s="21">
        <f>mets9[[#This Row],[coeff. w/o GAM]]</f>
        <v>0</v>
      </c>
      <c r="I29" s="161">
        <f t="shared" si="0"/>
        <v>0</v>
      </c>
      <c r="J29" s="21" cm="1">
        <f t="array" ref="J29">_xlfn.LET(_xlpm.id,mets9[[#This Row],[name w/o location]],_xlpm.oldcoeff,mets9[[#This Row],[normalized coeffs]],_xlpm.gam,$J$2-$G$2,_xlfn.IFS(IFERROR(MATCH(_xlpm.id,{"atp","h2o"},0),0)&gt;0,_xlpm.oldcoeff-_xlpm.gam,IFERROR(MATCH(_xlpm.id,{"adp","h","pi"},0),0)&gt;0,_xlpm.oldcoeff+_xlpm.gam,TRUE,_xlpm.oldcoeff))</f>
        <v>206.89504600000001</v>
      </c>
      <c r="K29" t="str" cm="1">
        <f t="array" ref="K29">"BIOSYN-"&amp;_xlfn.IFS(IFERROR(MATCH(mets9[[#This Row],[category]],{0,"0",""},0),0)&gt;0,mets9[[#This Row],[name]],TRUE,mets9[[#This Row],[category]]&amp;"-"&amp;mets9[[#This Row],[name]])</f>
        <v>BIOSYN-GAM-adp_c</v>
      </c>
      <c r="L29" s="149" t="str" cm="1">
        <f t="array" ref="L29">IF(IsElementOfSet_DIY(mets9[[#This Row],[category]],{"ignore","PROT"}),"",_xlfn.LET(_xlpm.mw,mets9[[#This Row],[MW for biomass normalization (g/mol)]],"MET-"&amp;mets9[[#This Row],[name]]&amp;" --&gt; "&amp;IF((mets9[[#This Row],[category]]="DNA")+(mets9[[#This Row],[category]]="RNA"),"MET-ppi_c + ","")&amp;ROUND(ABS(_xlpm.mw/1000),6)&amp;" BIO-"&amp;mets9[[#This Row],[name]]))</f>
        <v>MET-adp_c --&gt; 0.424177 BIO-adp_c</v>
      </c>
      <c r="M29" s="149" cm="1">
        <f t="array" ref="M2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213.58504600000001</v>
      </c>
      <c r="N29" s="149"/>
      <c r="O29" s="149"/>
      <c r="P29" s="149"/>
      <c r="Q29" s="149"/>
      <c r="R29" s="149"/>
      <c r="S29" s="149"/>
      <c r="T29" s="149"/>
      <c r="U29" s="149"/>
      <c r="V29" s="149"/>
      <c r="AB29" t="str">
        <v>BIOSYN-CARB-oglycanSC_g</v>
      </c>
      <c r="AC29" t="str">
        <v>MET-oglycanSC_g --&gt; 0.810703 BIO-oglycanSC_g</v>
      </c>
    </row>
    <row r="30" spans="1:29" ht="16" x14ac:dyDescent="0.2">
      <c r="A30" s="144" t="s">
        <v>1149</v>
      </c>
      <c r="B30" t="str">
        <f>SUBSTITUTE(_xlfn.TEXTBEFORE(mets9[[#This Row],[pasted JSON metabolite keys and values from GSM biomass rxn]],":"),CHAR(34),"")</f>
        <v>h2o_c</v>
      </c>
      <c r="C30" t="str">
        <f>_xlfn.TEXTBEFORE(mets9[[#This Row],[name]],"_",-1)</f>
        <v>h2o</v>
      </c>
      <c r="D30" t="str">
        <f>_xlfn.XLOOKUP(mets9[[#This Row],[name w/o location]],metaboliteInfo[name w/o location],metaboliteInfo[suggested category],"")</f>
        <v>GAM</v>
      </c>
      <c r="E30" s="21">
        <f>_xlfn.XLOOKUP(mets9[[#This Row],[name w/o location]],metaboliteInfo[name w/o location],metaboliteInfo[MW for biomass normalization (g/mol)],0)</f>
        <v>18.015280000000001</v>
      </c>
      <c r="F30" s="21">
        <f>_xlfn.NUMBERVALUE(SUBSTITUTE(_xlfn.TEXTAFTER(mets9[[#This Row],[pasted JSON metabolite keys and values from GSM biomass rxn]],":"),",",""))</f>
        <v>-213.58504600000001</v>
      </c>
      <c r="G30" s="21" cm="1">
        <f t="array" ref="G30">_xlfn.LET(_xlpm.id,mets9[[#This Row],[name w/o location]],IF(IsElementOfSet_DIY(_xlpm.id,{"atp","adp","h","pi","h2o"}),SIGN(mets9[[#This Row],[raw (GSM) coefficient]])*(ABS(mets9[[#This Row],[raw (GSM) coefficient]])-$J$2),mets9[[#This Row],[raw (GSM) coefficient]]))</f>
        <v>0</v>
      </c>
      <c r="H30" s="21">
        <f>mets9[[#This Row],[coeff. w/o GAM]]</f>
        <v>0</v>
      </c>
      <c r="I30" s="161">
        <f t="shared" si="0"/>
        <v>0</v>
      </c>
      <c r="J30" s="21" cm="1">
        <f t="array" ref="J30">_xlfn.LET(_xlpm.id,mets9[[#This Row],[name w/o location]],_xlpm.oldcoeff,mets9[[#This Row],[normalized coeffs]],_xlpm.gam,$J$2-$G$2,_xlfn.IFS(IFERROR(MATCH(_xlpm.id,{"atp","h2o"},0),0)&gt;0,_xlpm.oldcoeff-_xlpm.gam,IFERROR(MATCH(_xlpm.id,{"adp","h","pi"},0),0)&gt;0,_xlpm.oldcoeff+_xlpm.gam,TRUE,_xlpm.oldcoeff))</f>
        <v>-206.89504600000001</v>
      </c>
      <c r="K30" t="str" cm="1">
        <f t="array" ref="K30">"BIOSYN-"&amp;_xlfn.IFS(IFERROR(MATCH(mets9[[#This Row],[category]],{0,"0",""},0),0)&gt;0,mets9[[#This Row],[name]],TRUE,mets9[[#This Row],[category]]&amp;"-"&amp;mets9[[#This Row],[name]])</f>
        <v>BIOSYN-GAM-h2o_c</v>
      </c>
      <c r="L30" s="149" t="str" cm="1">
        <f t="array" ref="L30">IF(IsElementOfSet_DIY(mets9[[#This Row],[category]],{"ignore","PROT"}),"",_xlfn.LET(_xlpm.mw,mets9[[#This Row],[MW for biomass normalization (g/mol)]],"MET-"&amp;mets9[[#This Row],[name]]&amp;" --&gt; "&amp;IF((mets9[[#This Row],[category]]="DNA")+(mets9[[#This Row],[category]]="RNA"),"MET-ppi_c + ","")&amp;ROUND(ABS(_xlpm.mw/1000),6)&amp;" BIO-"&amp;mets9[[#This Row],[name]]))</f>
        <v>MET-h2o_c --&gt; 0.018015 BIO-h2o_c</v>
      </c>
      <c r="M30" s="149" cm="1">
        <f t="array" ref="M3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-213.58504600000001</v>
      </c>
      <c r="N30" s="149"/>
      <c r="O30" s="149"/>
      <c r="P30" s="149"/>
      <c r="Q30" s="149"/>
      <c r="R30" s="149"/>
      <c r="S30" s="149"/>
      <c r="T30" s="149"/>
      <c r="U30" s="149"/>
      <c r="V30" s="149"/>
      <c r="AB30" t="str">
        <v>BIOSYN-COFACTOR-amet_c</v>
      </c>
      <c r="AC30" t="str">
        <v>MET-amet_c --&gt; 0.399445 BIO-amet_c</v>
      </c>
    </row>
    <row r="31" spans="1:29" ht="16" x14ac:dyDescent="0.2">
      <c r="A31" s="144" t="s">
        <v>1150</v>
      </c>
      <c r="B31" t="str">
        <f>SUBSTITUTE(_xlfn.TEXTBEFORE(mets9[[#This Row],[pasted JSON metabolite keys and values from GSM biomass rxn]],":"),CHAR(34),"")</f>
        <v>h_c</v>
      </c>
      <c r="C31" t="str">
        <f>_xlfn.TEXTBEFORE(mets9[[#This Row],[name]],"_",-1)</f>
        <v>h</v>
      </c>
      <c r="D31" t="str">
        <f>_xlfn.XLOOKUP(mets9[[#This Row],[name w/o location]],metaboliteInfo[name w/o location],metaboliteInfo[suggested category],"")</f>
        <v>GAM</v>
      </c>
      <c r="E31" s="21">
        <f>_xlfn.XLOOKUP(mets9[[#This Row],[name w/o location]],metaboliteInfo[name w/o location],metaboliteInfo[MW for biomass normalization (g/mol)],0)</f>
        <v>1.0079400000000001</v>
      </c>
      <c r="F31" s="21">
        <f>_xlfn.NUMBERVALUE(SUBSTITUTE(_xlfn.TEXTAFTER(mets9[[#This Row],[pasted JSON metabolite keys and values from GSM biomass rxn]],":"),",",""))</f>
        <v>213.58504600000001</v>
      </c>
      <c r="G31" s="21" cm="1">
        <f t="array" ref="G31">_xlfn.LET(_xlpm.id,mets9[[#This Row],[name w/o location]],IF(IsElementOfSet_DIY(_xlpm.id,{"atp","adp","h","pi","h2o"}),SIGN(mets9[[#This Row],[raw (GSM) coefficient]])*(ABS(mets9[[#This Row],[raw (GSM) coefficient]])-$J$2),mets9[[#This Row],[raw (GSM) coefficient]]))</f>
        <v>0</v>
      </c>
      <c r="H31" s="21">
        <f>mets9[[#This Row],[coeff. w/o GAM]]</f>
        <v>0</v>
      </c>
      <c r="I31" s="161">
        <f t="shared" si="0"/>
        <v>0</v>
      </c>
      <c r="J31" s="21" cm="1">
        <f t="array" ref="J31">_xlfn.LET(_xlpm.id,mets9[[#This Row],[name w/o location]],_xlpm.oldcoeff,mets9[[#This Row],[normalized coeffs]],_xlpm.gam,$J$2-$G$2,_xlfn.IFS(IFERROR(MATCH(_xlpm.id,{"atp","h2o"},0),0)&gt;0,_xlpm.oldcoeff-_xlpm.gam,IFERROR(MATCH(_xlpm.id,{"adp","h","pi"},0),0)&gt;0,_xlpm.oldcoeff+_xlpm.gam,TRUE,_xlpm.oldcoeff))</f>
        <v>206.89504600000001</v>
      </c>
      <c r="K31" t="str" cm="1">
        <f t="array" ref="K31">"BIOSYN-"&amp;_xlfn.IFS(IFERROR(MATCH(mets9[[#This Row],[category]],{0,"0",""},0),0)&gt;0,mets9[[#This Row],[name]],TRUE,mets9[[#This Row],[category]]&amp;"-"&amp;mets9[[#This Row],[name]])</f>
        <v>BIOSYN-GAM-h_c</v>
      </c>
      <c r="L31" s="149" t="str" cm="1">
        <f t="array" ref="L31">IF(IsElementOfSet_DIY(mets9[[#This Row],[category]],{"ignore","PROT"}),"",_xlfn.LET(_xlpm.mw,mets9[[#This Row],[MW for biomass normalization (g/mol)]],"MET-"&amp;mets9[[#This Row],[name]]&amp;" --&gt; "&amp;IF((mets9[[#This Row],[category]]="DNA")+(mets9[[#This Row],[category]]="RNA"),"MET-ppi_c + ","")&amp;ROUND(ABS(_xlpm.mw/1000),6)&amp;" BIO-"&amp;mets9[[#This Row],[name]]))</f>
        <v>MET-h_c --&gt; 0.001008 BIO-h_c</v>
      </c>
      <c r="M31" s="149" cm="1">
        <f t="array" ref="M3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213.58504600000001</v>
      </c>
      <c r="N31" s="149"/>
      <c r="O31" s="149"/>
      <c r="P31" s="149"/>
      <c r="Q31" s="149"/>
      <c r="R31" s="149"/>
      <c r="S31" s="149"/>
      <c r="T31" s="149"/>
      <c r="U31" s="149"/>
      <c r="V31" s="149"/>
      <c r="AB31" t="str">
        <v>BIOSYN-COFACTOR-btn_c</v>
      </c>
      <c r="AC31" t="str">
        <v>MET-btn_c --&gt; 0.243303 BIO-btn_c</v>
      </c>
    </row>
    <row r="32" spans="1:29" ht="16" x14ac:dyDescent="0.2">
      <c r="A32" s="144" t="s">
        <v>1177</v>
      </c>
      <c r="B32" t="str">
        <f>SUBSTITUTE(_xlfn.TEXTBEFORE(mets9[[#This Row],[pasted JSON metabolite keys and values from GSM biomass rxn]],":"),CHAR(34),"")</f>
        <v>trnaala_c</v>
      </c>
      <c r="C32" t="str">
        <f>_xlfn.TEXTBEFORE(mets9[[#This Row],[name]],"_",-1)</f>
        <v>trnaala</v>
      </c>
      <c r="D32" t="str">
        <f>_xlfn.XLOOKUP(mets9[[#This Row],[name w/o location]],metaboliteInfo[name w/o location],metaboliteInfo[suggested category],"")</f>
        <v>ignore</v>
      </c>
      <c r="E32" s="21">
        <f>_xlfn.XLOOKUP(mets9[[#This Row],[name w/o location]],metaboliteInfo[name w/o location],metaboliteInfo[MW for biomass normalization (g/mol)],0)</f>
        <v>0</v>
      </c>
      <c r="F32" s="21">
        <f>_xlfn.NUMBERVALUE(SUBSTITUTE(_xlfn.TEXTAFTER(mets9[[#This Row],[pasted JSON metabolite keys and values from GSM biomass rxn]],":"),",",""))</f>
        <v>0.316243</v>
      </c>
      <c r="G32" s="21" cm="1">
        <f t="array" ref="G32">_xlfn.LET(_xlpm.id,mets9[[#This Row],[name w/o location]],IF(IsElementOfSet_DIY(_xlpm.id,{"atp","adp","h","pi","h2o"}),SIGN(mets9[[#This Row],[raw (GSM) coefficient]])*(ABS(mets9[[#This Row],[raw (GSM) coefficient]])-$J$2),mets9[[#This Row],[raw (GSM) coefficient]]))</f>
        <v>0.316243</v>
      </c>
      <c r="H32" s="21">
        <f>mets9[[#This Row],[coeff. w/o GAM]]</f>
        <v>0.316243</v>
      </c>
      <c r="I32" s="161">
        <f t="shared" si="0"/>
        <v>0.3162419379256487</v>
      </c>
      <c r="J32" s="21" cm="1">
        <f t="array" ref="J32">_xlfn.LET(_xlpm.id,mets9[[#This Row],[name w/o location]],_xlpm.oldcoeff,mets9[[#This Row],[normalized coeffs]],_xlpm.gam,$J$2-$G$2,_xlfn.IFS(IFERROR(MATCH(_xlpm.id,{"atp","h2o"},0),0)&gt;0,_xlpm.oldcoeff-_xlpm.gam,IFERROR(MATCH(_xlpm.id,{"adp","h","pi"},0),0)&gt;0,_xlpm.oldcoeff+_xlpm.gam,TRUE,_xlpm.oldcoeff))</f>
        <v>0.3162419379256487</v>
      </c>
      <c r="K32" t="str" cm="1">
        <f t="array" ref="K32">"BIOSYN-"&amp;_xlfn.IFS(IFERROR(MATCH(mets9[[#This Row],[category]],{0,"0",""},0),0)&gt;0,mets9[[#This Row],[name]],TRUE,mets9[[#This Row],[category]]&amp;"-"&amp;mets9[[#This Row],[name]])</f>
        <v>BIOSYN-ignore-trnaala_c</v>
      </c>
      <c r="L32" s="149" t="str" cm="1">
        <f t="array" ref="L32">IF(IsElementOfSet_DIY(mets9[[#This Row],[category]],{"ignore","PROT"}),"",_xlfn.LET(_xlpm.mw,mets9[[#This Row],[MW for biomass normalization (g/mol)]],"MET-"&amp;mets9[[#This Row],[name]]&amp;" --&gt; "&amp;IF((mets9[[#This Row],[category]]="DNA")+(mets9[[#This Row],[category]]="RNA"),"MET-ppi_c + ","")&amp;ROUND(ABS(_xlpm.mw/1000),6)&amp;" BIO-"&amp;mets9[[#This Row],[name]]))</f>
        <v/>
      </c>
      <c r="M32" s="149" cm="1">
        <f t="array" ref="M3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0.31624260870084231</v>
      </c>
      <c r="N32" s="149"/>
      <c r="O32" s="149"/>
      <c r="P32" s="149"/>
      <c r="Q32" s="149"/>
      <c r="R32" s="149"/>
      <c r="S32" s="149"/>
      <c r="T32" s="149"/>
      <c r="U32" s="149"/>
      <c r="V32" s="149"/>
      <c r="AB32" t="str">
        <v>BIOSYN-COFACTOR-coa_c</v>
      </c>
      <c r="AC32" t="str">
        <v>MET-coa_c --&gt; 0.763502 BIO-coa_c</v>
      </c>
    </row>
    <row r="33" spans="1:29" ht="16" x14ac:dyDescent="0.2">
      <c r="A33" s="144" t="s">
        <v>1178</v>
      </c>
      <c r="B33" t="str">
        <f>SUBSTITUTE(_xlfn.TEXTBEFORE(mets9[[#This Row],[pasted JSON metabolite keys and values from GSM biomass rxn]],":"),CHAR(34),"")</f>
        <v>trnaarg_c</v>
      </c>
      <c r="C33" t="str">
        <f>_xlfn.TEXTBEFORE(mets9[[#This Row],[name]],"_",-1)</f>
        <v>trnaarg</v>
      </c>
      <c r="D33" t="str">
        <f>_xlfn.XLOOKUP(mets9[[#This Row],[name w/o location]],metaboliteInfo[name w/o location],metaboliteInfo[suggested category],"")</f>
        <v>ignore</v>
      </c>
      <c r="E33" s="21">
        <f>_xlfn.XLOOKUP(mets9[[#This Row],[name w/o location]],metaboliteInfo[name w/o location],metaboliteInfo[MW for biomass normalization (g/mol)],0)</f>
        <v>0</v>
      </c>
      <c r="F33" s="21">
        <f>_xlfn.NUMBERVALUE(SUBSTITUTE(_xlfn.TEXTAFTER(mets9[[#This Row],[pasted JSON metabolite keys and values from GSM biomass rxn]],":"),",",""))</f>
        <v>0.124943</v>
      </c>
      <c r="G33" s="21" cm="1">
        <f t="array" ref="G33">_xlfn.LET(_xlpm.id,mets9[[#This Row],[name w/o location]],IF(IsElementOfSet_DIY(_xlpm.id,{"atp","adp","h","pi","h2o"}),SIGN(mets9[[#This Row],[raw (GSM) coefficient]])*(ABS(mets9[[#This Row],[raw (GSM) coefficient]])-$J$2),mets9[[#This Row],[raw (GSM) coefficient]]))</f>
        <v>0.124943</v>
      </c>
      <c r="H33" s="21">
        <f>mets9[[#This Row],[coeff. w/o GAM]]</f>
        <v>0.124943</v>
      </c>
      <c r="I33" s="161">
        <f t="shared" si="0"/>
        <v>0.12494258038990373</v>
      </c>
      <c r="J33" s="21" cm="1">
        <f t="array" ref="J33">_xlfn.LET(_xlpm.id,mets9[[#This Row],[name w/o location]],_xlpm.oldcoeff,mets9[[#This Row],[normalized coeffs]],_xlpm.gam,$J$2-$G$2,_xlfn.IFS(IFERROR(MATCH(_xlpm.id,{"atp","h2o"},0),0)&gt;0,_xlpm.oldcoeff-_xlpm.gam,IFERROR(MATCH(_xlpm.id,{"adp","h","pi"},0),0)&gt;0,_xlpm.oldcoeff+_xlpm.gam,TRUE,_xlpm.oldcoeff))</f>
        <v>0.12494258038990373</v>
      </c>
      <c r="K33" t="str" cm="1">
        <f t="array" ref="K33">"BIOSYN-"&amp;_xlfn.IFS(IFERROR(MATCH(mets9[[#This Row],[category]],{0,"0",""},0),0)&gt;0,mets9[[#This Row],[name]],TRUE,mets9[[#This Row],[category]]&amp;"-"&amp;mets9[[#This Row],[name]])</f>
        <v>BIOSYN-ignore-trnaarg_c</v>
      </c>
      <c r="L33" s="149" t="str" cm="1">
        <f t="array" ref="L33">IF(IsElementOfSet_DIY(mets9[[#This Row],[category]],{"ignore","PROT"}),"",_xlfn.LET(_xlpm.mw,mets9[[#This Row],[MW for biomass normalization (g/mol)]],"MET-"&amp;mets9[[#This Row],[name]]&amp;" --&gt; "&amp;IF((mets9[[#This Row],[category]]="DNA")+(mets9[[#This Row],[category]]="RNA"),"MET-ppi_c + ","")&amp;ROUND(ABS(_xlpm.mw/1000),6)&amp;" BIO-"&amp;mets9[[#This Row],[name]]))</f>
        <v/>
      </c>
      <c r="M33" s="149" cm="1">
        <f t="array" ref="M3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0.12494284540340607</v>
      </c>
      <c r="N33" s="149"/>
      <c r="O33" s="149"/>
      <c r="P33" s="149"/>
      <c r="Q33" s="149"/>
      <c r="R33" s="149"/>
      <c r="S33" s="149"/>
      <c r="T33" s="149"/>
      <c r="U33" s="149"/>
      <c r="V33" s="149"/>
      <c r="AB33" t="str">
        <v>BIOSYN-COFACTOR-fad_c</v>
      </c>
      <c r="AC33" t="str">
        <v>MET-fad_c --&gt; 0.782526 BIO-fad_c</v>
      </c>
    </row>
    <row r="34" spans="1:29" ht="16" x14ac:dyDescent="0.2">
      <c r="A34" s="144" t="s">
        <v>1179</v>
      </c>
      <c r="B34" t="str">
        <f>SUBSTITUTE(_xlfn.TEXTBEFORE(mets9[[#This Row],[pasted JSON metabolite keys and values from GSM biomass rxn]],":"),CHAR(34),"")</f>
        <v>trnaasn_c</v>
      </c>
      <c r="C34" t="str">
        <f>_xlfn.TEXTBEFORE(mets9[[#This Row],[name]],"_",-1)</f>
        <v>trnaasn</v>
      </c>
      <c r="D34" t="str">
        <f>_xlfn.XLOOKUP(mets9[[#This Row],[name w/o location]],metaboliteInfo[name w/o location],metaboliteInfo[suggested category],"")</f>
        <v>ignore</v>
      </c>
      <c r="E34" s="21">
        <f>_xlfn.XLOOKUP(mets9[[#This Row],[name w/o location]],metaboliteInfo[name w/o location],metaboliteInfo[MW for biomass normalization (g/mol)],0)</f>
        <v>0</v>
      </c>
      <c r="F34" s="21">
        <f>_xlfn.NUMBERVALUE(SUBSTITUTE(_xlfn.TEXTAFTER(mets9[[#This Row],[pasted JSON metabolite keys and values from GSM biomass rxn]],":"),",",""))</f>
        <v>0.15019099999999999</v>
      </c>
      <c r="G34" s="21" cm="1">
        <f t="array" ref="G34">_xlfn.LET(_xlpm.id,mets9[[#This Row],[name w/o location]],IF(IsElementOfSet_DIY(_xlpm.id,{"atp","adp","h","pi","h2o"}),SIGN(mets9[[#This Row],[raw (GSM) coefficient]])*(ABS(mets9[[#This Row],[raw (GSM) coefficient]])-$J$2),mets9[[#This Row],[raw (GSM) coefficient]]))</f>
        <v>0.15019099999999999</v>
      </c>
      <c r="H34" s="21">
        <f>mets9[[#This Row],[coeff. w/o GAM]]</f>
        <v>0.15019099999999999</v>
      </c>
      <c r="I34" s="161">
        <f t="shared" si="0"/>
        <v>0.15019049559671235</v>
      </c>
      <c r="J34" s="21" cm="1">
        <f t="array" ref="J34">_xlfn.LET(_xlpm.id,mets9[[#This Row],[name w/o location]],_xlpm.oldcoeff,mets9[[#This Row],[normalized coeffs]],_xlpm.gam,$J$2-$G$2,_xlfn.IFS(IFERROR(MATCH(_xlpm.id,{"atp","h2o"},0),0)&gt;0,_xlpm.oldcoeff-_xlpm.gam,IFERROR(MATCH(_xlpm.id,{"adp","h","pi"},0),0)&gt;0,_xlpm.oldcoeff+_xlpm.gam,TRUE,_xlpm.oldcoeff))</f>
        <v>0.15019049559671235</v>
      </c>
      <c r="K34" t="str" cm="1">
        <f t="array" ref="K34">"BIOSYN-"&amp;_xlfn.IFS(IFERROR(MATCH(mets9[[#This Row],[category]],{0,"0",""},0),0)&gt;0,mets9[[#This Row],[name]],TRUE,mets9[[#This Row],[category]]&amp;"-"&amp;mets9[[#This Row],[name]])</f>
        <v>BIOSYN-ignore-trnaasn_c</v>
      </c>
      <c r="L34" s="149" t="str" cm="1">
        <f t="array" ref="L34">IF(IsElementOfSet_DIY(mets9[[#This Row],[category]],{"ignore","PROT"}),"",_xlfn.LET(_xlpm.mw,mets9[[#This Row],[MW for biomass normalization (g/mol)]],"MET-"&amp;mets9[[#This Row],[name]]&amp;" --&gt; "&amp;IF((mets9[[#This Row],[category]]="DNA")+(mets9[[#This Row],[category]]="RNA"),"MET-ppi_c + ","")&amp;ROUND(ABS(_xlpm.mw/1000),6)&amp;" BIO-"&amp;mets9[[#This Row],[name]]))</f>
        <v/>
      </c>
      <c r="M34" s="149" cm="1">
        <f t="array" ref="M3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0.15019081416312208</v>
      </c>
      <c r="N34" s="149"/>
      <c r="O34" s="149"/>
      <c r="P34" s="149"/>
      <c r="Q34" s="149"/>
      <c r="R34" s="149"/>
      <c r="S34" s="149"/>
      <c r="T34" s="149"/>
      <c r="U34" s="149"/>
      <c r="V34" s="149"/>
      <c r="AB34" t="str">
        <v>BIOSYN-COFACTOR-hemeA_c</v>
      </c>
      <c r="AC34" t="str">
        <v>MET-hemeA_c --&gt; 0.850821 BIO-hemeA_c</v>
      </c>
    </row>
    <row r="35" spans="1:29" ht="16" x14ac:dyDescent="0.2">
      <c r="A35" s="144" t="s">
        <v>1180</v>
      </c>
      <c r="B35" t="str">
        <f>SUBSTITUTE(_xlfn.TEXTBEFORE(mets9[[#This Row],[pasted JSON metabolite keys and values from GSM biomass rxn]],":"),CHAR(34),"")</f>
        <v>trnaasp_c</v>
      </c>
      <c r="C35" t="str">
        <f>_xlfn.TEXTBEFORE(mets9[[#This Row],[name]],"_",-1)</f>
        <v>trnaasp</v>
      </c>
      <c r="D35" t="str">
        <f>_xlfn.XLOOKUP(mets9[[#This Row],[name w/o location]],metaboliteInfo[name w/o location],metaboliteInfo[suggested category],"")</f>
        <v>ignore</v>
      </c>
      <c r="E35" s="21">
        <f>_xlfn.XLOOKUP(mets9[[#This Row],[name w/o location]],metaboliteInfo[name w/o location],metaboliteInfo[MW for biomass normalization (g/mol)],0)</f>
        <v>0</v>
      </c>
      <c r="F35" s="21">
        <f>_xlfn.NUMBERVALUE(SUBSTITUTE(_xlfn.TEXTAFTER(mets9[[#This Row],[pasted JSON metabolite keys and values from GSM biomass rxn]],":"),",",""))</f>
        <v>0.15019099999999999</v>
      </c>
      <c r="G35" s="21" cm="1">
        <f t="array" ref="G35">_xlfn.LET(_xlpm.id,mets9[[#This Row],[name w/o location]],IF(IsElementOfSet_DIY(_xlpm.id,{"atp","adp","h","pi","h2o"}),SIGN(mets9[[#This Row],[raw (GSM) coefficient]])*(ABS(mets9[[#This Row],[raw (GSM) coefficient]])-$J$2),mets9[[#This Row],[raw (GSM) coefficient]]))</f>
        <v>0.15019099999999999</v>
      </c>
      <c r="H35" s="21">
        <f>mets9[[#This Row],[coeff. w/o GAM]]</f>
        <v>0.15019099999999999</v>
      </c>
      <c r="I35" s="161">
        <f t="shared" si="0"/>
        <v>0.15019049559671235</v>
      </c>
      <c r="J35" s="21" cm="1">
        <f t="array" ref="J35">_xlfn.LET(_xlpm.id,mets9[[#This Row],[name w/o location]],_xlpm.oldcoeff,mets9[[#This Row],[normalized coeffs]],_xlpm.gam,$J$2-$G$2,_xlfn.IFS(IFERROR(MATCH(_xlpm.id,{"atp","h2o"},0),0)&gt;0,_xlpm.oldcoeff-_xlpm.gam,IFERROR(MATCH(_xlpm.id,{"adp","h","pi"},0),0)&gt;0,_xlpm.oldcoeff+_xlpm.gam,TRUE,_xlpm.oldcoeff))</f>
        <v>0.15019049559671235</v>
      </c>
      <c r="K35" t="str" cm="1">
        <f t="array" ref="K35">"BIOSYN-"&amp;_xlfn.IFS(IFERROR(MATCH(mets9[[#This Row],[category]],{0,"0",""},0),0)&gt;0,mets9[[#This Row],[name]],TRUE,mets9[[#This Row],[category]]&amp;"-"&amp;mets9[[#This Row],[name]])</f>
        <v>BIOSYN-ignore-trnaasp_c</v>
      </c>
      <c r="L35" s="149" t="str" cm="1">
        <f t="array" ref="L35">IF(IsElementOfSet_DIY(mets9[[#This Row],[category]],{"ignore","PROT"}),"",_xlfn.LET(_xlpm.mw,mets9[[#This Row],[MW for biomass normalization (g/mol)]],"MET-"&amp;mets9[[#This Row],[name]]&amp;" --&gt; "&amp;IF((mets9[[#This Row],[category]]="DNA")+(mets9[[#This Row],[category]]="RNA"),"MET-ppi_c + ","")&amp;ROUND(ABS(_xlpm.mw/1000),6)&amp;" BIO-"&amp;mets9[[#This Row],[name]]))</f>
        <v/>
      </c>
      <c r="M35" s="149" cm="1">
        <f t="array" ref="M3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0.15019081416312208</v>
      </c>
      <c r="N35" s="149"/>
      <c r="O35" s="149"/>
      <c r="P35" s="149"/>
      <c r="Q35" s="149"/>
      <c r="R35" s="149"/>
      <c r="S35" s="149"/>
      <c r="T35" s="149"/>
      <c r="U35" s="149"/>
      <c r="V35" s="149"/>
      <c r="AB35" t="str">
        <v>BIOSYN-COFACTOR-nad_c</v>
      </c>
      <c r="AC35" t="str">
        <v>MET-nad_c --&gt; 0.662417 BIO-nad_c</v>
      </c>
    </row>
    <row r="36" spans="1:29" ht="16" x14ac:dyDescent="0.2">
      <c r="A36" s="144" t="s">
        <v>1181</v>
      </c>
      <c r="B36" t="str">
        <f>SUBSTITUTE(_xlfn.TEXTBEFORE(mets9[[#This Row],[pasted JSON metabolite keys and values from GSM biomass rxn]],":"),CHAR(34),"")</f>
        <v>trnacys_c</v>
      </c>
      <c r="C36" t="str">
        <f>_xlfn.TEXTBEFORE(mets9[[#This Row],[name]],"_",-1)</f>
        <v>trnacys</v>
      </c>
      <c r="D36" t="str">
        <f>_xlfn.XLOOKUP(mets9[[#This Row],[name w/o location]],metaboliteInfo[name w/o location],metaboliteInfo[suggested category],"")</f>
        <v>ignore</v>
      </c>
      <c r="E36" s="21">
        <f>_xlfn.XLOOKUP(mets9[[#This Row],[name w/o location]],metaboliteInfo[name w/o location],metaboliteInfo[MW for biomass normalization (g/mol)],0)</f>
        <v>0</v>
      </c>
      <c r="F36" s="21">
        <f>_xlfn.NUMBERVALUE(SUBSTITUTE(_xlfn.TEXTAFTER(mets9[[#This Row],[pasted JSON metabolite keys and values from GSM biomass rxn]],":"),",",""))</f>
        <v>4.5319999999999996E-3</v>
      </c>
      <c r="G36" s="21" cm="1">
        <f t="array" ref="G36">_xlfn.LET(_xlpm.id,mets9[[#This Row],[name w/o location]],IF(IsElementOfSet_DIY(_xlpm.id,{"atp","adp","h","pi","h2o"}),SIGN(mets9[[#This Row],[raw (GSM) coefficient]])*(ABS(mets9[[#This Row],[raw (GSM) coefficient]])-$J$2),mets9[[#This Row],[raw (GSM) coefficient]]))</f>
        <v>4.5319999999999996E-3</v>
      </c>
      <c r="H36" s="21">
        <f>mets9[[#This Row],[coeff. w/o GAM]]</f>
        <v>4.5319999999999996E-3</v>
      </c>
      <c r="I36" s="161">
        <f t="shared" si="0"/>
        <v>4.5319847796758813E-3</v>
      </c>
      <c r="J36" s="21" cm="1">
        <f t="array" ref="J36">_xlfn.LET(_xlpm.id,mets9[[#This Row],[name w/o location]],_xlpm.oldcoeff,mets9[[#This Row],[normalized coeffs]],_xlpm.gam,$J$2-$G$2,_xlfn.IFS(IFERROR(MATCH(_xlpm.id,{"atp","h2o"},0),0)&gt;0,_xlpm.oldcoeff-_xlpm.gam,IFERROR(MATCH(_xlpm.id,{"adp","h","pi"},0),0)&gt;0,_xlpm.oldcoeff+_xlpm.gam,TRUE,_xlpm.oldcoeff))</f>
        <v>4.5319847796758813E-3</v>
      </c>
      <c r="K36" t="str" cm="1">
        <f t="array" ref="K36">"BIOSYN-"&amp;_xlfn.IFS(IFERROR(MATCH(mets9[[#This Row],[category]],{0,"0",""},0),0)&gt;0,mets9[[#This Row],[name]],TRUE,mets9[[#This Row],[category]]&amp;"-"&amp;mets9[[#This Row],[name]])</f>
        <v>BIOSYN-ignore-trnacys_c</v>
      </c>
      <c r="L36" s="149" t="str" cm="1">
        <f t="array" ref="L36">IF(IsElementOfSet_DIY(mets9[[#This Row],[category]],{"ignore","PROT"}),"",_xlfn.LET(_xlpm.mw,mets9[[#This Row],[MW for biomass normalization (g/mol)]],"MET-"&amp;mets9[[#This Row],[name]]&amp;" --&gt; "&amp;IF((mets9[[#This Row],[category]]="DNA")+(mets9[[#This Row],[category]]="RNA"),"MET-ppi_c + ","")&amp;ROUND(ABS(_xlpm.mw/1000),6)&amp;" BIO-"&amp;mets9[[#This Row],[name]]))</f>
        <v/>
      </c>
      <c r="M36" s="149" cm="1">
        <f t="array" ref="M3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4.5319943923888186E-3</v>
      </c>
      <c r="N36" s="149"/>
      <c r="O36" s="149"/>
      <c r="P36" s="149"/>
      <c r="Q36" s="149"/>
      <c r="R36" s="149"/>
      <c r="S36" s="149"/>
      <c r="T36" s="149"/>
      <c r="U36" s="149"/>
      <c r="V36" s="149"/>
      <c r="AB36" t="str">
        <v>BIOSYN-COFACTOR-nadp_c</v>
      </c>
      <c r="AC36" t="str">
        <v>MET-nadp_c --&gt; 0.740381 BIO-nadp_c</v>
      </c>
    </row>
    <row r="37" spans="1:29" ht="16" x14ac:dyDescent="0.2">
      <c r="A37" s="144" t="s">
        <v>1182</v>
      </c>
      <c r="B37" t="str">
        <f>SUBSTITUTE(_xlfn.TEXTBEFORE(mets9[[#This Row],[pasted JSON metabolite keys and values from GSM biomass rxn]],":"),CHAR(34),"")</f>
        <v>trnagln_c</v>
      </c>
      <c r="C37" t="str">
        <f>_xlfn.TEXTBEFORE(mets9[[#This Row],[name]],"_",-1)</f>
        <v>trnagln</v>
      </c>
      <c r="D37" t="str">
        <f>_xlfn.XLOOKUP(mets9[[#This Row],[name w/o location]],metaboliteInfo[name w/o location],metaboliteInfo[suggested category],"")</f>
        <v>ignore</v>
      </c>
      <c r="E37" s="21">
        <f>_xlfn.XLOOKUP(mets9[[#This Row],[name w/o location]],metaboliteInfo[name w/o location],metaboliteInfo[MW for biomass normalization (g/mol)],0)</f>
        <v>0</v>
      </c>
      <c r="F37" s="21">
        <f>_xlfn.NUMBERVALUE(SUBSTITUTE(_xlfn.TEXTAFTER(mets9[[#This Row],[pasted JSON metabolite keys and values from GSM biomass rxn]],":"),",",""))</f>
        <v>0.25053399999999998</v>
      </c>
      <c r="G37" s="21" cm="1">
        <f t="array" ref="G37">_xlfn.LET(_xlpm.id,mets9[[#This Row],[name w/o location]],IF(IsElementOfSet_DIY(_xlpm.id,{"atp","adp","h","pi","h2o"}),SIGN(mets9[[#This Row],[raw (GSM) coefficient]])*(ABS(mets9[[#This Row],[raw (GSM) coefficient]])-$J$2),mets9[[#This Row],[raw (GSM) coefficient]]))</f>
        <v>0.25053399999999998</v>
      </c>
      <c r="H37" s="21">
        <f>mets9[[#This Row],[coeff. w/o GAM]]</f>
        <v>0.25053399999999998</v>
      </c>
      <c r="I37" s="161">
        <f t="shared" si="0"/>
        <v>0.25053315860355635</v>
      </c>
      <c r="J37" s="21" cm="1">
        <f t="array" ref="J37">_xlfn.LET(_xlpm.id,mets9[[#This Row],[name w/o location]],_xlpm.oldcoeff,mets9[[#This Row],[normalized coeffs]],_xlpm.gam,$J$2-$G$2,_xlfn.IFS(IFERROR(MATCH(_xlpm.id,{"atp","h2o"},0),0)&gt;0,_xlpm.oldcoeff-_xlpm.gam,IFERROR(MATCH(_xlpm.id,{"adp","h","pi"},0),0)&gt;0,_xlpm.oldcoeff+_xlpm.gam,TRUE,_xlpm.oldcoeff))</f>
        <v>0.25053315860355635</v>
      </c>
      <c r="K37" t="str" cm="1">
        <f t="array" ref="K37">"BIOSYN-"&amp;_xlfn.IFS(IFERROR(MATCH(mets9[[#This Row],[category]],{0,"0",""},0),0)&gt;0,mets9[[#This Row],[name]],TRUE,mets9[[#This Row],[category]]&amp;"-"&amp;mets9[[#This Row],[name]])</f>
        <v>BIOSYN-ignore-trnagln_c</v>
      </c>
      <c r="L37" s="149" t="str" cm="1">
        <f t="array" ref="L37">IF(IsElementOfSet_DIY(mets9[[#This Row],[category]],{"ignore","PROT"}),"",_xlfn.LET(_xlpm.mw,mets9[[#This Row],[MW for biomass normalization (g/mol)]],"MET-"&amp;mets9[[#This Row],[name]]&amp;" --&gt; "&amp;IF((mets9[[#This Row],[category]]="DNA")+(mets9[[#This Row],[category]]="RNA"),"MET-ppi_c + ","")&amp;ROUND(ABS(_xlpm.mw/1000),6)&amp;" BIO-"&amp;mets9[[#This Row],[name]]))</f>
        <v/>
      </c>
      <c r="M37" s="149" cm="1">
        <f t="array" ref="M3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0.25053369000501774</v>
      </c>
      <c r="N37" s="149"/>
      <c r="O37" s="149"/>
      <c r="P37" s="149"/>
      <c r="Q37" s="149"/>
      <c r="R37" s="149"/>
      <c r="S37" s="149"/>
      <c r="T37" s="149"/>
      <c r="U37" s="149"/>
      <c r="V37" s="149"/>
      <c r="AB37" t="str">
        <v>BIOSYN-COFACTOR-pydx5p_c</v>
      </c>
      <c r="AC37" t="str">
        <v>MET-pydx5p_c --&gt; 0.245126 BIO-pydx5p_c</v>
      </c>
    </row>
    <row r="38" spans="1:29" ht="16" x14ac:dyDescent="0.2">
      <c r="A38" s="144" t="s">
        <v>1183</v>
      </c>
      <c r="B38" t="str">
        <f>SUBSTITUTE(_xlfn.TEXTBEFORE(mets9[[#This Row],[pasted JSON metabolite keys and values from GSM biomass rxn]],":"),CHAR(34),"")</f>
        <v>trnaglu_c</v>
      </c>
      <c r="C38" t="str">
        <f>_xlfn.TEXTBEFORE(mets9[[#This Row],[name]],"_",-1)</f>
        <v>trnaglu</v>
      </c>
      <c r="D38" t="str">
        <f>_xlfn.XLOOKUP(mets9[[#This Row],[name w/o location]],metaboliteInfo[name w/o location],metaboliteInfo[suggested category],"")</f>
        <v>ignore</v>
      </c>
      <c r="E38" s="21">
        <f>_xlfn.XLOOKUP(mets9[[#This Row],[name w/o location]],metaboliteInfo[name w/o location],metaboliteInfo[MW for biomass normalization (g/mol)],0)</f>
        <v>0</v>
      </c>
      <c r="F38" s="21">
        <f>_xlfn.NUMBERVALUE(SUBSTITUTE(_xlfn.TEXTAFTER(mets9[[#This Row],[pasted JSON metabolite keys and values from GSM biomass rxn]],":"),",",""))</f>
        <v>0.25053399999999998</v>
      </c>
      <c r="G38" s="21" cm="1">
        <f t="array" ref="G38">_xlfn.LET(_xlpm.id,mets9[[#This Row],[name w/o location]],IF(IsElementOfSet_DIY(_xlpm.id,{"atp","adp","h","pi","h2o"}),SIGN(mets9[[#This Row],[raw (GSM) coefficient]])*(ABS(mets9[[#This Row],[raw (GSM) coefficient]])-$J$2),mets9[[#This Row],[raw (GSM) coefficient]]))</f>
        <v>0.25053399999999998</v>
      </c>
      <c r="H38" s="21">
        <f>mets9[[#This Row],[coeff. w/o GAM]]</f>
        <v>0.25053399999999998</v>
      </c>
      <c r="I38" s="161">
        <f t="shared" ref="I38:I69" si="2">H38/($H$3)</f>
        <v>0.25053315860355635</v>
      </c>
      <c r="J38" s="21" cm="1">
        <f t="array" ref="J38">_xlfn.LET(_xlpm.id,mets9[[#This Row],[name w/o location]],_xlpm.oldcoeff,mets9[[#This Row],[normalized coeffs]],_xlpm.gam,$J$2-$G$2,_xlfn.IFS(IFERROR(MATCH(_xlpm.id,{"atp","h2o"},0),0)&gt;0,_xlpm.oldcoeff-_xlpm.gam,IFERROR(MATCH(_xlpm.id,{"adp","h","pi"},0),0)&gt;0,_xlpm.oldcoeff+_xlpm.gam,TRUE,_xlpm.oldcoeff))</f>
        <v>0.25053315860355635</v>
      </c>
      <c r="K38" t="str" cm="1">
        <f t="array" ref="K38">"BIOSYN-"&amp;_xlfn.IFS(IFERROR(MATCH(mets9[[#This Row],[category]],{0,"0",""},0),0)&gt;0,mets9[[#This Row],[name]],TRUE,mets9[[#This Row],[category]]&amp;"-"&amp;mets9[[#This Row],[name]])</f>
        <v>BIOSYN-ignore-trnaglu_c</v>
      </c>
      <c r="L38" s="149" t="str" cm="1">
        <f t="array" ref="L38">IF(IsElementOfSet_DIY(mets9[[#This Row],[category]],{"ignore","PROT"}),"",_xlfn.LET(_xlpm.mw,mets9[[#This Row],[MW for biomass normalization (g/mol)]],"MET-"&amp;mets9[[#This Row],[name]]&amp;" --&gt; "&amp;IF((mets9[[#This Row],[category]]="DNA")+(mets9[[#This Row],[category]]="RNA"),"MET-ppi_c + ","")&amp;ROUND(ABS(_xlpm.mw/1000),6)&amp;" BIO-"&amp;mets9[[#This Row],[name]]))</f>
        <v/>
      </c>
      <c r="M38" s="149" cm="1">
        <f t="array" ref="M3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0.25053369000501774</v>
      </c>
      <c r="N38" s="149"/>
      <c r="O38" s="149"/>
      <c r="P38" s="149"/>
      <c r="Q38" s="149"/>
      <c r="R38" s="149"/>
      <c r="S38" s="149"/>
      <c r="T38" s="149"/>
      <c r="U38" s="149"/>
      <c r="V38" s="149"/>
      <c r="AB38" t="str">
        <v>BIOSYN-COFACTOR-ribflv_c</v>
      </c>
      <c r="AC38" t="str">
        <v>MET-ribflv_c --&gt; 0.375356 BIO-ribflv_c</v>
      </c>
    </row>
    <row r="39" spans="1:29" ht="16" x14ac:dyDescent="0.2">
      <c r="A39" s="144" t="s">
        <v>1184</v>
      </c>
      <c r="B39" t="str">
        <f>SUBSTITUTE(_xlfn.TEXTBEFORE(mets9[[#This Row],[pasted JSON metabolite keys and values from GSM biomass rxn]],":"),CHAR(34),"")</f>
        <v>trnagly_c</v>
      </c>
      <c r="C39" t="str">
        <f>_xlfn.TEXTBEFORE(mets9[[#This Row],[name]],"_",-1)</f>
        <v>trnagly</v>
      </c>
      <c r="D39" t="str">
        <f>_xlfn.XLOOKUP(mets9[[#This Row],[name w/o location]],metaboliteInfo[name w/o location],metaboliteInfo[suggested category],"")</f>
        <v>ignore</v>
      </c>
      <c r="E39" s="21">
        <f>_xlfn.XLOOKUP(mets9[[#This Row],[name w/o location]],metaboliteInfo[name w/o location],metaboliteInfo[MW for biomass normalization (g/mol)],0)</f>
        <v>0</v>
      </c>
      <c r="F39" s="21">
        <f>_xlfn.NUMBERVALUE(SUBSTITUTE(_xlfn.TEXTAFTER(mets9[[#This Row],[pasted JSON metabolite keys and values from GSM biomass rxn]],":"),",",""))</f>
        <v>0.28775800000000001</v>
      </c>
      <c r="G39" s="21" cm="1">
        <f t="array" ref="G39">_xlfn.LET(_xlpm.id,mets9[[#This Row],[name w/o location]],IF(IsElementOfSet_DIY(_xlpm.id,{"atp","adp","h","pi","h2o"}),SIGN(mets9[[#This Row],[raw (GSM) coefficient]])*(ABS(mets9[[#This Row],[raw (GSM) coefficient]])-$J$2),mets9[[#This Row],[raw (GSM) coefficient]]))</f>
        <v>0.28775800000000001</v>
      </c>
      <c r="H39" s="21">
        <f>mets9[[#This Row],[coeff. w/o GAM]]</f>
        <v>0.28775800000000001</v>
      </c>
      <c r="I39" s="161">
        <f t="shared" si="2"/>
        <v>0.28775703359002042</v>
      </c>
      <c r="J39" s="21" cm="1">
        <f t="array" ref="J39">_xlfn.LET(_xlpm.id,mets9[[#This Row],[name w/o location]],_xlpm.oldcoeff,mets9[[#This Row],[normalized coeffs]],_xlpm.gam,$J$2-$G$2,_xlfn.IFS(IFERROR(MATCH(_xlpm.id,{"atp","h2o"},0),0)&gt;0,_xlpm.oldcoeff-_xlpm.gam,IFERROR(MATCH(_xlpm.id,{"adp","h","pi"},0),0)&gt;0,_xlpm.oldcoeff+_xlpm.gam,TRUE,_xlpm.oldcoeff))</f>
        <v>0.28775703359002042</v>
      </c>
      <c r="K39" t="str" cm="1">
        <f t="array" ref="K39">"BIOSYN-"&amp;_xlfn.IFS(IFERROR(MATCH(mets9[[#This Row],[category]],{0,"0",""},0),0)&gt;0,mets9[[#This Row],[name]],TRUE,mets9[[#This Row],[category]]&amp;"-"&amp;mets9[[#This Row],[name]])</f>
        <v>BIOSYN-ignore-trnagly_c</v>
      </c>
      <c r="L39" s="149" t="str" cm="1">
        <f t="array" ref="L39">IF(IsElementOfSet_DIY(mets9[[#This Row],[category]],{"ignore","PROT"}),"",_xlfn.LET(_xlpm.mw,mets9[[#This Row],[MW for biomass normalization (g/mol)]],"MET-"&amp;mets9[[#This Row],[name]]&amp;" --&gt; "&amp;IF((mets9[[#This Row],[category]]="DNA")+(mets9[[#This Row],[category]]="RNA"),"MET-ppi_c + ","")&amp;ROUND(ABS(_xlpm.mw/1000),6)&amp;" BIO-"&amp;mets9[[#This Row],[name]]))</f>
        <v/>
      </c>
      <c r="M39" s="149" cm="1">
        <f t="array" ref="M3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0.28775764394638614</v>
      </c>
      <c r="N39" s="149"/>
      <c r="O39" s="149"/>
      <c r="P39" s="149"/>
      <c r="Q39" s="149"/>
      <c r="R39" s="149"/>
      <c r="S39" s="149"/>
      <c r="T39" s="149"/>
      <c r="U39" s="149"/>
      <c r="V39" s="149"/>
      <c r="AB39" t="str">
        <v>BIOSYN-COFACTOR-spmd_c</v>
      </c>
      <c r="AC39" t="str">
        <v>MET-spmd_c --&gt; 0.14827 BIO-spmd_c</v>
      </c>
    </row>
    <row r="40" spans="1:29" ht="16" x14ac:dyDescent="0.2">
      <c r="A40" s="144" t="s">
        <v>1185</v>
      </c>
      <c r="B40" t="str">
        <f>SUBSTITUTE(_xlfn.TEXTBEFORE(mets9[[#This Row],[pasted JSON metabolite keys and values from GSM biomass rxn]],":"),CHAR(34),"")</f>
        <v>trnahis_c</v>
      </c>
      <c r="C40" t="str">
        <f>_xlfn.TEXTBEFORE(mets9[[#This Row],[name]],"_",-1)</f>
        <v>trnahis</v>
      </c>
      <c r="D40" t="str">
        <f>_xlfn.XLOOKUP(mets9[[#This Row],[name w/o location]],metaboliteInfo[name w/o location],metaboliteInfo[suggested category],"")</f>
        <v>ignore</v>
      </c>
      <c r="E40" s="21">
        <f>_xlfn.XLOOKUP(mets9[[#This Row],[name w/o location]],metaboliteInfo[name w/o location],metaboliteInfo[MW for biomass normalization (g/mol)],0)</f>
        <v>0</v>
      </c>
      <c r="F40" s="21">
        <f>_xlfn.NUMBERVALUE(SUBSTITUTE(_xlfn.TEXTAFTER(mets9[[#This Row],[pasted JSON metabolite keys and values from GSM biomass rxn]],":"),",",""))</f>
        <v>6.2472E-2</v>
      </c>
      <c r="G40" s="21" cm="1">
        <f t="array" ref="G40">_xlfn.LET(_xlpm.id,mets9[[#This Row],[name w/o location]],IF(IsElementOfSet_DIY(_xlpm.id,{"atp","adp","h","pi","h2o"}),SIGN(mets9[[#This Row],[raw (GSM) coefficient]])*(ABS(mets9[[#This Row],[raw (GSM) coefficient]])-$J$2),mets9[[#This Row],[raw (GSM) coefficient]]))</f>
        <v>6.2472E-2</v>
      </c>
      <c r="H40" s="21">
        <f>mets9[[#This Row],[coeff. w/o GAM]]</f>
        <v>6.2472E-2</v>
      </c>
      <c r="I40" s="161">
        <f t="shared" si="2"/>
        <v>6.2471790193272661E-2</v>
      </c>
      <c r="J40" s="21" cm="1">
        <f t="array" ref="J40">_xlfn.LET(_xlpm.id,mets9[[#This Row],[name w/o location]],_xlpm.oldcoeff,mets9[[#This Row],[normalized coeffs]],_xlpm.gam,$J$2-$G$2,_xlfn.IFS(IFERROR(MATCH(_xlpm.id,{"atp","h2o"},0),0)&gt;0,_xlpm.oldcoeff-_xlpm.gam,IFERROR(MATCH(_xlpm.id,{"adp","h","pi"},0),0)&gt;0,_xlpm.oldcoeff+_xlpm.gam,TRUE,_xlpm.oldcoeff))</f>
        <v>6.2471790193272661E-2</v>
      </c>
      <c r="K40" t="str" cm="1">
        <f t="array" ref="K40">"BIOSYN-"&amp;_xlfn.IFS(IFERROR(MATCH(mets9[[#This Row],[category]],{0,"0",""},0),0)&gt;0,mets9[[#This Row],[name]],TRUE,mets9[[#This Row],[category]]&amp;"-"&amp;mets9[[#This Row],[name]])</f>
        <v>BIOSYN-ignore-trnahis_c</v>
      </c>
      <c r="L40" s="149" t="str" cm="1">
        <f t="array" ref="L40">IF(IsElementOfSet_DIY(mets9[[#This Row],[category]],{"ignore","PROT"}),"",_xlfn.LET(_xlpm.mw,mets9[[#This Row],[MW for biomass normalization (g/mol)]],"MET-"&amp;mets9[[#This Row],[name]]&amp;" --&gt; "&amp;IF((mets9[[#This Row],[category]]="DNA")+(mets9[[#This Row],[category]]="RNA"),"MET-ppi_c + ","")&amp;ROUND(ABS(_xlpm.mw/1000),6)&amp;" BIO-"&amp;mets9[[#This Row],[name]]))</f>
        <v/>
      </c>
      <c r="M40" s="149" cm="1">
        <f t="array" ref="M4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6.2471922701084363E-2</v>
      </c>
      <c r="N40" s="149"/>
      <c r="O40" s="149"/>
      <c r="P40" s="149"/>
      <c r="Q40" s="149"/>
      <c r="R40" s="149"/>
      <c r="S40" s="149"/>
      <c r="T40" s="149"/>
      <c r="U40" s="149"/>
      <c r="V40" s="149"/>
      <c r="AB40" t="str">
        <v>BIOSYN-COFACTOR-thf_c</v>
      </c>
      <c r="AC40" t="str">
        <v>MET-thf_c --&gt; 0.443413 BIO-thf_c</v>
      </c>
    </row>
    <row r="41" spans="1:29" ht="16" x14ac:dyDescent="0.2">
      <c r="A41" s="144" t="s">
        <v>1186</v>
      </c>
      <c r="B41" t="str">
        <f>SUBSTITUTE(_xlfn.TEXTBEFORE(mets9[[#This Row],[pasted JSON metabolite keys and values from GSM biomass rxn]],":"),CHAR(34),"")</f>
        <v>trnaile_c</v>
      </c>
      <c r="C41" t="str">
        <f>_xlfn.TEXTBEFORE(mets9[[#This Row],[name]],"_",-1)</f>
        <v>trnaile</v>
      </c>
      <c r="D41" t="str">
        <f>_xlfn.XLOOKUP(mets9[[#This Row],[name w/o location]],metaboliteInfo[name w/o location],metaboliteInfo[suggested category],"")</f>
        <v>ignore</v>
      </c>
      <c r="E41" s="21">
        <f>_xlfn.XLOOKUP(mets9[[#This Row],[name w/o location]],metaboliteInfo[name w/o location],metaboliteInfo[MW for biomass normalization (g/mol)],0)</f>
        <v>0</v>
      </c>
      <c r="F41" s="21">
        <f>_xlfn.NUMBERVALUE(SUBSTITUTE(_xlfn.TEXTAFTER(mets9[[#This Row],[pasted JSON metabolite keys and values from GSM biomass rxn]],":"),",",""))</f>
        <v>0.19065199999999999</v>
      </c>
      <c r="G41" s="21" cm="1">
        <f t="array" ref="G41">_xlfn.LET(_xlpm.id,mets9[[#This Row],[name w/o location]],IF(IsElementOfSet_DIY(_xlpm.id,{"atp","adp","h","pi","h2o"}),SIGN(mets9[[#This Row],[raw (GSM) coefficient]])*(ABS(mets9[[#This Row],[raw (GSM) coefficient]])-$J$2),mets9[[#This Row],[raw (GSM) coefficient]]))</f>
        <v>0.19065199999999999</v>
      </c>
      <c r="H41" s="21">
        <f>mets9[[#This Row],[coeff. w/o GAM]]</f>
        <v>0.19065199999999999</v>
      </c>
      <c r="I41" s="161">
        <f t="shared" si="2"/>
        <v>0.19065135971199607</v>
      </c>
      <c r="J41" s="21" cm="1">
        <f t="array" ref="J41">_xlfn.LET(_xlpm.id,mets9[[#This Row],[name w/o location]],_xlpm.oldcoeff,mets9[[#This Row],[normalized coeffs]],_xlpm.gam,$J$2-$G$2,_xlfn.IFS(IFERROR(MATCH(_xlpm.id,{"atp","h2o"},0),0)&gt;0,_xlpm.oldcoeff-_xlpm.gam,IFERROR(MATCH(_xlpm.id,{"adp","h","pi"},0),0)&gt;0,_xlpm.oldcoeff+_xlpm.gam,TRUE,_xlpm.oldcoeff))</f>
        <v>0.19065135971199607</v>
      </c>
      <c r="K41" t="str" cm="1">
        <f t="array" ref="K41">"BIOSYN-"&amp;_xlfn.IFS(IFERROR(MATCH(mets9[[#This Row],[category]],{0,"0",""},0),0)&gt;0,mets9[[#This Row],[name]],TRUE,mets9[[#This Row],[category]]&amp;"-"&amp;mets9[[#This Row],[name]])</f>
        <v>BIOSYN-ignore-trnaile_c</v>
      </c>
      <c r="L41" s="149" t="str" cm="1">
        <f t="array" ref="L41">IF(IsElementOfSet_DIY(mets9[[#This Row],[category]],{"ignore","PROT"}),"",_xlfn.LET(_xlpm.mw,mets9[[#This Row],[MW for biomass normalization (g/mol)]],"MET-"&amp;mets9[[#This Row],[name]]&amp;" --&gt; "&amp;IF((mets9[[#This Row],[category]]="DNA")+(mets9[[#This Row],[category]]="RNA"),"MET-ppi_c + ","")&amp;ROUND(ABS(_xlpm.mw/1000),6)&amp;" BIO-"&amp;mets9[[#This Row],[name]]))</f>
        <v/>
      </c>
      <c r="M41" s="149" cm="1">
        <f t="array" ref="M4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0.19065176409923063</v>
      </c>
      <c r="N41" s="149"/>
      <c r="O41" s="149"/>
      <c r="P41" s="149"/>
      <c r="Q41" s="149"/>
      <c r="R41" s="149"/>
      <c r="S41" s="149"/>
      <c r="T41" s="149"/>
      <c r="U41" s="149"/>
      <c r="V41" s="149"/>
      <c r="AB41" t="str">
        <v>BIOSYN-COFACTOR-thmpp_c</v>
      </c>
      <c r="AC41" t="str">
        <v>MET-thmpp_c --&gt; 0.422291 BIO-thmpp_c</v>
      </c>
    </row>
    <row r="42" spans="1:29" ht="16" x14ac:dyDescent="0.2">
      <c r="A42" s="144" t="s">
        <v>1187</v>
      </c>
      <c r="B42" t="str">
        <f>SUBSTITUTE(_xlfn.TEXTBEFORE(mets9[[#This Row],[pasted JSON metabolite keys and values from GSM biomass rxn]],":"),CHAR(34),"")</f>
        <v>trnaleu_c</v>
      </c>
      <c r="C42" t="str">
        <f>_xlfn.TEXTBEFORE(mets9[[#This Row],[name]],"_",-1)</f>
        <v>trnaleu</v>
      </c>
      <c r="D42" t="str">
        <f>_xlfn.XLOOKUP(mets9[[#This Row],[name w/o location]],metaboliteInfo[name w/o location],metaboliteInfo[suggested category],"")</f>
        <v>ignore</v>
      </c>
      <c r="E42" s="21">
        <f>_xlfn.XLOOKUP(mets9[[#This Row],[name w/o location]],metaboliteInfo[name w/o location],metaboliteInfo[MW for biomass normalization (g/mol)],0)</f>
        <v>0</v>
      </c>
      <c r="F42" s="21">
        <f>_xlfn.NUMBERVALUE(SUBSTITUTE(_xlfn.TEXTAFTER(mets9[[#This Row],[pasted JSON metabolite keys and values from GSM biomass rxn]],":"),",",""))</f>
        <v>0.259274</v>
      </c>
      <c r="G42" s="21" cm="1">
        <f t="array" ref="G42">_xlfn.LET(_xlpm.id,mets9[[#This Row],[name w/o location]],IF(IsElementOfSet_DIY(_xlpm.id,{"atp","adp","h","pi","h2o"}),SIGN(mets9[[#This Row],[raw (GSM) coefficient]])*(ABS(mets9[[#This Row],[raw (GSM) coefficient]])-$J$2),mets9[[#This Row],[raw (GSM) coefficient]]))</f>
        <v>0.259274</v>
      </c>
      <c r="H42" s="21">
        <f>mets9[[#This Row],[coeff. w/o GAM]]</f>
        <v>0.259274</v>
      </c>
      <c r="I42" s="161">
        <f t="shared" si="2"/>
        <v>0.25927312925103368</v>
      </c>
      <c r="J42" s="21" cm="1">
        <f t="array" ref="J42">_xlfn.LET(_xlpm.id,mets9[[#This Row],[name w/o location]],_xlpm.oldcoeff,mets9[[#This Row],[normalized coeffs]],_xlpm.gam,$J$2-$G$2,_xlfn.IFS(IFERROR(MATCH(_xlpm.id,{"atp","h2o"},0),0)&gt;0,_xlpm.oldcoeff-_xlpm.gam,IFERROR(MATCH(_xlpm.id,{"adp","h","pi"},0),0)&gt;0,_xlpm.oldcoeff+_xlpm.gam,TRUE,_xlpm.oldcoeff))</f>
        <v>0.25927312925103368</v>
      </c>
      <c r="K42" t="str" cm="1">
        <f t="array" ref="K42">"BIOSYN-"&amp;_xlfn.IFS(IFERROR(MATCH(mets9[[#This Row],[category]],{0,"0",""},0),0)&gt;0,mets9[[#This Row],[name]],TRUE,mets9[[#This Row],[category]]&amp;"-"&amp;mets9[[#This Row],[name]])</f>
        <v>BIOSYN-ignore-trnaleu_c</v>
      </c>
      <c r="L42" s="149" t="str" cm="1">
        <f t="array" ref="L42">IF(IsElementOfSet_DIY(mets9[[#This Row],[category]],{"ignore","PROT"}),"",_xlfn.LET(_xlpm.mw,mets9[[#This Row],[MW for biomass normalization (g/mol)]],"MET-"&amp;mets9[[#This Row],[name]]&amp;" --&gt; "&amp;IF((mets9[[#This Row],[category]]="DNA")+(mets9[[#This Row],[category]]="RNA"),"MET-ppi_c + ","")&amp;ROUND(ABS(_xlpm.mw/1000),6)&amp;" BIO-"&amp;mets9[[#This Row],[name]]))</f>
        <v/>
      </c>
      <c r="M42" s="149" cm="1">
        <f t="array" ref="M4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0.25927367919069261</v>
      </c>
      <c r="N42" s="149"/>
      <c r="O42" s="149"/>
      <c r="P42" s="149"/>
      <c r="Q42" s="149"/>
      <c r="R42" s="149"/>
      <c r="S42" s="149"/>
      <c r="T42" s="149"/>
      <c r="U42" s="149"/>
      <c r="V42" s="149"/>
      <c r="AB42" t="str">
        <v>BIOSYN-DNA-datp_c</v>
      </c>
      <c r="AC42" t="str">
        <v>MET-datp_c --&gt; MET-ppi_c + 0.312199 BIO-datp_c</v>
      </c>
    </row>
    <row r="43" spans="1:29" ht="16" x14ac:dyDescent="0.2">
      <c r="A43" s="144" t="s">
        <v>1188</v>
      </c>
      <c r="B43" t="str">
        <f>SUBSTITUTE(_xlfn.TEXTBEFORE(mets9[[#This Row],[pasted JSON metabolite keys and values from GSM biomass rxn]],":"),CHAR(34),"")</f>
        <v>trnalys_c</v>
      </c>
      <c r="C43" t="str">
        <f>_xlfn.TEXTBEFORE(mets9[[#This Row],[name]],"_",-1)</f>
        <v>trnalys</v>
      </c>
      <c r="D43" t="str">
        <f>_xlfn.XLOOKUP(mets9[[#This Row],[name w/o location]],metaboliteInfo[name w/o location],metaboliteInfo[suggested category],"")</f>
        <v>ignore</v>
      </c>
      <c r="E43" s="21">
        <f>_xlfn.XLOOKUP(mets9[[#This Row],[name w/o location]],metaboliteInfo[name w/o location],metaboliteInfo[MW for biomass normalization (g/mol)],0)</f>
        <v>0</v>
      </c>
      <c r="F43" s="21">
        <f>_xlfn.NUMBERVALUE(SUBSTITUTE(_xlfn.TEXTAFTER(mets9[[#This Row],[pasted JSON metabolite keys and values from GSM biomass rxn]],":"),",",""))</f>
        <v>0.21266299999999999</v>
      </c>
      <c r="G43" s="21" cm="1">
        <f t="array" ref="G43">_xlfn.LET(_xlpm.id,mets9[[#This Row],[name w/o location]],IF(IsElementOfSet_DIY(_xlpm.id,{"atp","adp","h","pi","h2o"}),SIGN(mets9[[#This Row],[raw (GSM) coefficient]])*(ABS(mets9[[#This Row],[raw (GSM) coefficient]])-$J$2),mets9[[#This Row],[raw (GSM) coefficient]]))</f>
        <v>0.21266299999999999</v>
      </c>
      <c r="H43" s="21">
        <f>mets9[[#This Row],[coeff. w/o GAM]]</f>
        <v>0.21266299999999999</v>
      </c>
      <c r="I43" s="161">
        <f t="shared" si="2"/>
        <v>0.212662285789985</v>
      </c>
      <c r="J43" s="21" cm="1">
        <f t="array" ref="J43">_xlfn.LET(_xlpm.id,mets9[[#This Row],[name w/o location]],_xlpm.oldcoeff,mets9[[#This Row],[normalized coeffs]],_xlpm.gam,$J$2-$G$2,_xlfn.IFS(IFERROR(MATCH(_xlpm.id,{"atp","h2o"},0),0)&gt;0,_xlpm.oldcoeff-_xlpm.gam,IFERROR(MATCH(_xlpm.id,{"adp","h","pi"},0),0)&gt;0,_xlpm.oldcoeff+_xlpm.gam,TRUE,_xlpm.oldcoeff))</f>
        <v>0.212662285789985</v>
      </c>
      <c r="K43" t="str" cm="1">
        <f t="array" ref="K43">"BIOSYN-"&amp;_xlfn.IFS(IFERROR(MATCH(mets9[[#This Row],[category]],{0,"0",""},0),0)&gt;0,mets9[[#This Row],[name]],TRUE,mets9[[#This Row],[category]]&amp;"-"&amp;mets9[[#This Row],[name]])</f>
        <v>BIOSYN-ignore-trnalys_c</v>
      </c>
      <c r="L43" s="149" t="str" cm="1">
        <f t="array" ref="L43">IF(IsElementOfSet_DIY(mets9[[#This Row],[category]],{"ignore","PROT"}),"",_xlfn.LET(_xlpm.mw,mets9[[#This Row],[MW for biomass normalization (g/mol)]],"MET-"&amp;mets9[[#This Row],[name]]&amp;" --&gt; "&amp;IF((mets9[[#This Row],[category]]="DNA")+(mets9[[#This Row],[category]]="RNA"),"MET-ppi_c + ","")&amp;ROUND(ABS(_xlpm.mw/1000),6)&amp;" BIO-"&amp;mets9[[#This Row],[name]]))</f>
        <v/>
      </c>
      <c r="M43" s="149" cm="1">
        <f t="array" ref="M4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0.21266273686420642</v>
      </c>
      <c r="N43" s="149"/>
      <c r="O43" s="149"/>
      <c r="P43" s="149"/>
      <c r="Q43" s="149"/>
      <c r="R43" s="149"/>
      <c r="S43" s="149"/>
      <c r="T43" s="149"/>
      <c r="U43" s="149"/>
      <c r="V43" s="149"/>
      <c r="AB43" t="str">
        <v>BIOSYN-DNA-dctp_c</v>
      </c>
      <c r="AC43" t="str">
        <v>MET-dctp_c --&gt; MET-ppi_c + 0.288174 BIO-dctp_c</v>
      </c>
    </row>
    <row r="44" spans="1:29" ht="16" x14ac:dyDescent="0.2">
      <c r="A44" s="144" t="s">
        <v>1189</v>
      </c>
      <c r="B44" t="str">
        <f>SUBSTITUTE(_xlfn.TEXTBEFORE(mets9[[#This Row],[pasted JSON metabolite keys and values from GSM biomass rxn]],":"),CHAR(34),"")</f>
        <v>trnamet_c</v>
      </c>
      <c r="C44" t="str">
        <f>_xlfn.TEXTBEFORE(mets9[[#This Row],[name]],"_",-1)</f>
        <v>trnamet</v>
      </c>
      <c r="D44" t="str">
        <f>_xlfn.XLOOKUP(mets9[[#This Row],[name w/o location]],metaboliteInfo[name w/o location],metaboliteInfo[suggested category],"")</f>
        <v>ignore</v>
      </c>
      <c r="E44" s="21">
        <f>_xlfn.XLOOKUP(mets9[[#This Row],[name w/o location]],metaboliteInfo[name w/o location],metaboliteInfo[MW for biomass normalization (g/mol)],0)</f>
        <v>0</v>
      </c>
      <c r="F44" s="21">
        <f>_xlfn.NUMBERVALUE(SUBSTITUTE(_xlfn.TEXTAFTER(mets9[[#This Row],[pasted JSON metabolite keys and values from GSM biomass rxn]],":"),",",""))</f>
        <v>3.6901000000000003E-2</v>
      </c>
      <c r="G44" s="21" cm="1">
        <f t="array" ref="G44">_xlfn.LET(_xlpm.id,mets9[[#This Row],[name w/o location]],IF(IsElementOfSet_DIY(_xlpm.id,{"atp","adp","h","pi","h2o"}),SIGN(mets9[[#This Row],[raw (GSM) coefficient]])*(ABS(mets9[[#This Row],[raw (GSM) coefficient]])-$J$2),mets9[[#This Row],[raw (GSM) coefficient]]))</f>
        <v>3.6901000000000003E-2</v>
      </c>
      <c r="H44" s="21">
        <f>mets9[[#This Row],[coeff. w/o GAM]]</f>
        <v>3.6901000000000003E-2</v>
      </c>
      <c r="I44" s="161">
        <f t="shared" si="2"/>
        <v>3.6900876071231187E-2</v>
      </c>
      <c r="J44" s="21" cm="1">
        <f t="array" ref="J44">_xlfn.LET(_xlpm.id,mets9[[#This Row],[name w/o location]],_xlpm.oldcoeff,mets9[[#This Row],[normalized coeffs]],_xlpm.gam,$J$2-$G$2,_xlfn.IFS(IFERROR(MATCH(_xlpm.id,{"atp","h2o"},0),0)&gt;0,_xlpm.oldcoeff-_xlpm.gam,IFERROR(MATCH(_xlpm.id,{"adp","h","pi"},0),0)&gt;0,_xlpm.oldcoeff+_xlpm.gam,TRUE,_xlpm.oldcoeff))</f>
        <v>3.6900876071231187E-2</v>
      </c>
      <c r="K44" t="str" cm="1">
        <f t="array" ref="K44">"BIOSYN-"&amp;_xlfn.IFS(IFERROR(MATCH(mets9[[#This Row],[category]],{0,"0",""},0),0)&gt;0,mets9[[#This Row],[name]],TRUE,mets9[[#This Row],[category]]&amp;"-"&amp;mets9[[#This Row],[name]])</f>
        <v>BIOSYN-ignore-trnamet_c</v>
      </c>
      <c r="L44" s="149" t="str" cm="1">
        <f t="array" ref="L44">IF(IsElementOfSet_DIY(mets9[[#This Row],[category]],{"ignore","PROT"}),"",_xlfn.LET(_xlpm.mw,mets9[[#This Row],[MW for biomass normalization (g/mol)]],"MET-"&amp;mets9[[#This Row],[name]]&amp;" --&gt; "&amp;IF((mets9[[#This Row],[category]]="DNA")+(mets9[[#This Row],[category]]="RNA"),"MET-ppi_c + ","")&amp;ROUND(ABS(_xlpm.mw/1000),6)&amp;" BIO-"&amp;mets9[[#This Row],[name]]))</f>
        <v/>
      </c>
      <c r="M44" s="149" cm="1">
        <f t="array" ref="M4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3.6900954341028212E-2</v>
      </c>
      <c r="N44" s="149"/>
      <c r="O44" s="149"/>
      <c r="P44" s="149"/>
      <c r="Q44" s="149"/>
      <c r="R44" s="149"/>
      <c r="S44" s="149"/>
      <c r="T44" s="149"/>
      <c r="U44" s="149"/>
      <c r="V44" s="149"/>
      <c r="AB44" t="str">
        <v>BIOSYN-DNA-dgtp_c</v>
      </c>
      <c r="AC44" t="str">
        <v>MET-dgtp_c --&gt; MET-ppi_c + 0.328198 BIO-dgtp_c</v>
      </c>
    </row>
    <row r="45" spans="1:29" ht="16" x14ac:dyDescent="0.2">
      <c r="A45" s="144" t="s">
        <v>1190</v>
      </c>
      <c r="B45" t="str">
        <f>SUBSTITUTE(_xlfn.TEXTBEFORE(mets9[[#This Row],[pasted JSON metabolite keys and values from GSM biomass rxn]],":"),CHAR(34),"")</f>
        <v>trnaphe_c</v>
      </c>
      <c r="C45" t="str">
        <f>_xlfn.TEXTBEFORE(mets9[[#This Row],[name]],"_",-1)</f>
        <v>trnaphe</v>
      </c>
      <c r="D45" t="str">
        <f>_xlfn.XLOOKUP(mets9[[#This Row],[name w/o location]],metaboliteInfo[name w/o location],metaboliteInfo[suggested category],"")</f>
        <v>ignore</v>
      </c>
      <c r="E45" s="21">
        <f>_xlfn.XLOOKUP(mets9[[#This Row],[name w/o location]],metaboliteInfo[name w/o location],metaboliteInfo[MW for biomass normalization (g/mol)],0)</f>
        <v>0</v>
      </c>
      <c r="F45" s="21">
        <f>_xlfn.NUMBERVALUE(SUBSTITUTE(_xlfn.TEXTAFTER(mets9[[#This Row],[pasted JSON metabolite keys and values from GSM biomass rxn]],":"),",",""))</f>
        <v>0.121707</v>
      </c>
      <c r="G45" s="21" cm="1">
        <f t="array" ref="G45">_xlfn.LET(_xlpm.id,mets9[[#This Row],[name w/o location]],IF(IsElementOfSet_DIY(_xlpm.id,{"atp","adp","h","pi","h2o"}),SIGN(mets9[[#This Row],[raw (GSM) coefficient]])*(ABS(mets9[[#This Row],[raw (GSM) coefficient]])-$J$2),mets9[[#This Row],[raw (GSM) coefficient]]))</f>
        <v>0.121707</v>
      </c>
      <c r="H45" s="21">
        <f>mets9[[#This Row],[coeff. w/o GAM]]</f>
        <v>0.121707</v>
      </c>
      <c r="I45" s="161">
        <f t="shared" si="2"/>
        <v>0.12170659125772562</v>
      </c>
      <c r="J45" s="21" cm="1">
        <f t="array" ref="J45">_xlfn.LET(_xlpm.id,mets9[[#This Row],[name w/o location]],_xlpm.oldcoeff,mets9[[#This Row],[normalized coeffs]],_xlpm.gam,$J$2-$G$2,_xlfn.IFS(IFERROR(MATCH(_xlpm.id,{"atp","h2o"},0),0)&gt;0,_xlpm.oldcoeff-_xlpm.gam,IFERROR(MATCH(_xlpm.id,{"adp","h","pi"},0),0)&gt;0,_xlpm.oldcoeff+_xlpm.gam,TRUE,_xlpm.oldcoeff))</f>
        <v>0.12170659125772562</v>
      </c>
      <c r="K45" t="str" cm="1">
        <f t="array" ref="K45">"BIOSYN-"&amp;_xlfn.IFS(IFERROR(MATCH(mets9[[#This Row],[category]],{0,"0",""},0),0)&gt;0,mets9[[#This Row],[name]],TRUE,mets9[[#This Row],[category]]&amp;"-"&amp;mets9[[#This Row],[name]])</f>
        <v>BIOSYN-ignore-trnaphe_c</v>
      </c>
      <c r="L45" s="149" t="str" cm="1">
        <f t="array" ref="L45">IF(IsElementOfSet_DIY(mets9[[#This Row],[category]],{"ignore","PROT"}),"",_xlfn.LET(_xlpm.mw,mets9[[#This Row],[MW for biomass normalization (g/mol)]],"MET-"&amp;mets9[[#This Row],[name]]&amp;" --&gt; "&amp;IF((mets9[[#This Row],[category]]="DNA")+(mets9[[#This Row],[category]]="RNA"),"MET-ppi_c + ","")&amp;ROUND(ABS(_xlpm.mw/1000),6)&amp;" BIO-"&amp;mets9[[#This Row],[name]]))</f>
        <v/>
      </c>
      <c r="M45" s="149" cm="1">
        <f t="array" ref="M4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0.12170684940742851</v>
      </c>
      <c r="N45" s="149"/>
      <c r="O45" s="149"/>
      <c r="P45" s="149"/>
      <c r="Q45" s="149"/>
      <c r="R45" s="149"/>
      <c r="S45" s="149"/>
      <c r="T45" s="149"/>
      <c r="U45" s="149"/>
      <c r="V45" s="149"/>
      <c r="AB45" t="str">
        <v>BIOSYN-DNA-dttp_c</v>
      </c>
      <c r="AC45" t="str">
        <v>MET-dttp_c --&gt; MET-ppi_c + 0.303185 BIO-dttp_c</v>
      </c>
    </row>
    <row r="46" spans="1:29" ht="16" x14ac:dyDescent="0.2">
      <c r="A46" s="144" t="s">
        <v>1191</v>
      </c>
      <c r="B46" t="str">
        <f>SUBSTITUTE(_xlfn.TEXTBEFORE(mets9[[#This Row],[pasted JSON metabolite keys and values from GSM biomass rxn]],":"),CHAR(34),"")</f>
        <v>trnapro_c</v>
      </c>
      <c r="C46" t="str">
        <f>_xlfn.TEXTBEFORE(mets9[[#This Row],[name]],"_",-1)</f>
        <v>trnapro</v>
      </c>
      <c r="D46" t="str">
        <f>_xlfn.XLOOKUP(mets9[[#This Row],[name w/o location]],metaboliteInfo[name w/o location],metaboliteInfo[suggested category],"")</f>
        <v>ignore</v>
      </c>
      <c r="E46" s="21">
        <f>_xlfn.XLOOKUP(mets9[[#This Row],[name w/o location]],metaboliteInfo[name w/o location],metaboliteInfo[MW for biomass normalization (g/mol)],0)</f>
        <v>0</v>
      </c>
      <c r="F46" s="21">
        <f>_xlfn.NUMBERVALUE(SUBSTITUTE(_xlfn.TEXTAFTER(mets9[[#This Row],[pasted JSON metabolite keys and values from GSM biomass rxn]],":"),",",""))</f>
        <v>0.136597</v>
      </c>
      <c r="G46" s="21" cm="1">
        <f t="array" ref="G46">_xlfn.LET(_xlpm.id,mets9[[#This Row],[name w/o location]],IF(IsElementOfSet_DIY(_xlpm.id,{"atp","adp","h","pi","h2o"}),SIGN(mets9[[#This Row],[raw (GSM) coefficient]])*(ABS(mets9[[#This Row],[raw (GSM) coefficient]])-$J$2),mets9[[#This Row],[raw (GSM) coefficient]]))</f>
        <v>0.136597</v>
      </c>
      <c r="H46" s="21">
        <f>mets9[[#This Row],[coeff. w/o GAM]]</f>
        <v>0.136597</v>
      </c>
      <c r="I46" s="161">
        <f t="shared" si="2"/>
        <v>0.13659654125096787</v>
      </c>
      <c r="J46" s="21" cm="1">
        <f t="array" ref="J46">_xlfn.LET(_xlpm.id,mets9[[#This Row],[name w/o location]],_xlpm.oldcoeff,mets9[[#This Row],[normalized coeffs]],_xlpm.gam,$J$2-$G$2,_xlfn.IFS(IFERROR(MATCH(_xlpm.id,{"atp","h2o"},0),0)&gt;0,_xlpm.oldcoeff-_xlpm.gam,IFERROR(MATCH(_xlpm.id,{"adp","h","pi"},0),0)&gt;0,_xlpm.oldcoeff+_xlpm.gam,TRUE,_xlpm.oldcoeff))</f>
        <v>0.13659654125096787</v>
      </c>
      <c r="K46" t="str" cm="1">
        <f t="array" ref="K46">"BIOSYN-"&amp;_xlfn.IFS(IFERROR(MATCH(mets9[[#This Row],[category]],{0,"0",""},0),0)&gt;0,mets9[[#This Row],[name]],TRUE,mets9[[#This Row],[category]]&amp;"-"&amp;mets9[[#This Row],[name]])</f>
        <v>BIOSYN-ignore-trnapro_c</v>
      </c>
      <c r="L46" s="149" t="str" cm="1">
        <f t="array" ref="L46">IF(IsElementOfSet_DIY(mets9[[#This Row],[category]],{"ignore","PROT"}),"",_xlfn.LET(_xlpm.mw,mets9[[#This Row],[MW for biomass normalization (g/mol)]],"MET-"&amp;mets9[[#This Row],[name]]&amp;" --&gt; "&amp;IF((mets9[[#This Row],[category]]="DNA")+(mets9[[#This Row],[category]]="RNA"),"MET-ppi_c + ","")&amp;ROUND(ABS(_xlpm.mw/1000),6)&amp;" BIO-"&amp;mets9[[#This Row],[name]]))</f>
        <v/>
      </c>
      <c r="M46" s="149" cm="1">
        <f t="array" ref="M4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0.13659683098348091</v>
      </c>
      <c r="N46" s="149"/>
      <c r="O46" s="149"/>
      <c r="P46" s="149"/>
      <c r="Q46" s="149"/>
      <c r="R46" s="149"/>
      <c r="S46" s="149"/>
      <c r="T46" s="149"/>
      <c r="U46" s="149"/>
      <c r="V46" s="149"/>
      <c r="AB46" t="str">
        <v>BIOSYN-LIPID-docosa_c</v>
      </c>
      <c r="AC46" t="str">
        <v>MET-docosa_c --&gt; 0.339575 BIO-docosa_c</v>
      </c>
    </row>
    <row r="47" spans="1:29" ht="16" x14ac:dyDescent="0.2">
      <c r="A47" s="144" t="s">
        <v>1192</v>
      </c>
      <c r="B47" t="str">
        <f>SUBSTITUTE(_xlfn.TEXTBEFORE(mets9[[#This Row],[pasted JSON metabolite keys and values from GSM biomass rxn]],":"),CHAR(34),"")</f>
        <v>trnaser_c</v>
      </c>
      <c r="C47" t="str">
        <f>_xlfn.TEXTBEFORE(mets9[[#This Row],[name]],"_",-1)</f>
        <v>trnaser</v>
      </c>
      <c r="D47" t="str">
        <f>_xlfn.XLOOKUP(mets9[[#This Row],[name w/o location]],metaboliteInfo[name w/o location],metaboliteInfo[suggested category],"")</f>
        <v>ignore</v>
      </c>
      <c r="E47" s="21">
        <f>_xlfn.XLOOKUP(mets9[[#This Row],[name w/o location]],metaboliteInfo[name w/o location],metaboliteInfo[MW for biomass normalization (g/mol)],0)</f>
        <v>0</v>
      </c>
      <c r="F47" s="21">
        <f>_xlfn.NUMBERVALUE(SUBSTITUTE(_xlfn.TEXTAFTER(mets9[[#This Row],[pasted JSON metabolite keys and values from GSM biomass rxn]],":"),",",""))</f>
        <v>0.17252500000000001</v>
      </c>
      <c r="G47" s="21" cm="1">
        <f t="array" ref="G47">_xlfn.LET(_xlpm.id,mets9[[#This Row],[name w/o location]],IF(IsElementOfSet_DIY(_xlpm.id,{"atp","adp","h","pi","h2o"}),SIGN(mets9[[#This Row],[raw (GSM) coefficient]])*(ABS(mets9[[#This Row],[raw (GSM) coefficient]])-$J$2),mets9[[#This Row],[raw (GSM) coefficient]]))</f>
        <v>0.17252500000000001</v>
      </c>
      <c r="H47" s="21">
        <f>mets9[[#This Row],[coeff. w/o GAM]]</f>
        <v>0.17252500000000001</v>
      </c>
      <c r="I47" s="161">
        <f t="shared" si="2"/>
        <v>0.17252442058993414</v>
      </c>
      <c r="J47" s="21" cm="1">
        <f t="array" ref="J47">_xlfn.LET(_xlpm.id,mets9[[#This Row],[name w/o location]],_xlpm.oldcoeff,mets9[[#This Row],[normalized coeffs]],_xlpm.gam,$J$2-$G$2,_xlfn.IFS(IFERROR(MATCH(_xlpm.id,{"atp","h2o"},0),0)&gt;0,_xlpm.oldcoeff-_xlpm.gam,IFERROR(MATCH(_xlpm.id,{"adp","h","pi"},0),0)&gt;0,_xlpm.oldcoeff+_xlpm.gam,TRUE,_xlpm.oldcoeff))</f>
        <v>0.17252442058993414</v>
      </c>
      <c r="K47" t="str" cm="1">
        <f t="array" ref="K47">"BIOSYN-"&amp;_xlfn.IFS(IFERROR(MATCH(mets9[[#This Row],[category]],{0,"0",""},0),0)&gt;0,mets9[[#This Row],[name]],TRUE,mets9[[#This Row],[category]]&amp;"-"&amp;mets9[[#This Row],[name]])</f>
        <v>BIOSYN-ignore-trnaser_c</v>
      </c>
      <c r="L47" s="149" t="str" cm="1">
        <f t="array" ref="L47">IF(IsElementOfSet_DIY(mets9[[#This Row],[category]],{"ignore","PROT"}),"",_xlfn.LET(_xlpm.mw,mets9[[#This Row],[MW for biomass normalization (g/mol)]],"MET-"&amp;mets9[[#This Row],[name]]&amp;" --&gt; "&amp;IF((mets9[[#This Row],[category]]="DNA")+(mets9[[#This Row],[category]]="RNA"),"MET-ppi_c + ","")&amp;ROUND(ABS(_xlpm.mw/1000),6)&amp;" BIO-"&amp;mets9[[#This Row],[name]]))</f>
        <v/>
      </c>
      <c r="M47" s="149" cm="1">
        <f t="array" ref="M4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0.17252478652843803</v>
      </c>
      <c r="N47" s="149"/>
      <c r="O47" s="149"/>
      <c r="P47" s="149"/>
      <c r="Q47" s="149"/>
      <c r="R47" s="149"/>
      <c r="S47" s="149"/>
      <c r="T47" s="149"/>
      <c r="U47" s="149"/>
      <c r="V47" s="149"/>
      <c r="AB47" t="str">
        <v>BIOSYN-LIPID-epist_c</v>
      </c>
      <c r="AC47" t="str">
        <v>MET-epist_c --&gt; 0.398664 BIO-epist_c</v>
      </c>
    </row>
    <row r="48" spans="1:29" ht="16" x14ac:dyDescent="0.2">
      <c r="A48" s="144" t="s">
        <v>1193</v>
      </c>
      <c r="B48" t="str">
        <f>SUBSTITUTE(_xlfn.TEXTBEFORE(mets9[[#This Row],[pasted JSON metabolite keys and values from GSM biomass rxn]],":"),CHAR(34),"")</f>
        <v>trnathr_c</v>
      </c>
      <c r="C48" t="str">
        <f>_xlfn.TEXTBEFORE(mets9[[#This Row],[name]],"_",-1)</f>
        <v>trnathr</v>
      </c>
      <c r="D48" t="str">
        <f>_xlfn.XLOOKUP(mets9[[#This Row],[name w/o location]],metaboliteInfo[name w/o location],metaboliteInfo[suggested category],"")</f>
        <v>ignore</v>
      </c>
      <c r="E48" s="21">
        <f>_xlfn.XLOOKUP(mets9[[#This Row],[name w/o location]],metaboliteInfo[name w/o location],metaboliteInfo[MW for biomass normalization (g/mol)],0)</f>
        <v>0</v>
      </c>
      <c r="F48" s="21">
        <f>_xlfn.NUMBERVALUE(SUBSTITUTE(_xlfn.TEXTAFTER(mets9[[#This Row],[pasted JSON metabolite keys and values from GSM biomass rxn]],":"),",",""))</f>
        <v>0.18029400000000001</v>
      </c>
      <c r="G48" s="21" cm="1">
        <f t="array" ref="G48">_xlfn.LET(_xlpm.id,mets9[[#This Row],[name w/o location]],IF(IsElementOfSet_DIY(_xlpm.id,{"atp","adp","h","pi","h2o"}),SIGN(mets9[[#This Row],[raw (GSM) coefficient]])*(ABS(mets9[[#This Row],[raw (GSM) coefficient]])-$J$2),mets9[[#This Row],[raw (GSM) coefficient]]))</f>
        <v>0.18029400000000001</v>
      </c>
      <c r="H48" s="21">
        <f>mets9[[#This Row],[coeff. w/o GAM]]</f>
        <v>0.18029400000000001</v>
      </c>
      <c r="I48" s="161">
        <f t="shared" si="2"/>
        <v>0.18029339449842971</v>
      </c>
      <c r="J48" s="21" cm="1">
        <f t="array" ref="J48">_xlfn.LET(_xlpm.id,mets9[[#This Row],[name w/o location]],_xlpm.oldcoeff,mets9[[#This Row],[normalized coeffs]],_xlpm.gam,$J$2-$G$2,_xlfn.IFS(IFERROR(MATCH(_xlpm.id,{"atp","h2o"},0),0)&gt;0,_xlpm.oldcoeff-_xlpm.gam,IFERROR(MATCH(_xlpm.id,{"adp","h","pi"},0),0)&gt;0,_xlpm.oldcoeff+_xlpm.gam,TRUE,_xlpm.oldcoeff))</f>
        <v>0.18029339449842971</v>
      </c>
      <c r="K48" t="str" cm="1">
        <f t="array" ref="K48">"BIOSYN-"&amp;_xlfn.IFS(IFERROR(MATCH(mets9[[#This Row],[category]],{0,"0",""},0),0)&gt;0,mets9[[#This Row],[name]],TRUE,mets9[[#This Row],[category]]&amp;"-"&amp;mets9[[#This Row],[name]])</f>
        <v>BIOSYN-ignore-trnathr_c</v>
      </c>
      <c r="L48" s="149" t="str" cm="1">
        <f t="array" ref="L48">IF(IsElementOfSet_DIY(mets9[[#This Row],[category]],{"ignore","PROT"}),"",_xlfn.LET(_xlpm.mw,mets9[[#This Row],[MW for biomass normalization (g/mol)]],"MET-"&amp;mets9[[#This Row],[name]]&amp;" --&gt; "&amp;IF((mets9[[#This Row],[category]]="DNA")+(mets9[[#This Row],[category]]="RNA"),"MET-ppi_c + ","")&amp;ROUND(ABS(_xlpm.mw/1000),6)&amp;" BIO-"&amp;mets9[[#This Row],[name]]))</f>
        <v/>
      </c>
      <c r="M48" s="149" cm="1">
        <f t="array" ref="M4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0.18029377691556703</v>
      </c>
      <c r="N48" s="149"/>
      <c r="O48" s="149"/>
      <c r="P48" s="149"/>
      <c r="Q48" s="149"/>
      <c r="R48" s="149"/>
      <c r="S48" s="149"/>
      <c r="T48" s="149"/>
      <c r="U48" s="149"/>
      <c r="V48" s="149"/>
      <c r="AB48" t="str">
        <v>BIOSYN-LIPID-hdca_c</v>
      </c>
      <c r="AC48" t="str">
        <v>MET-hdca_c --&gt; 0.255415 BIO-hdca_c</v>
      </c>
    </row>
    <row r="49" spans="1:29" ht="16" x14ac:dyDescent="0.2">
      <c r="A49" s="144" t="s">
        <v>1194</v>
      </c>
      <c r="B49" t="str">
        <f>SUBSTITUTE(_xlfn.TEXTBEFORE(mets9[[#This Row],[pasted JSON metabolite keys and values from GSM biomass rxn]],":"),CHAR(34),"")</f>
        <v>trnatrp_c</v>
      </c>
      <c r="C49" t="str">
        <f>_xlfn.TEXTBEFORE(mets9[[#This Row],[name]],"_",-1)</f>
        <v>trnatrp</v>
      </c>
      <c r="D49" t="str">
        <f>_xlfn.XLOOKUP(mets9[[#This Row],[name w/o location]],metaboliteInfo[name w/o location],metaboliteInfo[suggested category],"")</f>
        <v>ignore</v>
      </c>
      <c r="E49" s="21">
        <f>_xlfn.XLOOKUP(mets9[[#This Row],[name w/o location]],metaboliteInfo[name w/o location],metaboliteInfo[MW for biomass normalization (g/mol)],0)</f>
        <v>0</v>
      </c>
      <c r="F49" s="21">
        <f>_xlfn.NUMBERVALUE(SUBSTITUTE(_xlfn.TEXTAFTER(mets9[[#This Row],[pasted JSON metabolite keys and values from GSM biomass rxn]],":"),",",""))</f>
        <v>2.104E-2</v>
      </c>
      <c r="G49" s="21" cm="1">
        <f t="array" ref="G49">_xlfn.LET(_xlpm.id,mets9[[#This Row],[name w/o location]],IF(IsElementOfSet_DIY(_xlpm.id,{"atp","adp","h","pi","h2o"}),SIGN(mets9[[#This Row],[raw (GSM) coefficient]])*(ABS(mets9[[#This Row],[raw (GSM) coefficient]])-$J$2),mets9[[#This Row],[raw (GSM) coefficient]]))</f>
        <v>2.104E-2</v>
      </c>
      <c r="H49" s="21">
        <f>mets9[[#This Row],[coeff. w/o GAM]]</f>
        <v>2.104E-2</v>
      </c>
      <c r="I49" s="161">
        <f t="shared" si="2"/>
        <v>2.1039929339007182E-2</v>
      </c>
      <c r="J49" s="21" cm="1">
        <f t="array" ref="J49">_xlfn.LET(_xlpm.id,mets9[[#This Row],[name w/o location]],_xlpm.oldcoeff,mets9[[#This Row],[normalized coeffs]],_xlpm.gam,$J$2-$G$2,_xlfn.IFS(IFERROR(MATCH(_xlpm.id,{"atp","h2o"},0),0)&gt;0,_xlpm.oldcoeff-_xlpm.gam,IFERROR(MATCH(_xlpm.id,{"adp","h","pi"},0),0)&gt;0,_xlpm.oldcoeff+_xlpm.gam,TRUE,_xlpm.oldcoeff))</f>
        <v>2.1039929339007182E-2</v>
      </c>
      <c r="K49" t="str" cm="1">
        <f t="array" ref="K49">"BIOSYN-"&amp;_xlfn.IFS(IFERROR(MATCH(mets9[[#This Row],[category]],{0,"0",""},0),0)&gt;0,mets9[[#This Row],[name]],TRUE,mets9[[#This Row],[category]]&amp;"-"&amp;mets9[[#This Row],[name]])</f>
        <v>BIOSYN-ignore-trnatrp_c</v>
      </c>
      <c r="L49" s="149" t="str" cm="1">
        <f t="array" ref="L49">IF(IsElementOfSet_DIY(mets9[[#This Row],[category]],{"ignore","PROT"}),"",_xlfn.LET(_xlpm.mw,mets9[[#This Row],[MW for biomass normalization (g/mol)]],"MET-"&amp;mets9[[#This Row],[name]]&amp;" --&gt; "&amp;IF((mets9[[#This Row],[category]]="DNA")+(mets9[[#This Row],[category]]="RNA"),"MET-ppi_c + ","")&amp;ROUND(ABS(_xlpm.mw/1000),6)&amp;" BIO-"&amp;mets9[[#This Row],[name]]))</f>
        <v/>
      </c>
      <c r="M49" s="149" cm="1">
        <f t="array" ref="M4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2.1039973966429999E-2</v>
      </c>
      <c r="N49" s="149"/>
      <c r="O49" s="149"/>
      <c r="P49" s="149"/>
      <c r="Q49" s="149"/>
      <c r="R49" s="149"/>
      <c r="S49" s="149"/>
      <c r="T49" s="149"/>
      <c r="U49" s="149"/>
      <c r="V49" s="149"/>
      <c r="AB49" t="str">
        <v>BIOSYN-LIPID-ipc_g</v>
      </c>
      <c r="AC49" t="str">
        <v>MET-ipc_g --&gt; 0.915263 BIO-ipc_g</v>
      </c>
    </row>
    <row r="50" spans="1:29" ht="16" x14ac:dyDescent="0.2">
      <c r="A50" s="144" t="s">
        <v>1195</v>
      </c>
      <c r="B50" t="str">
        <f>SUBSTITUTE(_xlfn.TEXTBEFORE(mets9[[#This Row],[pasted JSON metabolite keys and values from GSM biomass rxn]],":"),CHAR(34),"")</f>
        <v>trnatyr_c</v>
      </c>
      <c r="C50" t="str">
        <f>_xlfn.TEXTBEFORE(mets9[[#This Row],[name]],"_",-1)</f>
        <v>trnatyr</v>
      </c>
      <c r="D50" t="str">
        <f>_xlfn.XLOOKUP(mets9[[#This Row],[name w/o location]],metaboliteInfo[name w/o location],metaboliteInfo[suggested category],"")</f>
        <v>ignore</v>
      </c>
      <c r="E50" s="21">
        <f>_xlfn.XLOOKUP(mets9[[#This Row],[name w/o location]],metaboliteInfo[name w/o location],metaboliteInfo[MW for biomass normalization (g/mol)],0)</f>
        <v>0</v>
      </c>
      <c r="F50" s="21">
        <f>_xlfn.NUMBERVALUE(SUBSTITUTE(_xlfn.TEXTAFTER(mets9[[#This Row],[pasted JSON metabolite keys and values from GSM biomass rxn]],":"),",",""))</f>
        <v>6.3442999999999999E-2</v>
      </c>
      <c r="G50" s="21" cm="1">
        <f t="array" ref="G50">_xlfn.LET(_xlpm.id,mets9[[#This Row],[name w/o location]],IF(IsElementOfSet_DIY(_xlpm.id,{"atp","adp","h","pi","h2o"}),SIGN(mets9[[#This Row],[raw (GSM) coefficient]])*(ABS(mets9[[#This Row],[raw (GSM) coefficient]])-$J$2),mets9[[#This Row],[raw (GSM) coefficient]]))</f>
        <v>6.3442999999999999E-2</v>
      </c>
      <c r="H50" s="21">
        <f>mets9[[#This Row],[coeff. w/o GAM]]</f>
        <v>6.3442999999999999E-2</v>
      </c>
      <c r="I50" s="161">
        <f t="shared" si="2"/>
        <v>6.34427869322544E-2</v>
      </c>
      <c r="J50" s="21" cm="1">
        <f t="array" ref="J50">_xlfn.LET(_xlpm.id,mets9[[#This Row],[name w/o location]],_xlpm.oldcoeff,mets9[[#This Row],[normalized coeffs]],_xlpm.gam,$J$2-$G$2,_xlfn.IFS(IFERROR(MATCH(_xlpm.id,{"atp","h2o"},0),0)&gt;0,_xlpm.oldcoeff-_xlpm.gam,IFERROR(MATCH(_xlpm.id,{"adp","h","pi"},0),0)&gt;0,_xlpm.oldcoeff+_xlpm.gam,TRUE,_xlpm.oldcoeff))</f>
        <v>6.34427869322544E-2</v>
      </c>
      <c r="K50" t="str" cm="1">
        <f t="array" ref="K50">"BIOSYN-"&amp;_xlfn.IFS(IFERROR(MATCH(mets9[[#This Row],[category]],{0,"0",""},0),0)&gt;0,mets9[[#This Row],[name]],TRUE,mets9[[#This Row],[category]]&amp;"-"&amp;mets9[[#This Row],[name]])</f>
        <v>BIOSYN-ignore-trnatyr_c</v>
      </c>
      <c r="L50" s="149" t="str" cm="1">
        <f t="array" ref="L50">IF(IsElementOfSet_DIY(mets9[[#This Row],[category]],{"ignore","PROT"}),"",_xlfn.LET(_xlpm.mw,mets9[[#This Row],[MW for biomass normalization (g/mol)]],"MET-"&amp;mets9[[#This Row],[name]]&amp;" --&gt; "&amp;IF((mets9[[#This Row],[category]]="DNA")+(mets9[[#This Row],[category]]="RNA"),"MET-ppi_c + ","")&amp;ROUND(ABS(_xlpm.mw/1000),6)&amp;" BIO-"&amp;mets9[[#This Row],[name]]))</f>
        <v/>
      </c>
      <c r="M50" s="149" cm="1">
        <f t="array" ref="M5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6.3442921499630156E-2</v>
      </c>
      <c r="N50" s="149"/>
      <c r="O50" s="149"/>
      <c r="P50" s="149"/>
      <c r="Q50" s="149"/>
      <c r="R50" s="149"/>
      <c r="S50" s="149"/>
      <c r="T50" s="149"/>
      <c r="U50" s="149"/>
      <c r="V50" s="149"/>
      <c r="AB50" t="str">
        <v>BIOSYN-LIPID-linoea_c</v>
      </c>
      <c r="AC50" t="str">
        <v>MET-linoea_c --&gt; 0.279437 BIO-linoea_c</v>
      </c>
    </row>
    <row r="51" spans="1:29" ht="16" x14ac:dyDescent="0.2">
      <c r="A51" s="144" t="s">
        <v>1196</v>
      </c>
      <c r="B51" t="str">
        <f>SUBSTITUTE(_xlfn.TEXTBEFORE(mets9[[#This Row],[pasted JSON metabolite keys and values from GSM biomass rxn]],":"),CHAR(34),"")</f>
        <v>trnaval_c</v>
      </c>
      <c r="C51" t="str">
        <f>_xlfn.TEXTBEFORE(mets9[[#This Row],[name]],"_",-1)</f>
        <v>trnaval</v>
      </c>
      <c r="D51" t="str">
        <f>_xlfn.XLOOKUP(mets9[[#This Row],[name w/o location]],metaboliteInfo[name w/o location],metaboliteInfo[suggested category],"")</f>
        <v>ignore</v>
      </c>
      <c r="E51" s="21">
        <f>_xlfn.XLOOKUP(mets9[[#This Row],[name w/o location]],metaboliteInfo[name w/o location],metaboliteInfo[MW for biomass normalization (g/mol)],0)</f>
        <v>0</v>
      </c>
      <c r="F51" s="21">
        <f>_xlfn.NUMBERVALUE(SUBSTITUTE(_xlfn.TEXTAFTER(mets9[[#This Row],[pasted JSON metabolite keys and values from GSM biomass rxn]],":"),",",""))</f>
        <v>0.237263</v>
      </c>
      <c r="G51" s="21" cm="1">
        <f t="array" ref="G51">_xlfn.LET(_xlpm.id,mets9[[#This Row],[name w/o location]],IF(IsElementOfSet_DIY(_xlpm.id,{"atp","adp","h","pi","h2o"}),SIGN(mets9[[#This Row],[raw (GSM) coefficient]])*(ABS(mets9[[#This Row],[raw (GSM) coefficient]])-$J$2),mets9[[#This Row],[raw (GSM) coefficient]]))</f>
        <v>0.237263</v>
      </c>
      <c r="H51" s="21">
        <f>mets9[[#This Row],[coeff. w/o GAM]]</f>
        <v>0.237263</v>
      </c>
      <c r="I51" s="161">
        <f t="shared" si="2"/>
        <v>0.23726220317304475</v>
      </c>
      <c r="J51" s="21" cm="1">
        <f t="array" ref="J51">_xlfn.LET(_xlpm.id,mets9[[#This Row],[name w/o location]],_xlpm.oldcoeff,mets9[[#This Row],[normalized coeffs]],_xlpm.gam,$J$2-$G$2,_xlfn.IFS(IFERROR(MATCH(_xlpm.id,{"atp","h2o"},0),0)&gt;0,_xlpm.oldcoeff-_xlpm.gam,IFERROR(MATCH(_xlpm.id,{"adp","h","pi"},0),0)&gt;0,_xlpm.oldcoeff+_xlpm.gam,TRUE,_xlpm.oldcoeff))</f>
        <v>0.23726220317304475</v>
      </c>
      <c r="K51" t="str" cm="1">
        <f t="array" ref="K51">"BIOSYN-"&amp;_xlfn.IFS(IFERROR(MATCH(mets9[[#This Row],[category]],{0,"0",""},0),0)&gt;0,mets9[[#This Row],[name]],TRUE,mets9[[#This Row],[category]]&amp;"-"&amp;mets9[[#This Row],[name]])</f>
        <v>BIOSYN-ignore-trnaval_c</v>
      </c>
      <c r="L51" s="149" t="str" cm="1">
        <f t="array" ref="L51">IF(IsElementOfSet_DIY(mets9[[#This Row],[category]],{"ignore","PROT"}),"",_xlfn.LET(_xlpm.mw,mets9[[#This Row],[MW for biomass normalization (g/mol)]],"MET-"&amp;mets9[[#This Row],[name]]&amp;" --&gt; "&amp;IF((mets9[[#This Row],[category]]="DNA")+(mets9[[#This Row],[category]]="RNA"),"MET-ppi_c + ","")&amp;ROUND(ABS(_xlpm.mw/1000),6)&amp;" BIO-"&amp;mets9[[#This Row],[name]]))</f>
        <v/>
      </c>
      <c r="M51" s="149" cm="1">
        <f t="array" ref="M5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0.23726270642571679</v>
      </c>
      <c r="N51" s="149"/>
      <c r="O51" s="149"/>
      <c r="P51" s="149"/>
      <c r="Q51" s="149"/>
      <c r="R51" s="149"/>
      <c r="S51" s="149"/>
      <c r="T51" s="149"/>
      <c r="U51" s="149"/>
      <c r="V51" s="149"/>
      <c r="AB51" t="str">
        <v>BIOSYN-LIPID-linolen_c</v>
      </c>
      <c r="AC51" t="str">
        <v>MET-linolen_c --&gt; 0.277421 BIO-linolen_c</v>
      </c>
    </row>
    <row r="52" spans="1:29" ht="16" x14ac:dyDescent="0.2">
      <c r="A52" s="144" t="s">
        <v>1140</v>
      </c>
      <c r="B52" t="str">
        <f>SUBSTITUTE(_xlfn.TEXTBEFORE(mets9[[#This Row],[pasted JSON metabolite keys and values from GSM biomass rxn]],":"),CHAR(34),"")</f>
        <v>docosa_c</v>
      </c>
      <c r="C52" t="str">
        <f>_xlfn.TEXTBEFORE(mets9[[#This Row],[name]],"_",-1)</f>
        <v>docosa</v>
      </c>
      <c r="D52" t="str">
        <f>_xlfn.XLOOKUP(mets9[[#This Row],[name w/o location]],metaboliteInfo[name w/o location],metaboliteInfo[suggested category],"")</f>
        <v>LIPID</v>
      </c>
      <c r="E52" s="21">
        <f>_xlfn.XLOOKUP(mets9[[#This Row],[name w/o location]],metaboliteInfo[name w/o location],metaboliteInfo[MW for biomass normalization (g/mol)],0)</f>
        <v>339.57481999999999</v>
      </c>
      <c r="F52" s="21">
        <f>_xlfn.NUMBERVALUE(SUBSTITUTE(_xlfn.TEXTAFTER(mets9[[#This Row],[pasted JSON metabolite keys and values from GSM biomass rxn]],":"),",",""))</f>
        <v>-2.9E-5</v>
      </c>
      <c r="G52" s="21" cm="1">
        <f t="array" ref="G52">_xlfn.LET(_xlpm.id,mets9[[#This Row],[name w/o location]],IF(IsElementOfSet_DIY(_xlpm.id,{"atp","adp","h","pi","h2o"}),SIGN(mets9[[#This Row],[raw (GSM) coefficient]])*(ABS(mets9[[#This Row],[raw (GSM) coefficient]])-$J$2),mets9[[#This Row],[raw (GSM) coefficient]]))</f>
        <v>-2.9E-5</v>
      </c>
      <c r="H52" s="21">
        <f>mets9[[#This Row],[coeff. w/o GAM]]</f>
        <v>-2.9E-5</v>
      </c>
      <c r="I52" s="161">
        <f t="shared" si="2"/>
        <v>-2.8999902606046021E-5</v>
      </c>
      <c r="J52" s="21" cm="1">
        <f t="array" ref="J52">_xlfn.LET(_xlpm.id,mets9[[#This Row],[name w/o location]],_xlpm.oldcoeff,mets9[[#This Row],[normalized coeffs]],_xlpm.gam,$J$2-$G$2,_xlfn.IFS(IFERROR(MATCH(_xlpm.id,{"atp","h2o"},0),0)&gt;0,_xlpm.oldcoeff-_xlpm.gam,IFERROR(MATCH(_xlpm.id,{"adp","h","pi"},0),0)&gt;0,_xlpm.oldcoeff+_xlpm.gam,TRUE,_xlpm.oldcoeff))</f>
        <v>-2.8999902606046021E-5</v>
      </c>
      <c r="K52" t="str" cm="1">
        <f t="array" ref="K52">"BIOSYN-"&amp;_xlfn.IFS(IFERROR(MATCH(mets9[[#This Row],[category]],{0,"0",""},0),0)&gt;0,mets9[[#This Row],[name]],TRUE,mets9[[#This Row],[category]]&amp;"-"&amp;mets9[[#This Row],[name]])</f>
        <v>BIOSYN-LIPID-docosa_c</v>
      </c>
      <c r="L52" s="149" t="str" cm="1">
        <f t="array" ref="L52">IF(IsElementOfSet_DIY(mets9[[#This Row],[category]],{"ignore","PROT"}),"",_xlfn.LET(_xlpm.mw,mets9[[#This Row],[MW for biomass normalization (g/mol)]],"MET-"&amp;mets9[[#This Row],[name]]&amp;" --&gt; "&amp;IF((mets9[[#This Row],[category]]="DNA")+(mets9[[#This Row],[category]]="RNA"),"MET-ppi_c + ","")&amp;ROUND(ABS(_xlpm.mw/1000),6)&amp;" BIO-"&amp;mets9[[#This Row],[name]]))</f>
        <v>MET-docosa_c --&gt; 0.339575 BIO-docosa_c</v>
      </c>
      <c r="M52" s="149" cm="1">
        <f t="array" ref="M5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-2.9000124033756627E-5</v>
      </c>
      <c r="N52" s="149"/>
      <c r="O52" s="149"/>
      <c r="P52" s="149"/>
      <c r="Q52" s="149"/>
      <c r="R52" s="149"/>
      <c r="S52" s="149"/>
      <c r="T52" s="149"/>
      <c r="U52" s="149"/>
      <c r="V52" s="149"/>
      <c r="AB52" t="str">
        <v>BIOSYN-LIPID-ocdca_c</v>
      </c>
      <c r="AC52" t="str">
        <v>MET-ocdca_c --&gt; 0.283469 BIO-ocdca_c</v>
      </c>
    </row>
    <row r="53" spans="1:29" ht="16" x14ac:dyDescent="0.2">
      <c r="A53" s="144" t="s">
        <v>1142</v>
      </c>
      <c r="B53" t="str">
        <f>SUBSTITUTE(_xlfn.TEXTBEFORE(mets9[[#This Row],[pasted JSON metabolite keys and values from GSM biomass rxn]],":"),CHAR(34),"")</f>
        <v>epist_c</v>
      </c>
      <c r="C53" t="str">
        <f>_xlfn.TEXTBEFORE(mets9[[#This Row],[name]],"_",-1)</f>
        <v>epist</v>
      </c>
      <c r="D53" t="str">
        <f>_xlfn.XLOOKUP(mets9[[#This Row],[name w/o location]],metaboliteInfo[name w/o location],metaboliteInfo[suggested category],"")</f>
        <v>LIPID</v>
      </c>
      <c r="E53" s="21">
        <f>_xlfn.XLOOKUP(mets9[[#This Row],[name w/o location]],metaboliteInfo[name w/o location],metaboliteInfo[MW for biomass normalization (g/mol)],0)</f>
        <v>398.66424000000001</v>
      </c>
      <c r="F53" s="21">
        <f>_xlfn.NUMBERVALUE(SUBSTITUTE(_xlfn.TEXTAFTER(mets9[[#This Row],[pasted JSON metabolite keys and values from GSM biomass rxn]],":"),",",""))</f>
        <v>-7.2766999999999998E-2</v>
      </c>
      <c r="G53" s="21" cm="1">
        <f t="array" ref="G53">_xlfn.LET(_xlpm.id,mets9[[#This Row],[name w/o location]],IF(IsElementOfSet_DIY(_xlpm.id,{"atp","adp","h","pi","h2o"}),SIGN(mets9[[#This Row],[raw (GSM) coefficient]])*(ABS(mets9[[#This Row],[raw (GSM) coefficient]])-$J$2),mets9[[#This Row],[raw (GSM) coefficient]]))</f>
        <v>-7.2766999999999998E-2</v>
      </c>
      <c r="H53" s="21">
        <f>mets9[[#This Row],[coeff. w/o GAM]]</f>
        <v>-7.2766999999999998E-2</v>
      </c>
      <c r="I53" s="161">
        <f t="shared" si="2"/>
        <v>-7.2766755618418999E-2</v>
      </c>
      <c r="J53" s="21" cm="1">
        <f t="array" ref="J53">_xlfn.LET(_xlpm.id,mets9[[#This Row],[name w/o location]],_xlpm.oldcoeff,mets9[[#This Row],[normalized coeffs]],_xlpm.gam,$J$2-$G$2,_xlfn.IFS(IFERROR(MATCH(_xlpm.id,{"atp","h2o"},0),0)&gt;0,_xlpm.oldcoeff-_xlpm.gam,IFERROR(MATCH(_xlpm.id,{"adp","h","pi"},0),0)&gt;0,_xlpm.oldcoeff+_xlpm.gam,TRUE,_xlpm.oldcoeff))</f>
        <v>-7.2766755618418999E-2</v>
      </c>
      <c r="K53" t="str" cm="1">
        <f t="array" ref="K53">"BIOSYN-"&amp;_xlfn.IFS(IFERROR(MATCH(mets9[[#This Row],[category]],{0,"0",""},0),0)&gt;0,mets9[[#This Row],[name]],TRUE,mets9[[#This Row],[category]]&amp;"-"&amp;mets9[[#This Row],[name]])</f>
        <v>BIOSYN-LIPID-epist_c</v>
      </c>
      <c r="L53" s="149" t="str" cm="1">
        <f t="array" ref="L53">IF(IsElementOfSet_DIY(mets9[[#This Row],[category]],{"ignore","PROT"}),"",_xlfn.LET(_xlpm.mw,mets9[[#This Row],[MW for biomass normalization (g/mol)]],"MET-"&amp;mets9[[#This Row],[name]]&amp;" --&gt; "&amp;IF((mets9[[#This Row],[category]]="DNA")+(mets9[[#This Row],[category]]="RNA"),"MET-ppi_c + ","")&amp;ROUND(ABS(_xlpm.mw/1000),6)&amp;" BIO-"&amp;mets9[[#This Row],[name]]))</f>
        <v>MET-epist_c --&gt; 0.398664 BIO-epist_c</v>
      </c>
      <c r="M53" s="149" cm="1">
        <f t="array" ref="M5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-7.2767311226357545E-2</v>
      </c>
      <c r="N53" s="149"/>
      <c r="O53" s="149"/>
      <c r="P53" s="149"/>
      <c r="Q53" s="149"/>
      <c r="R53" s="149"/>
      <c r="S53" s="149"/>
      <c r="T53" s="149"/>
      <c r="U53" s="149"/>
      <c r="V53" s="149"/>
      <c r="AB53" t="str">
        <v>BIOSYN-LIPID-ocdcea_c</v>
      </c>
      <c r="AC53" t="str">
        <v>MET-ocdcea_c --&gt; 0.281453 BIO-ocdcea_c</v>
      </c>
    </row>
    <row r="54" spans="1:29" ht="16" x14ac:dyDescent="0.2">
      <c r="A54" s="144" t="s">
        <v>1151</v>
      </c>
      <c r="B54" t="str">
        <f>SUBSTITUTE(_xlfn.TEXTBEFORE(mets9[[#This Row],[pasted JSON metabolite keys and values from GSM biomass rxn]],":"),CHAR(34),"")</f>
        <v>hdca_c</v>
      </c>
      <c r="C54" t="str">
        <f>_xlfn.TEXTBEFORE(mets9[[#This Row],[name]],"_",-1)</f>
        <v>hdca</v>
      </c>
      <c r="D54" t="str">
        <f>_xlfn.XLOOKUP(mets9[[#This Row],[name w/o location]],metaboliteInfo[name w/o location],metaboliteInfo[suggested category],"")</f>
        <v>LIPID</v>
      </c>
      <c r="E54" s="21">
        <f>_xlfn.XLOOKUP(mets9[[#This Row],[name w/o location]],metaboliteInfo[name w/o location],metaboliteInfo[MW for biomass normalization (g/mol)],0)</f>
        <v>255.41533999999999</v>
      </c>
      <c r="F54" s="21">
        <f>_xlfn.NUMBERVALUE(SUBSTITUTE(_xlfn.TEXTAFTER(mets9[[#This Row],[pasted JSON metabolite keys and values from GSM biomass rxn]],":"),",",""))</f>
        <v>-3.39E-4</v>
      </c>
      <c r="G54" s="21" cm="1">
        <f t="array" ref="G54">_xlfn.LET(_xlpm.id,mets9[[#This Row],[name w/o location]],IF(IsElementOfSet_DIY(_xlpm.id,{"atp","adp","h","pi","h2o"}),SIGN(mets9[[#This Row],[raw (GSM) coefficient]])*(ABS(mets9[[#This Row],[raw (GSM) coefficient]])-$J$2),mets9[[#This Row],[raw (GSM) coefficient]]))</f>
        <v>-3.39E-4</v>
      </c>
      <c r="H54" s="21">
        <f>mets9[[#This Row],[coeff. w/o GAM]]</f>
        <v>-3.39E-4</v>
      </c>
      <c r="I54" s="161">
        <f t="shared" si="2"/>
        <v>-3.3899886149826213E-4</v>
      </c>
      <c r="J54" s="21" cm="1">
        <f t="array" ref="J54">_xlfn.LET(_xlpm.id,mets9[[#This Row],[name w/o location]],_xlpm.oldcoeff,mets9[[#This Row],[normalized coeffs]],_xlpm.gam,$J$2-$G$2,_xlfn.IFS(IFERROR(MATCH(_xlpm.id,{"atp","h2o"},0),0)&gt;0,_xlpm.oldcoeff-_xlpm.gam,IFERROR(MATCH(_xlpm.id,{"adp","h","pi"},0),0)&gt;0,_xlpm.oldcoeff+_xlpm.gam,TRUE,_xlpm.oldcoeff))</f>
        <v>-3.3899886149826213E-4</v>
      </c>
      <c r="K54" t="str" cm="1">
        <f t="array" ref="K54">"BIOSYN-"&amp;_xlfn.IFS(IFERROR(MATCH(mets9[[#This Row],[category]],{0,"0",""},0),0)&gt;0,mets9[[#This Row],[name]],TRUE,mets9[[#This Row],[category]]&amp;"-"&amp;mets9[[#This Row],[name]])</f>
        <v>BIOSYN-LIPID-hdca_c</v>
      </c>
      <c r="L54" s="149" t="str" cm="1">
        <f t="array" ref="L54">IF(IsElementOfSet_DIY(mets9[[#This Row],[category]],{"ignore","PROT"}),"",_xlfn.LET(_xlpm.mw,mets9[[#This Row],[MW for biomass normalization (g/mol)]],"MET-"&amp;mets9[[#This Row],[name]]&amp;" --&gt; "&amp;IF((mets9[[#This Row],[category]]="DNA")+(mets9[[#This Row],[category]]="RNA"),"MET-ppi_c + ","")&amp;ROUND(ABS(_xlpm.mw/1000),6)&amp;" BIO-"&amp;mets9[[#This Row],[name]]))</f>
        <v>MET-hdca_c --&gt; 0.255415 BIO-hdca_c</v>
      </c>
      <c r="M54" s="149" cm="1">
        <f t="array" ref="M5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-3.3900144991184472E-4</v>
      </c>
      <c r="N54" s="149"/>
      <c r="O54" s="149"/>
      <c r="P54" s="149"/>
      <c r="Q54" s="149"/>
      <c r="R54" s="149"/>
      <c r="S54" s="149"/>
      <c r="T54" s="149"/>
      <c r="U54" s="149"/>
      <c r="V54" s="149"/>
      <c r="AB54" t="str">
        <v>BIOSYN-LIPID-pail_c</v>
      </c>
      <c r="AC54" t="str">
        <v>MET-pail_c --&gt; 0.862149 BIO-pail_c</v>
      </c>
    </row>
    <row r="55" spans="1:29" ht="16" x14ac:dyDescent="0.2">
      <c r="A55" s="144" t="s">
        <v>1154</v>
      </c>
      <c r="B55" t="str">
        <f>SUBSTITUTE(_xlfn.TEXTBEFORE(mets9[[#This Row],[pasted JSON metabolite keys and values from GSM biomass rxn]],":"),CHAR(34),"")</f>
        <v>ipc_g</v>
      </c>
      <c r="C55" t="str">
        <f>_xlfn.TEXTBEFORE(mets9[[#This Row],[name]],"_",-1)</f>
        <v>ipc</v>
      </c>
      <c r="D55" t="str">
        <f>_xlfn.XLOOKUP(mets9[[#This Row],[name w/o location]],metaboliteInfo[name w/o location],metaboliteInfo[suggested category],"")</f>
        <v>LIPID</v>
      </c>
      <c r="E55" s="21">
        <f>_xlfn.XLOOKUP(mets9[[#This Row],[name w/o location]],metaboliteInfo[name w/o location],metaboliteInfo[MW for biomass normalization (g/mol)],0)</f>
        <v>915.26344200000005</v>
      </c>
      <c r="F55" s="21">
        <f>_xlfn.NUMBERVALUE(SUBSTITUTE(_xlfn.TEXTAFTER(mets9[[#This Row],[pasted JSON metabolite keys and values from GSM biomass rxn]],":"),",",""))</f>
        <v>-5.7330000000000002E-3</v>
      </c>
      <c r="G55" s="21" cm="1">
        <f t="array" ref="G55">_xlfn.LET(_xlpm.id,mets9[[#This Row],[name w/o location]],IF(IsElementOfSet_DIY(_xlpm.id,{"atp","adp","h","pi","h2o"}),SIGN(mets9[[#This Row],[raw (GSM) coefficient]])*(ABS(mets9[[#This Row],[raw (GSM) coefficient]])-$J$2),mets9[[#This Row],[raw (GSM) coefficient]]))</f>
        <v>-5.7330000000000002E-3</v>
      </c>
      <c r="H55" s="21">
        <f>mets9[[#This Row],[coeff. w/o GAM]]</f>
        <v>-5.7330000000000002E-3</v>
      </c>
      <c r="I55" s="161">
        <f t="shared" si="2"/>
        <v>-5.7329807462228226E-3</v>
      </c>
      <c r="J55" s="21" cm="1">
        <f t="array" ref="J55">_xlfn.LET(_xlpm.id,mets9[[#This Row],[name w/o location]],_xlpm.oldcoeff,mets9[[#This Row],[normalized coeffs]],_xlpm.gam,$J$2-$G$2,_xlfn.IFS(IFERROR(MATCH(_xlpm.id,{"atp","h2o"},0),0)&gt;0,_xlpm.oldcoeff-_xlpm.gam,IFERROR(MATCH(_xlpm.id,{"adp","h","pi"},0),0)&gt;0,_xlpm.oldcoeff+_xlpm.gam,TRUE,_xlpm.oldcoeff))</f>
        <v>-5.7329807462228226E-3</v>
      </c>
      <c r="K55" t="str" cm="1">
        <f t="array" ref="K55">"BIOSYN-"&amp;_xlfn.IFS(IFERROR(MATCH(mets9[[#This Row],[category]],{0,"0",""},0),0)&gt;0,mets9[[#This Row],[name]],TRUE,mets9[[#This Row],[category]]&amp;"-"&amp;mets9[[#This Row],[name]])</f>
        <v>BIOSYN-LIPID-ipc_g</v>
      </c>
      <c r="L55" s="149" t="str" cm="1">
        <f t="array" ref="L55">IF(IsElementOfSet_DIY(mets9[[#This Row],[category]],{"ignore","PROT"}),"",_xlfn.LET(_xlpm.mw,mets9[[#This Row],[MW for biomass normalization (g/mol)]],"MET-"&amp;mets9[[#This Row],[name]]&amp;" --&gt; "&amp;IF((mets9[[#This Row],[category]]="DNA")+(mets9[[#This Row],[category]]="RNA"),"MET-ppi_c + ","")&amp;ROUND(ABS(_xlpm.mw/1000),6)&amp;" BIO-"&amp;mets9[[#This Row],[name]]))</f>
        <v>MET-ipc_g --&gt; 0.915263 BIO-ipc_g</v>
      </c>
      <c r="M55" s="149" cm="1">
        <f t="array" ref="M5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-5.7330245201905779E-3</v>
      </c>
      <c r="N55" s="149"/>
      <c r="O55" s="149"/>
      <c r="P55" s="149"/>
      <c r="Q55" s="149"/>
      <c r="R55" s="149"/>
      <c r="S55" s="149"/>
      <c r="T55" s="149"/>
      <c r="U55" s="149"/>
      <c r="V55" s="149"/>
      <c r="AB55" t="str">
        <v>BIOSYN-LIPID-pc_c</v>
      </c>
      <c r="AC55" t="str">
        <v>MET-pc_c --&gt; 0.786166 BIO-pc_c</v>
      </c>
    </row>
    <row r="56" spans="1:29" ht="16" x14ac:dyDescent="0.2">
      <c r="A56" s="144" t="s">
        <v>1157</v>
      </c>
      <c r="B56" t="str">
        <f>SUBSTITUTE(_xlfn.TEXTBEFORE(mets9[[#This Row],[pasted JSON metabolite keys and values from GSM biomass rxn]],":"),CHAR(34),"")</f>
        <v>linoea_c</v>
      </c>
      <c r="C56" t="str">
        <f>_xlfn.TEXTBEFORE(mets9[[#This Row],[name]],"_",-1)</f>
        <v>linoea</v>
      </c>
      <c r="D56" t="str">
        <f>_xlfn.XLOOKUP(mets9[[#This Row],[name w/o location]],metaboliteInfo[name w/o location],metaboliteInfo[suggested category],"")</f>
        <v>LIPID</v>
      </c>
      <c r="E56" s="21">
        <f>_xlfn.XLOOKUP(mets9[[#This Row],[name w/o location]],metaboliteInfo[name w/o location],metaboliteInfo[MW for biomass normalization (g/mol)],0)</f>
        <v>279.43673999999999</v>
      </c>
      <c r="F56" s="21">
        <f>_xlfn.NUMBERVALUE(SUBSTITUTE(_xlfn.TEXTAFTER(mets9[[#This Row],[pasted JSON metabolite keys and values from GSM biomass rxn]],":"),",",""))</f>
        <v>-8.6499999999999999E-4</v>
      </c>
      <c r="G56" s="21" cm="1">
        <f t="array" ref="G56">_xlfn.LET(_xlpm.id,mets9[[#This Row],[name w/o location]],IF(IsElementOfSet_DIY(_xlpm.id,{"atp","adp","h","pi","h2o"}),SIGN(mets9[[#This Row],[raw (GSM) coefficient]])*(ABS(mets9[[#This Row],[raw (GSM) coefficient]])-$J$2),mets9[[#This Row],[raw (GSM) coefficient]]))</f>
        <v>-8.6499999999999999E-4</v>
      </c>
      <c r="H56" s="21">
        <f>mets9[[#This Row],[coeff. w/o GAM]]</f>
        <v>-8.6499999999999999E-4</v>
      </c>
      <c r="I56" s="161">
        <f t="shared" si="2"/>
        <v>-8.6499709497344171E-4</v>
      </c>
      <c r="J56" s="21" cm="1">
        <f t="array" ref="J56">_xlfn.LET(_xlpm.id,mets9[[#This Row],[name w/o location]],_xlpm.oldcoeff,mets9[[#This Row],[normalized coeffs]],_xlpm.gam,$J$2-$G$2,_xlfn.IFS(IFERROR(MATCH(_xlpm.id,{"atp","h2o"},0),0)&gt;0,_xlpm.oldcoeff-_xlpm.gam,IFERROR(MATCH(_xlpm.id,{"adp","h","pi"},0),0)&gt;0,_xlpm.oldcoeff+_xlpm.gam,TRUE,_xlpm.oldcoeff))</f>
        <v>-8.6499709497344171E-4</v>
      </c>
      <c r="K56" t="str" cm="1">
        <f t="array" ref="K56">"BIOSYN-"&amp;_xlfn.IFS(IFERROR(MATCH(mets9[[#This Row],[category]],{0,"0",""},0),0)&gt;0,mets9[[#This Row],[name]],TRUE,mets9[[#This Row],[category]]&amp;"-"&amp;mets9[[#This Row],[name]])</f>
        <v>BIOSYN-LIPID-linoea_c</v>
      </c>
      <c r="L56" s="149" t="str" cm="1">
        <f t="array" ref="L56">IF(IsElementOfSet_DIY(mets9[[#This Row],[category]],{"ignore","PROT"}),"",_xlfn.LET(_xlpm.mw,mets9[[#This Row],[MW for biomass normalization (g/mol)]],"MET-"&amp;mets9[[#This Row],[name]]&amp;" --&gt; "&amp;IF((mets9[[#This Row],[category]]="DNA")+(mets9[[#This Row],[category]]="RNA"),"MET-ppi_c + ","")&amp;ROUND(ABS(_xlpm.mw/1000),6)&amp;" BIO-"&amp;mets9[[#This Row],[name]]))</f>
        <v>MET-linoea_c --&gt; 0.279437 BIO-linoea_c</v>
      </c>
      <c r="M56" s="149" cm="1">
        <f t="array" ref="M5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-8.6500369962756837E-4</v>
      </c>
      <c r="N56" s="149"/>
      <c r="O56" s="149"/>
      <c r="P56" s="149"/>
      <c r="Q56" s="149"/>
      <c r="R56" s="149"/>
      <c r="S56" s="149"/>
      <c r="T56" s="149"/>
      <c r="U56" s="149"/>
      <c r="V56" s="149"/>
      <c r="AB56" t="str">
        <v>BIOSYN-LIPID-pe_c</v>
      </c>
      <c r="AC56" t="str">
        <v>MET-pe_c --&gt; 0.744086 BIO-pe_c</v>
      </c>
    </row>
    <row r="57" spans="1:29" ht="16" x14ac:dyDescent="0.2">
      <c r="A57" s="144" t="s">
        <v>1158</v>
      </c>
      <c r="B57" t="str">
        <f>SUBSTITUTE(_xlfn.TEXTBEFORE(mets9[[#This Row],[pasted JSON metabolite keys and values from GSM biomass rxn]],":"),CHAR(34),"")</f>
        <v>linolen_c</v>
      </c>
      <c r="C57" t="str">
        <f>_xlfn.TEXTBEFORE(mets9[[#This Row],[name]],"_",-1)</f>
        <v>linolen</v>
      </c>
      <c r="D57" t="str">
        <f>_xlfn.XLOOKUP(mets9[[#This Row],[name w/o location]],metaboliteInfo[name w/o location],metaboliteInfo[suggested category],"")</f>
        <v>LIPID</v>
      </c>
      <c r="E57" s="21">
        <f>_xlfn.XLOOKUP(mets9[[#This Row],[name w/o location]],metaboliteInfo[name w/o location],metaboliteInfo[MW for biomass normalization (g/mol)],0)</f>
        <v>277.42086</v>
      </c>
      <c r="F57" s="21">
        <f>_xlfn.NUMBERVALUE(SUBSTITUTE(_xlfn.TEXTAFTER(mets9[[#This Row],[pasted JSON metabolite keys and values from GSM biomass rxn]],":"),",",""))</f>
        <v>-2.32E-4</v>
      </c>
      <c r="G57" s="21" cm="1">
        <f t="array" ref="G57">_xlfn.LET(_xlpm.id,mets9[[#This Row],[name w/o location]],IF(IsElementOfSet_DIY(_xlpm.id,{"atp","adp","h","pi","h2o"}),SIGN(mets9[[#This Row],[raw (GSM) coefficient]])*(ABS(mets9[[#This Row],[raw (GSM) coefficient]])-$J$2),mets9[[#This Row],[raw (GSM) coefficient]]))</f>
        <v>-2.32E-4</v>
      </c>
      <c r="H57" s="21">
        <f>mets9[[#This Row],[coeff. w/o GAM]]</f>
        <v>-2.32E-4</v>
      </c>
      <c r="I57" s="161">
        <f t="shared" si="2"/>
        <v>-2.3199922084836817E-4</v>
      </c>
      <c r="J57" s="21" cm="1">
        <f t="array" ref="J57">_xlfn.LET(_xlpm.id,mets9[[#This Row],[name w/o location]],_xlpm.oldcoeff,mets9[[#This Row],[normalized coeffs]],_xlpm.gam,$J$2-$G$2,_xlfn.IFS(IFERROR(MATCH(_xlpm.id,{"atp","h2o"},0),0)&gt;0,_xlpm.oldcoeff-_xlpm.gam,IFERROR(MATCH(_xlpm.id,{"adp","h","pi"},0),0)&gt;0,_xlpm.oldcoeff+_xlpm.gam,TRUE,_xlpm.oldcoeff))</f>
        <v>-2.3199922084836817E-4</v>
      </c>
      <c r="K57" t="str" cm="1">
        <f t="array" ref="K57">"BIOSYN-"&amp;_xlfn.IFS(IFERROR(MATCH(mets9[[#This Row],[category]],{0,"0",""},0),0)&gt;0,mets9[[#This Row],[name]],TRUE,mets9[[#This Row],[category]]&amp;"-"&amp;mets9[[#This Row],[name]])</f>
        <v>BIOSYN-LIPID-linolen_c</v>
      </c>
      <c r="L57" s="149" t="str" cm="1">
        <f t="array" ref="L57">IF(IsElementOfSet_DIY(mets9[[#This Row],[category]],{"ignore","PROT"}),"",_xlfn.LET(_xlpm.mw,mets9[[#This Row],[MW for biomass normalization (g/mol)]],"MET-"&amp;mets9[[#This Row],[name]]&amp;" --&gt; "&amp;IF((mets9[[#This Row],[category]]="DNA")+(mets9[[#This Row],[category]]="RNA"),"MET-ppi_c + ","")&amp;ROUND(ABS(_xlpm.mw/1000),6)&amp;" BIO-"&amp;mets9[[#This Row],[name]]))</f>
        <v>MET-linolen_c --&gt; 0.277421 BIO-linolen_c</v>
      </c>
      <c r="M57" s="149" cm="1">
        <f t="array" ref="M5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-2.3200099227005302E-4</v>
      </c>
      <c r="N57" s="149"/>
      <c r="O57" s="149"/>
      <c r="P57" s="149"/>
      <c r="Q57" s="149"/>
      <c r="R57" s="149"/>
      <c r="S57" s="149"/>
      <c r="T57" s="149"/>
      <c r="U57" s="149"/>
      <c r="V57" s="149"/>
      <c r="AB57" t="str">
        <v>BIOSYN-LIPID-ps_c</v>
      </c>
      <c r="AC57" t="str">
        <v>MET-ps_c --&gt; 0.786079 BIO-ps_c</v>
      </c>
    </row>
    <row r="58" spans="1:29" ht="16" x14ac:dyDescent="0.2">
      <c r="A58" s="144" t="s">
        <v>1162</v>
      </c>
      <c r="B58" t="str">
        <f>SUBSTITUTE(_xlfn.TEXTBEFORE(mets9[[#This Row],[pasted JSON metabolite keys and values from GSM biomass rxn]],":"),CHAR(34),"")</f>
        <v>ocdca_c</v>
      </c>
      <c r="C58" t="str">
        <f>_xlfn.TEXTBEFORE(mets9[[#This Row],[name]],"_",-1)</f>
        <v>ocdca</v>
      </c>
      <c r="D58" t="str">
        <f>_xlfn.XLOOKUP(mets9[[#This Row],[name w/o location]],metaboliteInfo[name w/o location],metaboliteInfo[suggested category],"")</f>
        <v>LIPID</v>
      </c>
      <c r="E58" s="21">
        <f>_xlfn.XLOOKUP(mets9[[#This Row],[name w/o location]],metaboliteInfo[name w/o location],metaboliteInfo[MW for biomass normalization (g/mol)],0)</f>
        <v>283.46850000000001</v>
      </c>
      <c r="F58" s="21">
        <f>_xlfn.NUMBERVALUE(SUBSTITUTE(_xlfn.TEXTAFTER(mets9[[#This Row],[pasted JSON metabolite keys and values from GSM biomass rxn]],":"),",",""))</f>
        <v>-2.2599999999999999E-4</v>
      </c>
      <c r="G58" s="21" cm="1">
        <f t="array" ref="G58">_xlfn.LET(_xlpm.id,mets9[[#This Row],[name w/o location]],IF(IsElementOfSet_DIY(_xlpm.id,{"atp","adp","h","pi","h2o"}),SIGN(mets9[[#This Row],[raw (GSM) coefficient]])*(ABS(mets9[[#This Row],[raw (GSM) coefficient]])-$J$2),mets9[[#This Row],[raw (GSM) coefficient]]))</f>
        <v>-2.2599999999999999E-4</v>
      </c>
      <c r="H58" s="21">
        <f>mets9[[#This Row],[coeff. w/o GAM]]</f>
        <v>-2.2599999999999999E-4</v>
      </c>
      <c r="I58" s="161">
        <f t="shared" si="2"/>
        <v>-2.2599924099884141E-4</v>
      </c>
      <c r="J58" s="21" cm="1">
        <f t="array" ref="J58">_xlfn.LET(_xlpm.id,mets9[[#This Row],[name w/o location]],_xlpm.oldcoeff,mets9[[#This Row],[normalized coeffs]],_xlpm.gam,$J$2-$G$2,_xlfn.IFS(IFERROR(MATCH(_xlpm.id,{"atp","h2o"},0),0)&gt;0,_xlpm.oldcoeff-_xlpm.gam,IFERROR(MATCH(_xlpm.id,{"adp","h","pi"},0),0)&gt;0,_xlpm.oldcoeff+_xlpm.gam,TRUE,_xlpm.oldcoeff))</f>
        <v>-2.2599924099884141E-4</v>
      </c>
      <c r="K58" t="str" cm="1">
        <f t="array" ref="K58">"BIOSYN-"&amp;_xlfn.IFS(IFERROR(MATCH(mets9[[#This Row],[category]],{0,"0",""},0),0)&gt;0,mets9[[#This Row],[name]],TRUE,mets9[[#This Row],[category]]&amp;"-"&amp;mets9[[#This Row],[name]])</f>
        <v>BIOSYN-LIPID-ocdca_c</v>
      </c>
      <c r="L58" s="149" t="str" cm="1">
        <f t="array" ref="L58">IF(IsElementOfSet_DIY(mets9[[#This Row],[category]],{"ignore","PROT"}),"",_xlfn.LET(_xlpm.mw,mets9[[#This Row],[MW for biomass normalization (g/mol)]],"MET-"&amp;mets9[[#This Row],[name]]&amp;" --&gt; "&amp;IF((mets9[[#This Row],[category]]="DNA")+(mets9[[#This Row],[category]]="RNA"),"MET-ppi_c + ","")&amp;ROUND(ABS(_xlpm.mw/1000),6)&amp;" BIO-"&amp;mets9[[#This Row],[name]]))</f>
        <v>MET-ocdca_c --&gt; 0.283469 BIO-ocdca_c</v>
      </c>
      <c r="M58" s="149" cm="1">
        <f t="array" ref="M5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-2.2600096660789647E-4</v>
      </c>
      <c r="N58" s="149"/>
      <c r="O58" s="149"/>
      <c r="P58" s="149"/>
      <c r="Q58" s="149"/>
      <c r="R58" s="149"/>
      <c r="S58" s="149"/>
      <c r="T58" s="149"/>
      <c r="U58" s="149"/>
      <c r="V58" s="149"/>
      <c r="AB58" t="str">
        <v>BIOSYN-LIPID-tag_c</v>
      </c>
      <c r="AC58" t="str">
        <v>MET-tag_c --&gt; 0.885513 BIO-tag_c</v>
      </c>
    </row>
    <row r="59" spans="1:29" ht="16" x14ac:dyDescent="0.2">
      <c r="A59" s="144" t="s">
        <v>1163</v>
      </c>
      <c r="B59" t="str">
        <f>SUBSTITUTE(_xlfn.TEXTBEFORE(mets9[[#This Row],[pasted JSON metabolite keys and values from GSM biomass rxn]],":"),CHAR(34),"")</f>
        <v>ocdcea_c</v>
      </c>
      <c r="C59" t="str">
        <f>_xlfn.TEXTBEFORE(mets9[[#This Row],[name]],"_",-1)</f>
        <v>ocdcea</v>
      </c>
      <c r="D59" t="str">
        <f>_xlfn.XLOOKUP(mets9[[#This Row],[name w/o location]],metaboliteInfo[name w/o location],metaboliteInfo[suggested category],"")</f>
        <v>LIPID</v>
      </c>
      <c r="E59" s="21">
        <f>_xlfn.XLOOKUP(mets9[[#This Row],[name w/o location]],metaboliteInfo[name w/o location],metaboliteInfo[MW for biomass normalization (g/mol)],0)</f>
        <v>281.45262000000002</v>
      </c>
      <c r="F59" s="21">
        <f>_xlfn.NUMBERVALUE(SUBSTITUTE(_xlfn.TEXTAFTER(mets9[[#This Row],[pasted JSON metabolite keys and values from GSM biomass rxn]],":"),",",""))</f>
        <v>-4.1399999999999998E-4</v>
      </c>
      <c r="G59" s="21" cm="1">
        <f t="array" ref="G59">_xlfn.LET(_xlpm.id,mets9[[#This Row],[name w/o location]],IF(IsElementOfSet_DIY(_xlpm.id,{"atp","adp","h","pi","h2o"}),SIGN(mets9[[#This Row],[raw (GSM) coefficient]])*(ABS(mets9[[#This Row],[raw (GSM) coefficient]])-$J$2),mets9[[#This Row],[raw (GSM) coefficient]]))</f>
        <v>-4.1399999999999998E-4</v>
      </c>
      <c r="H59" s="21">
        <f>mets9[[#This Row],[coeff. w/o GAM]]</f>
        <v>-4.1399999999999998E-4</v>
      </c>
      <c r="I59" s="161">
        <f t="shared" si="2"/>
        <v>-4.1399860961734662E-4</v>
      </c>
      <c r="J59" s="21" cm="1">
        <f t="array" ref="J59">_xlfn.LET(_xlpm.id,mets9[[#This Row],[name w/o location]],_xlpm.oldcoeff,mets9[[#This Row],[normalized coeffs]],_xlpm.gam,$J$2-$G$2,_xlfn.IFS(IFERROR(MATCH(_xlpm.id,{"atp","h2o"},0),0)&gt;0,_xlpm.oldcoeff-_xlpm.gam,IFERROR(MATCH(_xlpm.id,{"adp","h","pi"},0),0)&gt;0,_xlpm.oldcoeff+_xlpm.gam,TRUE,_xlpm.oldcoeff))</f>
        <v>-4.1399860961734662E-4</v>
      </c>
      <c r="K59" t="str" cm="1">
        <f t="array" ref="K59">"BIOSYN-"&amp;_xlfn.IFS(IFERROR(MATCH(mets9[[#This Row],[category]],{0,"0",""},0),0)&gt;0,mets9[[#This Row],[name]],TRUE,mets9[[#This Row],[category]]&amp;"-"&amp;mets9[[#This Row],[name]])</f>
        <v>BIOSYN-LIPID-ocdcea_c</v>
      </c>
      <c r="L59" s="149" t="str" cm="1">
        <f t="array" ref="L59">IF(IsElementOfSet_DIY(mets9[[#This Row],[category]],{"ignore","PROT"}),"",_xlfn.LET(_xlpm.mw,mets9[[#This Row],[MW for biomass normalization (g/mol)]],"MET-"&amp;mets9[[#This Row],[name]]&amp;" --&gt; "&amp;IF((mets9[[#This Row],[category]]="DNA")+(mets9[[#This Row],[category]]="RNA"),"MET-ppi_c + ","")&amp;ROUND(ABS(_xlpm.mw/1000),6)&amp;" BIO-"&amp;mets9[[#This Row],[name]]))</f>
        <v>MET-ocdcea_c --&gt; 0.281453 BIO-ocdcea_c</v>
      </c>
      <c r="M59" s="149" cm="1">
        <f t="array" ref="M5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-4.1400177068880146E-4</v>
      </c>
      <c r="N59" s="149"/>
      <c r="O59" s="149"/>
      <c r="P59" s="149"/>
      <c r="Q59" s="149"/>
      <c r="R59" s="149"/>
      <c r="S59" s="149"/>
      <c r="T59" s="149"/>
      <c r="U59" s="149"/>
      <c r="V59" s="149"/>
      <c r="AB59" t="str">
        <v>BIOSYN-LIPID-ttcosa_c</v>
      </c>
      <c r="AC59" t="str">
        <v>MET-ttcosa_c --&gt; 0.367628 BIO-ttcosa_c</v>
      </c>
    </row>
    <row r="60" spans="1:29" ht="16" x14ac:dyDescent="0.2">
      <c r="A60" s="144" t="s">
        <v>1165</v>
      </c>
      <c r="B60" t="str">
        <f>SUBSTITUTE(_xlfn.TEXTBEFORE(mets9[[#This Row],[pasted JSON metabolite keys and values from GSM biomass rxn]],":"),CHAR(34),"")</f>
        <v>pail_c</v>
      </c>
      <c r="C60" t="str">
        <f>_xlfn.TEXTBEFORE(mets9[[#This Row],[name]],"_",-1)</f>
        <v>pail</v>
      </c>
      <c r="D60" t="str">
        <f>_xlfn.XLOOKUP(mets9[[#This Row],[name w/o location]],metaboliteInfo[name w/o location],metaboliteInfo[suggested category],"")</f>
        <v>LIPID</v>
      </c>
      <c r="E60" s="21">
        <f>_xlfn.XLOOKUP(mets9[[#This Row],[name w/o location]],metaboliteInfo[name w/o location],metaboliteInfo[MW for biomass normalization (g/mol)],0)</f>
        <v>862.14885442176001</v>
      </c>
      <c r="F60" s="21">
        <f>_xlfn.NUMBERVALUE(SUBSTITUTE(_xlfn.TEXTAFTER(mets9[[#This Row],[pasted JSON metabolite keys and values from GSM biomass rxn]],":"),",",""))</f>
        <v>-1.5561999999999999E-2</v>
      </c>
      <c r="G60" s="21" cm="1">
        <f t="array" ref="G60">_xlfn.LET(_xlpm.id,mets9[[#This Row],[name w/o location]],IF(IsElementOfSet_DIY(_xlpm.id,{"atp","adp","h","pi","h2o"}),SIGN(mets9[[#This Row],[raw (GSM) coefficient]])*(ABS(mets9[[#This Row],[raw (GSM) coefficient]])-$J$2),mets9[[#This Row],[raw (GSM) coefficient]]))</f>
        <v>-1.5561999999999999E-2</v>
      </c>
      <c r="H60" s="21">
        <f>mets9[[#This Row],[coeff. w/o GAM]]</f>
        <v>-1.5561999999999999E-2</v>
      </c>
      <c r="I60" s="161">
        <f t="shared" si="2"/>
        <v>-1.5561947736389248E-2</v>
      </c>
      <c r="J60" s="21" cm="1">
        <f t="array" ref="J60">_xlfn.LET(_xlpm.id,mets9[[#This Row],[name w/o location]],_xlpm.oldcoeff,mets9[[#This Row],[normalized coeffs]],_xlpm.gam,$J$2-$G$2,_xlfn.IFS(IFERROR(MATCH(_xlpm.id,{"atp","h2o"},0),0)&gt;0,_xlpm.oldcoeff-_xlpm.gam,IFERROR(MATCH(_xlpm.id,{"adp","h","pi"},0),0)&gt;0,_xlpm.oldcoeff+_xlpm.gam,TRUE,_xlpm.oldcoeff))</f>
        <v>-1.5561947736389248E-2</v>
      </c>
      <c r="K60" t="str" cm="1">
        <f t="array" ref="K60">"BIOSYN-"&amp;_xlfn.IFS(IFERROR(MATCH(mets9[[#This Row],[category]],{0,"0",""},0),0)&gt;0,mets9[[#This Row],[name]],TRUE,mets9[[#This Row],[category]]&amp;"-"&amp;mets9[[#This Row],[name]])</f>
        <v>BIOSYN-LIPID-pail_c</v>
      </c>
      <c r="L60" s="149" t="str" cm="1">
        <f t="array" ref="L60">IF(IsElementOfSet_DIY(mets9[[#This Row],[category]],{"ignore","PROT"}),"",_xlfn.LET(_xlpm.mw,mets9[[#This Row],[MW for biomass normalization (g/mol)]],"MET-"&amp;mets9[[#This Row],[name]]&amp;" --&gt; "&amp;IF((mets9[[#This Row],[category]]="DNA")+(mets9[[#This Row],[category]]="RNA"),"MET-ppi_c + ","")&amp;ROUND(ABS(_xlpm.mw/1000),6)&amp;" BIO-"&amp;mets9[[#This Row],[name]]))</f>
        <v>MET-pail_c --&gt; 0.862149 BIO-pail_c</v>
      </c>
      <c r="M60" s="149" cm="1">
        <f t="array" ref="M6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-1.5562066559080021E-2</v>
      </c>
      <c r="N60" s="149"/>
      <c r="O60" s="149"/>
      <c r="P60" s="149"/>
      <c r="Q60" s="149"/>
      <c r="R60" s="149"/>
      <c r="S60" s="149"/>
      <c r="T60" s="149"/>
      <c r="U60" s="149"/>
      <c r="V60" s="149"/>
      <c r="AB60" t="str">
        <v>BIOSYN-METAL-ca2_c</v>
      </c>
      <c r="AC60" t="str">
        <v>MET-ca2_c --&gt; 0.040078 BIO-ca2_c</v>
      </c>
    </row>
    <row r="61" spans="1:29" ht="16" x14ac:dyDescent="0.2">
      <c r="A61" s="144" t="s">
        <v>1166</v>
      </c>
      <c r="B61" t="str">
        <f>SUBSTITUTE(_xlfn.TEXTBEFORE(mets9[[#This Row],[pasted JSON metabolite keys and values from GSM biomass rxn]],":"),CHAR(34),"")</f>
        <v>pc_c</v>
      </c>
      <c r="C61" t="str">
        <f>_xlfn.TEXTBEFORE(mets9[[#This Row],[name]],"_",-1)</f>
        <v>pc</v>
      </c>
      <c r="D61" t="str">
        <f>_xlfn.XLOOKUP(mets9[[#This Row],[name w/o location]],metaboliteInfo[name w/o location],metaboliteInfo[suggested category],"")</f>
        <v>LIPID</v>
      </c>
      <c r="E61" s="21">
        <f>_xlfn.XLOOKUP(mets9[[#This Row],[name w/o location]],metaboliteInfo[name w/o location],metaboliteInfo[MW for biomass normalization (g/mol)],0)</f>
        <v>786.16573442176002</v>
      </c>
      <c r="F61" s="21">
        <f>_xlfn.NUMBERVALUE(SUBSTITUTE(_xlfn.TEXTAFTER(mets9[[#This Row],[pasted JSON metabolite keys and values from GSM biomass rxn]],":"),",",""))</f>
        <v>-2.9204000000000001E-2</v>
      </c>
      <c r="G61" s="21" cm="1">
        <f t="array" ref="G61">_xlfn.LET(_xlpm.id,mets9[[#This Row],[name w/o location]],IF(IsElementOfSet_DIY(_xlpm.id,{"atp","adp","h","pi","h2o"}),SIGN(mets9[[#This Row],[raw (GSM) coefficient]])*(ABS(mets9[[#This Row],[raw (GSM) coefficient]])-$J$2),mets9[[#This Row],[raw (GSM) coefficient]]))</f>
        <v>-2.9204000000000001E-2</v>
      </c>
      <c r="H61" s="21">
        <f>mets9[[#This Row],[coeff. w/o GAM]]</f>
        <v>-2.9204000000000001E-2</v>
      </c>
      <c r="I61" s="161">
        <f t="shared" si="2"/>
        <v>-2.9203901920929934E-2</v>
      </c>
      <c r="J61" s="21" cm="1">
        <f t="array" ref="J61">_xlfn.LET(_xlpm.id,mets9[[#This Row],[name w/o location]],_xlpm.oldcoeff,mets9[[#This Row],[normalized coeffs]],_xlpm.gam,$J$2-$G$2,_xlfn.IFS(IFERROR(MATCH(_xlpm.id,{"atp","h2o"},0),0)&gt;0,_xlpm.oldcoeff-_xlpm.gam,IFERROR(MATCH(_xlpm.id,{"adp","h","pi"},0),0)&gt;0,_xlpm.oldcoeff+_xlpm.gam,TRUE,_xlpm.oldcoeff))</f>
        <v>-2.9203901920929934E-2</v>
      </c>
      <c r="K61" t="str" cm="1">
        <f t="array" ref="K61">"BIOSYN-"&amp;_xlfn.IFS(IFERROR(MATCH(mets9[[#This Row],[category]],{0,"0",""},0),0)&gt;0,mets9[[#This Row],[name]],TRUE,mets9[[#This Row],[category]]&amp;"-"&amp;mets9[[#This Row],[name]])</f>
        <v>BIOSYN-LIPID-pc_c</v>
      </c>
      <c r="L61" s="149" t="str" cm="1">
        <f t="array" ref="L61">IF(IsElementOfSet_DIY(mets9[[#This Row],[category]],{"ignore","PROT"}),"",_xlfn.LET(_xlpm.mw,mets9[[#This Row],[MW for biomass normalization (g/mol)]],"MET-"&amp;mets9[[#This Row],[name]]&amp;" --&gt; "&amp;IF((mets9[[#This Row],[category]]="DNA")+(mets9[[#This Row],[category]]="RNA"),"MET-ppi_c + ","")&amp;ROUND(ABS(_xlpm.mw/1000),6)&amp;" BIO-"&amp;mets9[[#This Row],[name]]))</f>
        <v>MET-pc_c --&gt; 0.786166 BIO-pc_c</v>
      </c>
      <c r="M61" s="149" cm="1">
        <f t="array" ref="M6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-2.9204124906269953E-2</v>
      </c>
      <c r="N61" s="149"/>
      <c r="O61" s="149"/>
      <c r="P61" s="149"/>
      <c r="Q61" s="149"/>
      <c r="R61" s="149"/>
      <c r="S61" s="149"/>
      <c r="T61" s="149"/>
      <c r="U61" s="149"/>
      <c r="V61" s="149"/>
      <c r="AB61" t="str">
        <v>BIOSYN-METAL-cu2_c</v>
      </c>
      <c r="AC61" t="str">
        <v>MET-cu2_c --&gt; 0.063546 BIO-cu2_c</v>
      </c>
    </row>
    <row r="62" spans="1:29" ht="16" x14ac:dyDescent="0.2">
      <c r="A62" s="144" t="s">
        <v>1167</v>
      </c>
      <c r="B62" t="str">
        <f>SUBSTITUTE(_xlfn.TEXTBEFORE(mets9[[#This Row],[pasted JSON metabolite keys and values from GSM biomass rxn]],":"),CHAR(34),"")</f>
        <v>pe_c</v>
      </c>
      <c r="C62" t="str">
        <f>_xlfn.TEXTBEFORE(mets9[[#This Row],[name]],"_",-1)</f>
        <v>pe</v>
      </c>
      <c r="D62" t="str">
        <f>_xlfn.XLOOKUP(mets9[[#This Row],[name w/o location]],metaboliteInfo[name w/o location],metaboliteInfo[suggested category],"")</f>
        <v>LIPID</v>
      </c>
      <c r="E62" s="21">
        <f>_xlfn.XLOOKUP(mets9[[#This Row],[name w/o location]],metaboliteInfo[name w/o location],metaboliteInfo[MW for biomass normalization (g/mol)],0)</f>
        <v>744.08599442176001</v>
      </c>
      <c r="F62" s="21">
        <f>_xlfn.NUMBERVALUE(SUBSTITUTE(_xlfn.TEXTAFTER(mets9[[#This Row],[pasted JSON metabolite keys and values from GSM biomass rxn]],":"),",",""))</f>
        <v>-7.0540000000000004E-3</v>
      </c>
      <c r="G62" s="21" cm="1">
        <f t="array" ref="G62">_xlfn.LET(_xlpm.id,mets9[[#This Row],[name w/o location]],IF(IsElementOfSet_DIY(_xlpm.id,{"atp","adp","h","pi","h2o"}),SIGN(mets9[[#This Row],[raw (GSM) coefficient]])*(ABS(mets9[[#This Row],[raw (GSM) coefficient]])-$J$2),mets9[[#This Row],[raw (GSM) coefficient]]))</f>
        <v>-7.0540000000000004E-3</v>
      </c>
      <c r="H62" s="21">
        <f>mets9[[#This Row],[coeff. w/o GAM]]</f>
        <v>-7.0540000000000004E-3</v>
      </c>
      <c r="I62" s="161">
        <f t="shared" si="2"/>
        <v>-7.0539763097602981E-3</v>
      </c>
      <c r="J62" s="21" cm="1">
        <f t="array" ref="J62">_xlfn.LET(_xlpm.id,mets9[[#This Row],[name w/o location]],_xlpm.oldcoeff,mets9[[#This Row],[normalized coeffs]],_xlpm.gam,$J$2-$G$2,_xlfn.IFS(IFERROR(MATCH(_xlpm.id,{"atp","h2o"},0),0)&gt;0,_xlpm.oldcoeff-_xlpm.gam,IFERROR(MATCH(_xlpm.id,{"adp","h","pi"},0),0)&gt;0,_xlpm.oldcoeff+_xlpm.gam,TRUE,_xlpm.oldcoeff))</f>
        <v>-7.0539763097602981E-3</v>
      </c>
      <c r="K62" t="str" cm="1">
        <f t="array" ref="K62">"BIOSYN-"&amp;_xlfn.IFS(IFERROR(MATCH(mets9[[#This Row],[category]],{0,"0",""},0),0)&gt;0,mets9[[#This Row],[name]],TRUE,mets9[[#This Row],[category]]&amp;"-"&amp;mets9[[#This Row],[name]])</f>
        <v>BIOSYN-LIPID-pe_c</v>
      </c>
      <c r="L62" s="149" t="str" cm="1">
        <f t="array" ref="L62">IF(IsElementOfSet_DIY(mets9[[#This Row],[category]],{"ignore","PROT"}),"",_xlfn.LET(_xlpm.mw,mets9[[#This Row],[MW for biomass normalization (g/mol)]],"MET-"&amp;mets9[[#This Row],[name]]&amp;" --&gt; "&amp;IF((mets9[[#This Row],[category]]="DNA")+(mets9[[#This Row],[category]]="RNA"),"MET-ppi_c + ","")&amp;ROUND(ABS(_xlpm.mw/1000),6)&amp;" BIO-"&amp;mets9[[#This Row],[name]]))</f>
        <v>MET-pe_c --&gt; 0.744086 BIO-pe_c</v>
      </c>
      <c r="M62" s="149" cm="1">
        <f t="array" ref="M6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-7.054030170142043E-3</v>
      </c>
      <c r="N62" s="149"/>
      <c r="O62" s="149"/>
      <c r="P62" s="149"/>
      <c r="Q62" s="149"/>
      <c r="R62" s="149"/>
      <c r="S62" s="149"/>
      <c r="T62" s="149"/>
      <c r="U62" s="149"/>
      <c r="V62" s="149"/>
      <c r="AB62" t="str">
        <v>BIOSYN-METAL-fe2_c</v>
      </c>
      <c r="AC62" t="str">
        <v>MET-fe2_c --&gt; 0.055845 BIO-fe2_c</v>
      </c>
    </row>
    <row r="63" spans="1:29" ht="16" x14ac:dyDescent="0.2">
      <c r="A63" s="144" t="s">
        <v>1172</v>
      </c>
      <c r="B63" t="str">
        <f>SUBSTITUTE(_xlfn.TEXTBEFORE(mets9[[#This Row],[pasted JSON metabolite keys and values from GSM biomass rxn]],":"),CHAR(34),"")</f>
        <v>ps_c</v>
      </c>
      <c r="C63" t="str">
        <f>_xlfn.TEXTBEFORE(mets9[[#This Row],[name]],"_",-1)</f>
        <v>ps</v>
      </c>
      <c r="D63" t="str">
        <f>_xlfn.XLOOKUP(mets9[[#This Row],[name w/o location]],metaboliteInfo[name w/o location],metaboliteInfo[suggested category],"")</f>
        <v>LIPID</v>
      </c>
      <c r="E63" s="21">
        <f>_xlfn.XLOOKUP(mets9[[#This Row],[name w/o location]],metaboliteInfo[name w/o location],metaboliteInfo[MW for biomass normalization (g/mol)],0)</f>
        <v>786.07881442175994</v>
      </c>
      <c r="F63" s="21">
        <f>_xlfn.NUMBERVALUE(SUBSTITUTE(_xlfn.TEXTAFTER(mets9[[#This Row],[pasted JSON metabolite keys and values from GSM biomass rxn]],":"),",",""))</f>
        <v>-3.7829999999999999E-3</v>
      </c>
      <c r="G63" s="21" cm="1">
        <f t="array" ref="G63">_xlfn.LET(_xlpm.id,mets9[[#This Row],[name w/o location]],IF(IsElementOfSet_DIY(_xlpm.id,{"atp","adp","h","pi","h2o"}),SIGN(mets9[[#This Row],[raw (GSM) coefficient]])*(ABS(mets9[[#This Row],[raw (GSM) coefficient]])-$J$2),mets9[[#This Row],[raw (GSM) coefficient]]))</f>
        <v>-3.7829999999999999E-3</v>
      </c>
      <c r="H63" s="21">
        <f>mets9[[#This Row],[coeff. w/o GAM]]</f>
        <v>-3.7829999999999999E-3</v>
      </c>
      <c r="I63" s="161">
        <f t="shared" si="2"/>
        <v>-3.7829872951266243E-3</v>
      </c>
      <c r="J63" s="21" cm="1">
        <f t="array" ref="J63">_xlfn.LET(_xlpm.id,mets9[[#This Row],[name w/o location]],_xlpm.oldcoeff,mets9[[#This Row],[normalized coeffs]],_xlpm.gam,$J$2-$G$2,_xlfn.IFS(IFERROR(MATCH(_xlpm.id,{"atp","h2o"},0),0)&gt;0,_xlpm.oldcoeff-_xlpm.gam,IFERROR(MATCH(_xlpm.id,{"adp","h","pi"},0),0)&gt;0,_xlpm.oldcoeff+_xlpm.gam,TRUE,_xlpm.oldcoeff))</f>
        <v>-3.7829872951266243E-3</v>
      </c>
      <c r="K63" t="str" cm="1">
        <f t="array" ref="K63">"BIOSYN-"&amp;_xlfn.IFS(IFERROR(MATCH(mets9[[#This Row],[category]],{0,"0",""},0),0)&gt;0,mets9[[#This Row],[name]],TRUE,mets9[[#This Row],[category]]&amp;"-"&amp;mets9[[#This Row],[name]])</f>
        <v>BIOSYN-LIPID-ps_c</v>
      </c>
      <c r="L63" s="149" t="str" cm="1">
        <f t="array" ref="L63">IF(IsElementOfSet_DIY(mets9[[#This Row],[category]],{"ignore","PROT"}),"",_xlfn.LET(_xlpm.mw,mets9[[#This Row],[MW for biomass normalization (g/mol)]],"MET-"&amp;mets9[[#This Row],[name]]&amp;" --&gt; "&amp;IF((mets9[[#This Row],[category]]="DNA")+(mets9[[#This Row],[category]]="RNA"),"MET-ppi_c + ","")&amp;ROUND(ABS(_xlpm.mw/1000),6)&amp;" BIO-"&amp;mets9[[#This Row],[name]]))</f>
        <v>MET-ps_c --&gt; 0.786079 BIO-ps_c</v>
      </c>
      <c r="M63" s="149" cm="1">
        <f t="array" ref="M6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-3.7830161799897008E-3</v>
      </c>
      <c r="N63" s="149"/>
      <c r="O63" s="149"/>
      <c r="P63" s="149"/>
      <c r="Q63" s="149"/>
      <c r="R63" s="149"/>
      <c r="S63" s="149"/>
      <c r="T63" s="149"/>
      <c r="U63" s="149"/>
      <c r="V63" s="149"/>
      <c r="AB63" t="str">
        <v>BIOSYN-METAL-k_c</v>
      </c>
      <c r="AC63" t="str">
        <v>MET-k_c --&gt; 0.039098 BIO-k_c</v>
      </c>
    </row>
    <row r="64" spans="1:29" ht="16" x14ac:dyDescent="0.2">
      <c r="A64" s="144" t="s">
        <v>1175</v>
      </c>
      <c r="B64" t="str">
        <f>SUBSTITUTE(_xlfn.TEXTBEFORE(mets9[[#This Row],[pasted JSON metabolite keys and values from GSM biomass rxn]],":"),CHAR(34),"")</f>
        <v>tag_c</v>
      </c>
      <c r="C64" t="str">
        <f>_xlfn.TEXTBEFORE(mets9[[#This Row],[name]],"_",-1)</f>
        <v>tag</v>
      </c>
      <c r="D64" t="str">
        <f>_xlfn.XLOOKUP(mets9[[#This Row],[name w/o location]],metaboliteInfo[name w/o location],metaboliteInfo[suggested category],"")</f>
        <v>LIPID</v>
      </c>
      <c r="E64" s="21">
        <f>_xlfn.XLOOKUP(mets9[[#This Row],[name w/o location]],metaboliteInfo[name w/o location],metaboliteInfo[MW for biomass normalization (g/mol)],0)</f>
        <v>885.51292863263996</v>
      </c>
      <c r="F64" s="21">
        <f>_xlfn.NUMBERVALUE(SUBSTITUTE(_xlfn.TEXTAFTER(mets9[[#This Row],[pasted JSON metabolite keys and values from GSM biomass rxn]],":"),",",""))</f>
        <v>-8.9709999999999998E-3</v>
      </c>
      <c r="G64" s="21" cm="1">
        <f t="array" ref="G64">_xlfn.LET(_xlpm.id,mets9[[#This Row],[name w/o location]],IF(IsElementOfSet_DIY(_xlpm.id,{"atp","adp","h","pi","h2o"}),SIGN(mets9[[#This Row],[raw (GSM) coefficient]])*(ABS(mets9[[#This Row],[raw (GSM) coefficient]])-$J$2),mets9[[#This Row],[raw (GSM) coefficient]]))</f>
        <v>-8.9709999999999998E-3</v>
      </c>
      <c r="H64" s="21">
        <f>mets9[[#This Row],[coeff. w/o GAM]]</f>
        <v>-8.9709999999999998E-3</v>
      </c>
      <c r="I64" s="161">
        <f t="shared" si="2"/>
        <v>-8.9709698716840987E-3</v>
      </c>
      <c r="J64" s="21" cm="1">
        <f t="array" ref="J64">_xlfn.LET(_xlpm.id,mets9[[#This Row],[name w/o location]],_xlpm.oldcoeff,mets9[[#This Row],[normalized coeffs]],_xlpm.gam,$J$2-$G$2,_xlfn.IFS(IFERROR(MATCH(_xlpm.id,{"atp","h2o"},0),0)&gt;0,_xlpm.oldcoeff-_xlpm.gam,IFERROR(MATCH(_xlpm.id,{"adp","h","pi"},0),0)&gt;0,_xlpm.oldcoeff+_xlpm.gam,TRUE,_xlpm.oldcoeff))</f>
        <v>-8.9709698716840987E-3</v>
      </c>
      <c r="K64" t="str" cm="1">
        <f t="array" ref="K64">"BIOSYN-"&amp;_xlfn.IFS(IFERROR(MATCH(mets9[[#This Row],[category]],{0,"0",""},0),0)&gt;0,mets9[[#This Row],[name]],TRUE,mets9[[#This Row],[category]]&amp;"-"&amp;mets9[[#This Row],[name]])</f>
        <v>BIOSYN-LIPID-tag_c</v>
      </c>
      <c r="L64" s="149" t="str" cm="1">
        <f t="array" ref="L64">IF(IsElementOfSet_DIY(mets9[[#This Row],[category]],{"ignore","PROT"}),"",_xlfn.LET(_xlpm.mw,mets9[[#This Row],[MW for biomass normalization (g/mol)]],"MET-"&amp;mets9[[#This Row],[name]]&amp;" --&gt; "&amp;IF((mets9[[#This Row],[category]]="DNA")+(mets9[[#This Row],[category]]="RNA"),"MET-ppi_c + ","")&amp;ROUND(ABS(_xlpm.mw/1000),6)&amp;" BIO-"&amp;mets9[[#This Row],[name]]))</f>
        <v>MET-tag_c --&gt; 0.885513 BIO-tag_c</v>
      </c>
      <c r="M64" s="149" cm="1">
        <f t="array" ref="M6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-8.9710383692010592E-3</v>
      </c>
      <c r="N64" s="149"/>
      <c r="O64" s="149"/>
      <c r="P64" s="149"/>
      <c r="Q64" s="149"/>
      <c r="R64" s="149"/>
      <c r="S64" s="149"/>
      <c r="T64" s="149"/>
      <c r="U64" s="149"/>
      <c r="V64" s="149"/>
      <c r="AB64" t="str">
        <v>BIOSYN-METAL-mg2_c</v>
      </c>
      <c r="AC64" t="str">
        <v>MET-mg2_c --&gt; 0.024305 BIO-mg2_c</v>
      </c>
    </row>
    <row r="65" spans="1:29" ht="16" x14ac:dyDescent="0.2">
      <c r="A65" s="144" t="s">
        <v>1198</v>
      </c>
      <c r="B65" t="str">
        <f>SUBSTITUTE(_xlfn.TEXTBEFORE(mets9[[#This Row],[pasted JSON metabolite keys and values from GSM biomass rxn]],":"),CHAR(34),"")</f>
        <v>ttcosa_c</v>
      </c>
      <c r="C65" t="str">
        <f>_xlfn.TEXTBEFORE(mets9[[#This Row],[name]],"_",-1)</f>
        <v>ttcosa</v>
      </c>
      <c r="D65" t="str">
        <f>_xlfn.XLOOKUP(mets9[[#This Row],[name w/o location]],metaboliteInfo[name w/o location],metaboliteInfo[suggested category],"")</f>
        <v>LIPID</v>
      </c>
      <c r="E65" s="21">
        <f>_xlfn.XLOOKUP(mets9[[#This Row],[name w/o location]],metaboliteInfo[name w/o location],metaboliteInfo[MW for biomass normalization (g/mol)],0)</f>
        <v>367.62797999999998</v>
      </c>
      <c r="F65" s="21">
        <f>_xlfn.NUMBERVALUE(SUBSTITUTE(_xlfn.TEXTAFTER(mets9[[#This Row],[pasted JSON metabolite keys and values from GSM biomass rxn]],":"),",",""))</f>
        <v>-1.7899999999999999E-4</v>
      </c>
      <c r="G65" s="21" cm="1">
        <f t="array" ref="G65">_xlfn.LET(_xlpm.id,mets9[[#This Row],[name w/o location]],IF(IsElementOfSet_DIY(_xlpm.id,{"atp","adp","h","pi","h2o"}),SIGN(mets9[[#This Row],[raw (GSM) coefficient]])*(ABS(mets9[[#This Row],[raw (GSM) coefficient]])-$J$2),mets9[[#This Row],[raw (GSM) coefficient]]))</f>
        <v>-1.7899999999999999E-4</v>
      </c>
      <c r="H65" s="21">
        <f>mets9[[#This Row],[coeff. w/o GAM]]</f>
        <v>-1.7899999999999999E-4</v>
      </c>
      <c r="I65" s="161">
        <f t="shared" si="2"/>
        <v>-1.7899939884421509E-4</v>
      </c>
      <c r="J65" s="21" cm="1">
        <f t="array" ref="J65">_xlfn.LET(_xlpm.id,mets9[[#This Row],[name w/o location]],_xlpm.oldcoeff,mets9[[#This Row],[normalized coeffs]],_xlpm.gam,$J$2-$G$2,_xlfn.IFS(IFERROR(MATCH(_xlpm.id,{"atp","h2o"},0),0)&gt;0,_xlpm.oldcoeff-_xlpm.gam,IFERROR(MATCH(_xlpm.id,{"adp","h","pi"},0),0)&gt;0,_xlpm.oldcoeff+_xlpm.gam,TRUE,_xlpm.oldcoeff))</f>
        <v>-1.7899939884421509E-4</v>
      </c>
      <c r="K65" t="str" cm="1">
        <f t="array" ref="K65">"BIOSYN-"&amp;_xlfn.IFS(IFERROR(MATCH(mets9[[#This Row],[category]],{0,"0",""},0),0)&gt;0,mets9[[#This Row],[name]],TRUE,mets9[[#This Row],[category]]&amp;"-"&amp;mets9[[#This Row],[name]])</f>
        <v>BIOSYN-LIPID-ttcosa_c</v>
      </c>
      <c r="L65" s="149" t="str" cm="1">
        <f t="array" ref="L65">IF(IsElementOfSet_DIY(mets9[[#This Row],[category]],{"ignore","PROT"}),"",_xlfn.LET(_xlpm.mw,mets9[[#This Row],[MW for biomass normalization (g/mol)]],"MET-"&amp;mets9[[#This Row],[name]]&amp;" --&gt; "&amp;IF((mets9[[#This Row],[category]]="DNA")+(mets9[[#This Row],[category]]="RNA"),"MET-ppi_c + ","")&amp;ROUND(ABS(_xlpm.mw/1000),6)&amp;" BIO-"&amp;mets9[[#This Row],[name]]))</f>
        <v>MET-ttcosa_c --&gt; 0.367628 BIO-ttcosa_c</v>
      </c>
      <c r="M65" s="149" cm="1">
        <f t="array" ref="M6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-1.7900076558767021E-4</v>
      </c>
      <c r="N65" s="149"/>
      <c r="O65" s="149"/>
      <c r="P65" s="149"/>
      <c r="Q65" s="149"/>
      <c r="R65" s="149"/>
      <c r="S65" s="149"/>
      <c r="T65" s="149"/>
      <c r="U65" s="149"/>
      <c r="V65" s="149"/>
      <c r="AB65" t="str">
        <v>BIOSYN-METAL-mn2_c</v>
      </c>
      <c r="AC65" t="str">
        <v>MET-mn2_c --&gt; 0.054938 BIO-mn2_c</v>
      </c>
    </row>
    <row r="66" spans="1:29" ht="16" x14ac:dyDescent="0.2">
      <c r="A66" s="144" t="s">
        <v>1133</v>
      </c>
      <c r="B66" t="str">
        <f>SUBSTITUTE(_xlfn.TEXTBEFORE(mets9[[#This Row],[pasted JSON metabolite keys and values from GSM biomass rxn]],":"),CHAR(34),"")</f>
        <v>ca2_c</v>
      </c>
      <c r="C66" t="str">
        <f>_xlfn.TEXTBEFORE(mets9[[#This Row],[name]],"_",-1)</f>
        <v>ca2</v>
      </c>
      <c r="D66" t="str">
        <f>_xlfn.XLOOKUP(mets9[[#This Row],[name w/o location]],metaboliteInfo[name w/o location],metaboliteInfo[suggested category],"")</f>
        <v>METAL</v>
      </c>
      <c r="E66" s="21">
        <f>_xlfn.XLOOKUP(mets9[[#This Row],[name w/o location]],metaboliteInfo[name w/o location],metaboliteInfo[MW for biomass normalization (g/mol)],0)</f>
        <v>40.078000000000003</v>
      </c>
      <c r="F66" s="21">
        <f>_xlfn.NUMBERVALUE(SUBSTITUTE(_xlfn.TEXTAFTER(mets9[[#This Row],[pasted JSON metabolite keys and values from GSM biomass rxn]],":"),",",""))</f>
        <v>-1.284E-3</v>
      </c>
      <c r="G66" s="21" cm="1">
        <f t="array" ref="G66">_xlfn.LET(_xlpm.id,mets9[[#This Row],[name w/o location]],IF(IsElementOfSet_DIY(_xlpm.id,{"atp","adp","h","pi","h2o"}),SIGN(mets9[[#This Row],[raw (GSM) coefficient]])*(ABS(mets9[[#This Row],[raw (GSM) coefficient]])-$J$2),mets9[[#This Row],[raw (GSM) coefficient]]))</f>
        <v>-1.284E-3</v>
      </c>
      <c r="H66" s="21">
        <f>mets9[[#This Row],[coeff. w/o GAM]]</f>
        <v>-1.284E-3</v>
      </c>
      <c r="I66" s="161">
        <f t="shared" si="2"/>
        <v>-1.2839956877987273E-3</v>
      </c>
      <c r="J66" s="21" cm="1">
        <f t="array" ref="J66">_xlfn.LET(_xlpm.id,mets9[[#This Row],[name w/o location]],_xlpm.oldcoeff,mets9[[#This Row],[normalized coeffs]],_xlpm.gam,$J$2-$G$2,_xlfn.IFS(IFERROR(MATCH(_xlpm.id,{"atp","h2o"},0),0)&gt;0,_xlpm.oldcoeff-_xlpm.gam,IFERROR(MATCH(_xlpm.id,{"adp","h","pi"},0),0)&gt;0,_xlpm.oldcoeff+_xlpm.gam,TRUE,_xlpm.oldcoeff))</f>
        <v>-1.2839956877987273E-3</v>
      </c>
      <c r="K66" t="str" cm="1">
        <f t="array" ref="K66">"BIOSYN-"&amp;_xlfn.IFS(IFERROR(MATCH(mets9[[#This Row],[category]],{0,"0",""},0),0)&gt;0,mets9[[#This Row],[name]],TRUE,mets9[[#This Row],[category]]&amp;"-"&amp;mets9[[#This Row],[name]])</f>
        <v>BIOSYN-METAL-ca2_c</v>
      </c>
      <c r="L66" s="149" t="str" cm="1">
        <f t="array" ref="L66">IF(IsElementOfSet_DIY(mets9[[#This Row],[category]],{"ignore","PROT"}),"",_xlfn.LET(_xlpm.mw,mets9[[#This Row],[MW for biomass normalization (g/mol)]],"MET-"&amp;mets9[[#This Row],[name]]&amp;" --&gt; "&amp;IF((mets9[[#This Row],[category]]="DNA")+(mets9[[#This Row],[category]]="RNA"),"MET-ppi_c + ","")&amp;ROUND(ABS(_xlpm.mw/1000),6)&amp;" BIO-"&amp;mets9[[#This Row],[name]]))</f>
        <v>MET-ca2_c --&gt; 0.040078 BIO-ca2_c</v>
      </c>
      <c r="M66" s="149" cm="1">
        <f t="array" ref="M6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-1.2839956877987273E-3</v>
      </c>
      <c r="N66" s="149"/>
      <c r="O66" s="149"/>
      <c r="P66" s="149"/>
      <c r="Q66" s="149"/>
      <c r="R66" s="149"/>
      <c r="S66" s="149"/>
      <c r="T66" s="149"/>
      <c r="U66" s="149"/>
      <c r="V66" s="149"/>
      <c r="AB66" t="str">
        <v>BIOSYN-METAL-zn2_c</v>
      </c>
      <c r="AC66" t="str">
        <v>MET-zn2_c --&gt; 0.06538 BIO-zn2_c</v>
      </c>
    </row>
    <row r="67" spans="1:29" ht="16" x14ac:dyDescent="0.2">
      <c r="A67" s="144" t="s">
        <v>966</v>
      </c>
      <c r="B67" t="str">
        <f>SUBSTITUTE(_xlfn.TEXTBEFORE(mets9[[#This Row],[pasted JSON metabolite keys and values from GSM biomass rxn]],":"),CHAR(34),"")</f>
        <v>cu2_c</v>
      </c>
      <c r="C67" t="str">
        <f>_xlfn.TEXTBEFORE(mets9[[#This Row],[name]],"_",-1)</f>
        <v>cu2</v>
      </c>
      <c r="D67" t="str">
        <f>_xlfn.XLOOKUP(mets9[[#This Row],[name w/o location]],metaboliteInfo[name w/o location],metaboliteInfo[suggested category],"")</f>
        <v>METAL</v>
      </c>
      <c r="E67" s="21">
        <f>_xlfn.XLOOKUP(mets9[[#This Row],[name w/o location]],metaboliteInfo[name w/o location],metaboliteInfo[MW for biomass normalization (g/mol)],0)</f>
        <v>63.545999999999999</v>
      </c>
      <c r="F67" s="21">
        <f>_xlfn.NUMBERVALUE(SUBSTITUTE(_xlfn.TEXTAFTER(mets9[[#This Row],[pasted JSON metabolite keys and values from GSM biomass rxn]],":"),",",""))</f>
        <v>-1.1400000000000001E-4</v>
      </c>
      <c r="G67" s="21" cm="1">
        <f t="array" ref="G67">_xlfn.LET(_xlpm.id,mets9[[#This Row],[name w/o location]],IF(IsElementOfSet_DIY(_xlpm.id,{"atp","adp","h","pi","h2o"}),SIGN(mets9[[#This Row],[raw (GSM) coefficient]])*(ABS(mets9[[#This Row],[raw (GSM) coefficient]])-$J$2),mets9[[#This Row],[raw (GSM) coefficient]]))</f>
        <v>-1.1400000000000001E-4</v>
      </c>
      <c r="H67" s="21">
        <f>mets9[[#This Row],[coeff. w/o GAM]]</f>
        <v>-1.1400000000000001E-4</v>
      </c>
      <c r="I67" s="161">
        <f t="shared" si="2"/>
        <v>-1.1399961714100851E-4</v>
      </c>
      <c r="J67" s="21" cm="1">
        <f t="array" ref="J67">_xlfn.LET(_xlpm.id,mets9[[#This Row],[name w/o location]],_xlpm.oldcoeff,mets9[[#This Row],[normalized coeffs]],_xlpm.gam,$J$2-$G$2,_xlfn.IFS(IFERROR(MATCH(_xlpm.id,{"atp","h2o"},0),0)&gt;0,_xlpm.oldcoeff-_xlpm.gam,IFERROR(MATCH(_xlpm.id,{"adp","h","pi"},0),0)&gt;0,_xlpm.oldcoeff+_xlpm.gam,TRUE,_xlpm.oldcoeff))</f>
        <v>-1.1399961714100851E-4</v>
      </c>
      <c r="K67" t="str" cm="1">
        <f t="array" ref="K67">"BIOSYN-"&amp;_xlfn.IFS(IFERROR(MATCH(mets9[[#This Row],[category]],{0,"0",""},0),0)&gt;0,mets9[[#This Row],[name]],TRUE,mets9[[#This Row],[category]]&amp;"-"&amp;mets9[[#This Row],[name]])</f>
        <v>BIOSYN-METAL-cu2_c</v>
      </c>
      <c r="L67" s="149" t="str" cm="1">
        <f t="array" ref="L67">IF(IsElementOfSet_DIY(mets9[[#This Row],[category]],{"ignore","PROT"}),"",_xlfn.LET(_xlpm.mw,mets9[[#This Row],[MW for biomass normalization (g/mol)]],"MET-"&amp;mets9[[#This Row],[name]]&amp;" --&gt; "&amp;IF((mets9[[#This Row],[category]]="DNA")+(mets9[[#This Row],[category]]="RNA"),"MET-ppi_c + ","")&amp;ROUND(ABS(_xlpm.mw/1000),6)&amp;" BIO-"&amp;mets9[[#This Row],[name]]))</f>
        <v>MET-cu2_c --&gt; 0.063546 BIO-cu2_c</v>
      </c>
      <c r="M67" s="149" cm="1">
        <f t="array" ref="M6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-1.1399961714100851E-4</v>
      </c>
      <c r="N67" s="149"/>
      <c r="O67" s="149"/>
      <c r="P67" s="149"/>
      <c r="Q67" s="149"/>
      <c r="R67" s="149"/>
      <c r="S67" s="149"/>
      <c r="T67" s="149"/>
      <c r="U67" s="149"/>
      <c r="V67" s="149"/>
      <c r="AB67" t="str">
        <v>BIOSYN-PI-pi_c</v>
      </c>
      <c r="AC67" t="str">
        <v>MET-pi_c --&gt; 0.095979 BIO-pi_c</v>
      </c>
    </row>
    <row r="68" spans="1:29" ht="16" x14ac:dyDescent="0.2">
      <c r="A68" s="144" t="s">
        <v>1143</v>
      </c>
      <c r="B68" t="str">
        <f>SUBSTITUTE(_xlfn.TEXTBEFORE(mets9[[#This Row],[pasted JSON metabolite keys and values from GSM biomass rxn]],":"),CHAR(34),"")</f>
        <v>fe2_c</v>
      </c>
      <c r="C68" t="str">
        <f>_xlfn.TEXTBEFORE(mets9[[#This Row],[name]],"_",-1)</f>
        <v>fe2</v>
      </c>
      <c r="D68" t="str">
        <f>_xlfn.XLOOKUP(mets9[[#This Row],[name w/o location]],metaboliteInfo[name w/o location],metaboliteInfo[suggested category],"")</f>
        <v>METAL</v>
      </c>
      <c r="E68" s="21">
        <f>_xlfn.XLOOKUP(mets9[[#This Row],[name w/o location]],metaboliteInfo[name w/o location],metaboliteInfo[MW for biomass normalization (g/mol)],0)</f>
        <v>55.844999999999999</v>
      </c>
      <c r="F68" s="21">
        <f>_xlfn.NUMBERVALUE(SUBSTITUTE(_xlfn.TEXTAFTER(mets9[[#This Row],[pasted JSON metabolite keys and values from GSM biomass rxn]],":"),",",""))</f>
        <v>-6.6299999999999996E-4</v>
      </c>
      <c r="G68" s="21" cm="1">
        <f t="array" ref="G68">_xlfn.LET(_xlpm.id,mets9[[#This Row],[name w/o location]],IF(IsElementOfSet_DIY(_xlpm.id,{"atp","adp","h","pi","h2o"}),SIGN(mets9[[#This Row],[raw (GSM) coefficient]])*(ABS(mets9[[#This Row],[raw (GSM) coefficient]])-$J$2),mets9[[#This Row],[raw (GSM) coefficient]]))</f>
        <v>-6.6299999999999996E-4</v>
      </c>
      <c r="H68" s="21">
        <f>mets9[[#This Row],[coeff. w/o GAM]]</f>
        <v>-6.6299999999999996E-4</v>
      </c>
      <c r="I68" s="161">
        <f t="shared" si="2"/>
        <v>-6.6299777337270726E-4</v>
      </c>
      <c r="J68" s="21" cm="1">
        <f t="array" ref="J68">_xlfn.LET(_xlpm.id,mets9[[#This Row],[name w/o location]],_xlpm.oldcoeff,mets9[[#This Row],[normalized coeffs]],_xlpm.gam,$J$2-$G$2,_xlfn.IFS(IFERROR(MATCH(_xlpm.id,{"atp","h2o"},0),0)&gt;0,_xlpm.oldcoeff-_xlpm.gam,IFERROR(MATCH(_xlpm.id,{"adp","h","pi"},0),0)&gt;0,_xlpm.oldcoeff+_xlpm.gam,TRUE,_xlpm.oldcoeff))</f>
        <v>-6.6299777337270726E-4</v>
      </c>
      <c r="K68" t="str" cm="1">
        <f t="array" ref="K68">"BIOSYN-"&amp;_xlfn.IFS(IFERROR(MATCH(mets9[[#This Row],[category]],{0,"0",""},0),0)&gt;0,mets9[[#This Row],[name]],TRUE,mets9[[#This Row],[category]]&amp;"-"&amp;mets9[[#This Row],[name]])</f>
        <v>BIOSYN-METAL-fe2_c</v>
      </c>
      <c r="L68" s="149" t="str" cm="1">
        <f t="array" ref="L68">IF(IsElementOfSet_DIY(mets9[[#This Row],[category]],{"ignore","PROT"}),"",_xlfn.LET(_xlpm.mw,mets9[[#This Row],[MW for biomass normalization (g/mol)]],"MET-"&amp;mets9[[#This Row],[name]]&amp;" --&gt; "&amp;IF((mets9[[#This Row],[category]]="DNA")+(mets9[[#This Row],[category]]="RNA"),"MET-ppi_c + ","")&amp;ROUND(ABS(_xlpm.mw/1000),6)&amp;" BIO-"&amp;mets9[[#This Row],[name]]))</f>
        <v>MET-fe2_c --&gt; 0.055845 BIO-fe2_c</v>
      </c>
      <c r="M68" s="149" cm="1">
        <f t="array" ref="M6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-6.6299777337270726E-4</v>
      </c>
      <c r="N68" s="149"/>
      <c r="O68" s="149"/>
      <c r="P68" s="149"/>
      <c r="Q68" s="149"/>
      <c r="R68" s="149"/>
      <c r="S68" s="149"/>
      <c r="T68" s="149"/>
      <c r="U68" s="149"/>
      <c r="V68" s="149"/>
      <c r="AB68" t="str">
        <v>BIOSYN-RNA-atp_c</v>
      </c>
      <c r="AC68" t="str">
        <v>MET-atp_c --&gt; MET-ppi_c + 0.328198 BIO-atp_c</v>
      </c>
    </row>
    <row r="69" spans="1:29" ht="16" x14ac:dyDescent="0.2">
      <c r="A69" s="144" t="s">
        <v>1155</v>
      </c>
      <c r="B69" t="str">
        <f>SUBSTITUTE(_xlfn.TEXTBEFORE(mets9[[#This Row],[pasted JSON metabolite keys and values from GSM biomass rxn]],":"),CHAR(34),"")</f>
        <v>k_c</v>
      </c>
      <c r="C69" t="str">
        <f>_xlfn.TEXTBEFORE(mets9[[#This Row],[name]],"_",-1)</f>
        <v>k</v>
      </c>
      <c r="D69" t="str">
        <f>_xlfn.XLOOKUP(mets9[[#This Row],[name w/o location]],metaboliteInfo[name w/o location],metaboliteInfo[suggested category],"")</f>
        <v>METAL</v>
      </c>
      <c r="E69" s="21">
        <f>_xlfn.XLOOKUP(mets9[[#This Row],[name w/o location]],metaboliteInfo[name w/o location],metaboliteInfo[MW for biomass normalization (g/mol)],0)</f>
        <v>39.098300000000002</v>
      </c>
      <c r="F69" s="21">
        <f>_xlfn.NUMBERVALUE(SUBSTITUTE(_xlfn.TEXTAFTER(mets9[[#This Row],[pasted JSON metabolite keys and values from GSM biomass rxn]],":"),",",""))</f>
        <v>-0.60252600000000001</v>
      </c>
      <c r="G69" s="21" cm="1">
        <f t="array" ref="G69">_xlfn.LET(_xlpm.id,mets9[[#This Row],[name w/o location]],IF(IsElementOfSet_DIY(_xlpm.id,{"atp","adp","h","pi","h2o"}),SIGN(mets9[[#This Row],[raw (GSM) coefficient]])*(ABS(mets9[[#This Row],[raw (GSM) coefficient]])-$J$2),mets9[[#This Row],[raw (GSM) coefficient]]))</f>
        <v>-0.60252600000000001</v>
      </c>
      <c r="H69" s="21">
        <f>mets9[[#This Row],[coeff. w/o GAM]]</f>
        <v>-0.60252600000000001</v>
      </c>
      <c r="I69" s="161">
        <f t="shared" si="2"/>
        <v>-0.60252397646932709</v>
      </c>
      <c r="J69" s="21" cm="1">
        <f t="array" ref="J69">_xlfn.LET(_xlpm.id,mets9[[#This Row],[name w/o location]],_xlpm.oldcoeff,mets9[[#This Row],[normalized coeffs]],_xlpm.gam,$J$2-$G$2,_xlfn.IFS(IFERROR(MATCH(_xlpm.id,{"atp","h2o"},0),0)&gt;0,_xlpm.oldcoeff-_xlpm.gam,IFERROR(MATCH(_xlpm.id,{"adp","h","pi"},0),0)&gt;0,_xlpm.oldcoeff+_xlpm.gam,TRUE,_xlpm.oldcoeff))</f>
        <v>-0.60252397646932709</v>
      </c>
      <c r="K69" t="str" cm="1">
        <f t="array" ref="K69">"BIOSYN-"&amp;_xlfn.IFS(IFERROR(MATCH(mets9[[#This Row],[category]],{0,"0",""},0),0)&gt;0,mets9[[#This Row],[name]],TRUE,mets9[[#This Row],[category]]&amp;"-"&amp;mets9[[#This Row],[name]])</f>
        <v>BIOSYN-METAL-k_c</v>
      </c>
      <c r="L69" s="149" t="str" cm="1">
        <f t="array" ref="L69">IF(IsElementOfSet_DIY(mets9[[#This Row],[category]],{"ignore","PROT"}),"",_xlfn.LET(_xlpm.mw,mets9[[#This Row],[MW for biomass normalization (g/mol)]],"MET-"&amp;mets9[[#This Row],[name]]&amp;" --&gt; "&amp;IF((mets9[[#This Row],[category]]="DNA")+(mets9[[#This Row],[category]]="RNA"),"MET-ppi_c + ","")&amp;ROUND(ABS(_xlpm.mw/1000),6)&amp;" BIO-"&amp;mets9[[#This Row],[name]]))</f>
        <v>MET-k_c --&gt; 0.039098 BIO-k_c</v>
      </c>
      <c r="M69" s="149" cm="1">
        <f t="array" ref="M6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-0.60252397646932709</v>
      </c>
      <c r="N69" s="149"/>
      <c r="O69" s="149"/>
      <c r="P69" s="149"/>
      <c r="Q69" s="149"/>
      <c r="R69" s="149"/>
      <c r="S69" s="149"/>
      <c r="T69" s="149"/>
      <c r="U69" s="149"/>
      <c r="V69" s="149"/>
      <c r="AB69" t="str">
        <v>BIOSYN-RNA-ctp_c</v>
      </c>
      <c r="AC69" t="str">
        <v>MET-ctp_c --&gt; MET-ppi_c + 0.304173 BIO-ctp_c</v>
      </c>
    </row>
    <row r="70" spans="1:29" ht="16" x14ac:dyDescent="0.2">
      <c r="A70" s="144" t="s">
        <v>1161</v>
      </c>
      <c r="B70" t="str">
        <f>SUBSTITUTE(_xlfn.TEXTBEFORE(mets9[[#This Row],[pasted JSON metabolite keys and values from GSM biomass rxn]],":"),CHAR(34),"")</f>
        <v>mg2_c</v>
      </c>
      <c r="C70" t="str">
        <f>_xlfn.TEXTBEFORE(mets9[[#This Row],[name]],"_",-1)</f>
        <v>mg2</v>
      </c>
      <c r="D70" t="str">
        <f>_xlfn.XLOOKUP(mets9[[#This Row],[name w/o location]],metaboliteInfo[name w/o location],metaboliteInfo[suggested category],"")</f>
        <v>METAL</v>
      </c>
      <c r="E70" s="21">
        <f>_xlfn.XLOOKUP(mets9[[#This Row],[name w/o location]],metaboliteInfo[name w/o location],metaboliteInfo[MW for biomass normalization (g/mol)],0)</f>
        <v>24.305</v>
      </c>
      <c r="F70" s="21">
        <f>_xlfn.NUMBERVALUE(SUBSTITUTE(_xlfn.TEXTAFTER(mets9[[#This Row],[pasted JSON metabolite keys and values from GSM biomass rxn]],":"),",",""))</f>
        <v>-6.3489000000000004E-2</v>
      </c>
      <c r="G70" s="21" cm="1">
        <f t="array" ref="G70">_xlfn.LET(_xlpm.id,mets9[[#This Row],[name w/o location]],IF(IsElementOfSet_DIY(_xlpm.id,{"atp","adp","h","pi","h2o"}),SIGN(mets9[[#This Row],[raw (GSM) coefficient]])*(ABS(mets9[[#This Row],[raw (GSM) coefficient]])-$J$2),mets9[[#This Row],[raw (GSM) coefficient]]))</f>
        <v>-6.3489000000000004E-2</v>
      </c>
      <c r="H70" s="21">
        <f>mets9[[#This Row],[coeff. w/o GAM]]</f>
        <v>-6.3489000000000004E-2</v>
      </c>
      <c r="I70" s="161">
        <f t="shared" ref="I70:I98" si="3">H70/($H$3)</f>
        <v>-6.3488786777767453E-2</v>
      </c>
      <c r="J70" s="21" cm="1">
        <f t="array" ref="J70">_xlfn.LET(_xlpm.id,mets9[[#This Row],[name w/o location]],_xlpm.oldcoeff,mets9[[#This Row],[normalized coeffs]],_xlpm.gam,$J$2-$G$2,_xlfn.IFS(IFERROR(MATCH(_xlpm.id,{"atp","h2o"},0),0)&gt;0,_xlpm.oldcoeff-_xlpm.gam,IFERROR(MATCH(_xlpm.id,{"adp","h","pi"},0),0)&gt;0,_xlpm.oldcoeff+_xlpm.gam,TRUE,_xlpm.oldcoeff))</f>
        <v>-6.3488786777767453E-2</v>
      </c>
      <c r="K70" t="str" cm="1">
        <f t="array" ref="K70">"BIOSYN-"&amp;_xlfn.IFS(IFERROR(MATCH(mets9[[#This Row],[category]],{0,"0",""},0),0)&gt;0,mets9[[#This Row],[name]],TRUE,mets9[[#This Row],[category]]&amp;"-"&amp;mets9[[#This Row],[name]])</f>
        <v>BIOSYN-METAL-mg2_c</v>
      </c>
      <c r="L70" s="149" t="str" cm="1">
        <f t="array" ref="L70">IF(IsElementOfSet_DIY(mets9[[#This Row],[category]],{"ignore","PROT"}),"",_xlfn.LET(_xlpm.mw,mets9[[#This Row],[MW for biomass normalization (g/mol)]],"MET-"&amp;mets9[[#This Row],[name]]&amp;" --&gt; "&amp;IF((mets9[[#This Row],[category]]="DNA")+(mets9[[#This Row],[category]]="RNA"),"MET-ppi_c + ","")&amp;ROUND(ABS(_xlpm.mw/1000),6)&amp;" BIO-"&amp;mets9[[#This Row],[name]]))</f>
        <v>MET-mg2_c --&gt; 0.024305 BIO-mg2_c</v>
      </c>
      <c r="M70" s="149" cm="1">
        <f t="array" ref="M7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-6.3488786777767453E-2</v>
      </c>
      <c r="N70" s="149"/>
      <c r="O70" s="149"/>
      <c r="P70" s="149"/>
      <c r="Q70" s="149"/>
      <c r="R70" s="149"/>
      <c r="S70" s="149"/>
      <c r="T70" s="149"/>
      <c r="U70" s="149"/>
      <c r="V70" s="149"/>
      <c r="AB70" t="str">
        <v>BIOSYN-RNA-gtp_c</v>
      </c>
      <c r="AC70" t="str">
        <v>MET-gtp_c --&gt; MET-ppi_c + 0.344197 BIO-gtp_c</v>
      </c>
    </row>
    <row r="71" spans="1:29" ht="16" x14ac:dyDescent="0.2">
      <c r="A71" s="144" t="s">
        <v>992</v>
      </c>
      <c r="B71" t="str">
        <f>SUBSTITUTE(_xlfn.TEXTBEFORE(mets9[[#This Row],[pasted JSON metabolite keys and values from GSM biomass rxn]],":"),CHAR(34),"")</f>
        <v>mn2_c</v>
      </c>
      <c r="C71" t="str">
        <f>_xlfn.TEXTBEFORE(mets9[[#This Row],[name]],"_",-1)</f>
        <v>mn2</v>
      </c>
      <c r="D71" t="str">
        <f>_xlfn.XLOOKUP(mets9[[#This Row],[name w/o location]],metaboliteInfo[name w/o location],metaboliteInfo[suggested category],"")</f>
        <v>METAL</v>
      </c>
      <c r="E71" s="21">
        <f>_xlfn.XLOOKUP(mets9[[#This Row],[name w/o location]],metaboliteInfo[name w/o location],metaboliteInfo[MW for biomass normalization (g/mol)],0)</f>
        <v>54.938043999999998</v>
      </c>
      <c r="F71" s="21">
        <f>_xlfn.NUMBERVALUE(SUBSTITUTE(_xlfn.TEXTAFTER(mets9[[#This Row],[pasted JSON metabolite keys and values from GSM biomass rxn]],":"),",",""))</f>
        <v>-9.3999999999999994E-5</v>
      </c>
      <c r="G71" s="21" cm="1">
        <f t="array" ref="G71">_xlfn.LET(_xlpm.id,mets9[[#This Row],[name w/o location]],IF(IsElementOfSet_DIY(_xlpm.id,{"atp","adp","h","pi","h2o"}),SIGN(mets9[[#This Row],[raw (GSM) coefficient]])*(ABS(mets9[[#This Row],[raw (GSM) coefficient]])-$J$2),mets9[[#This Row],[raw (GSM) coefficient]]))</f>
        <v>-9.3999999999999994E-5</v>
      </c>
      <c r="H71" s="21">
        <f>mets9[[#This Row],[coeff. w/o GAM]]</f>
        <v>-9.3999999999999994E-5</v>
      </c>
      <c r="I71" s="161">
        <f t="shared" si="3"/>
        <v>-9.399968430925262E-5</v>
      </c>
      <c r="J71" s="21" cm="1">
        <f t="array" ref="J71">_xlfn.LET(_xlpm.id,mets9[[#This Row],[name w/o location]],_xlpm.oldcoeff,mets9[[#This Row],[normalized coeffs]],_xlpm.gam,$J$2-$G$2,_xlfn.IFS(IFERROR(MATCH(_xlpm.id,{"atp","h2o"},0),0)&gt;0,_xlpm.oldcoeff-_xlpm.gam,IFERROR(MATCH(_xlpm.id,{"adp","h","pi"},0),0)&gt;0,_xlpm.oldcoeff+_xlpm.gam,TRUE,_xlpm.oldcoeff))</f>
        <v>-9.399968430925262E-5</v>
      </c>
      <c r="K71" t="str" cm="1">
        <f t="array" ref="K71">"BIOSYN-"&amp;_xlfn.IFS(IFERROR(MATCH(mets9[[#This Row],[category]],{0,"0",""},0),0)&gt;0,mets9[[#This Row],[name]],TRUE,mets9[[#This Row],[category]]&amp;"-"&amp;mets9[[#This Row],[name]])</f>
        <v>BIOSYN-METAL-mn2_c</v>
      </c>
      <c r="L71" s="149" t="str" cm="1">
        <f t="array" ref="L71">IF(IsElementOfSet_DIY(mets9[[#This Row],[category]],{"ignore","PROT"}),"",_xlfn.LET(_xlpm.mw,mets9[[#This Row],[MW for biomass normalization (g/mol)]],"MET-"&amp;mets9[[#This Row],[name]]&amp;" --&gt; "&amp;IF((mets9[[#This Row],[category]]="DNA")+(mets9[[#This Row],[category]]="RNA"),"MET-ppi_c + ","")&amp;ROUND(ABS(_xlpm.mw/1000),6)&amp;" BIO-"&amp;mets9[[#This Row],[name]]))</f>
        <v>MET-mn2_c --&gt; 0.054938 BIO-mn2_c</v>
      </c>
      <c r="M71" s="149" cm="1">
        <f t="array" ref="M7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-9.399968430925262E-5</v>
      </c>
      <c r="N71" s="149"/>
      <c r="O71" s="149"/>
      <c r="P71" s="149"/>
      <c r="Q71" s="149"/>
      <c r="R71" s="149"/>
      <c r="S71" s="149"/>
      <c r="T71" s="149"/>
      <c r="U71" s="149"/>
      <c r="V71" s="149"/>
      <c r="AB71" t="str">
        <v>BIOSYN-RNA-utp_c</v>
      </c>
      <c r="AC71" t="str">
        <v>MET-utp_c --&gt; MET-ppi_c + 0.305158 BIO-utp_c</v>
      </c>
    </row>
    <row r="72" spans="1:29" ht="16" x14ac:dyDescent="0.2">
      <c r="A72" s="144" t="s">
        <v>1202</v>
      </c>
      <c r="B72" t="str">
        <f>SUBSTITUTE(_xlfn.TEXTBEFORE(mets9[[#This Row],[pasted JSON metabolite keys and values from GSM biomass rxn]],":"),CHAR(34),"")</f>
        <v>zn2_c</v>
      </c>
      <c r="C72" t="str">
        <f>_xlfn.TEXTBEFORE(mets9[[#This Row],[name]],"_",-1)</f>
        <v>zn2</v>
      </c>
      <c r="D72" t="str">
        <f>_xlfn.XLOOKUP(mets9[[#This Row],[name w/o location]],metaboliteInfo[name w/o location],metaboliteInfo[suggested category],"")</f>
        <v>METAL</v>
      </c>
      <c r="E72" s="21">
        <f>_xlfn.XLOOKUP(mets9[[#This Row],[name w/o location]],metaboliteInfo[name w/o location],metaboliteInfo[MW for biomass normalization (g/mol)],0)</f>
        <v>65.38</v>
      </c>
      <c r="F72" s="21">
        <f>_xlfn.NUMBERVALUE(SUBSTITUTE(_xlfn.TEXTAFTER(mets9[[#This Row],[pasted JSON metabolite keys and values from GSM biomass rxn]],":"),",",""))</f>
        <v>-1.573E-3</v>
      </c>
      <c r="G72" s="21" cm="1">
        <f t="array" ref="G72">_xlfn.LET(_xlpm.id,mets9[[#This Row],[name w/o location]],IF(IsElementOfSet_DIY(_xlpm.id,{"atp","adp","h","pi","h2o"}),SIGN(mets9[[#This Row],[raw (GSM) coefficient]])*(ABS(mets9[[#This Row],[raw (GSM) coefficient]])-$J$2),mets9[[#This Row],[raw (GSM) coefficient]]))</f>
        <v>-1.573E-3</v>
      </c>
      <c r="H72" s="21">
        <f>mets9[[#This Row],[coeff. w/o GAM]]</f>
        <v>-1.573E-3</v>
      </c>
      <c r="I72" s="161">
        <f t="shared" si="3"/>
        <v>-1.5729947172175996E-3</v>
      </c>
      <c r="J72" s="21" cm="1">
        <f t="array" ref="J72">_xlfn.LET(_xlpm.id,mets9[[#This Row],[name w/o location]],_xlpm.oldcoeff,mets9[[#This Row],[normalized coeffs]],_xlpm.gam,$J$2-$G$2,_xlfn.IFS(IFERROR(MATCH(_xlpm.id,{"atp","h2o"},0),0)&gt;0,_xlpm.oldcoeff-_xlpm.gam,IFERROR(MATCH(_xlpm.id,{"adp","h","pi"},0),0)&gt;0,_xlpm.oldcoeff+_xlpm.gam,TRUE,_xlpm.oldcoeff))</f>
        <v>-1.5729947172175996E-3</v>
      </c>
      <c r="K72" t="str" cm="1">
        <f t="array" ref="K72">"BIOSYN-"&amp;_xlfn.IFS(IFERROR(MATCH(mets9[[#This Row],[category]],{0,"0",""},0),0)&gt;0,mets9[[#This Row],[name]],TRUE,mets9[[#This Row],[category]]&amp;"-"&amp;mets9[[#This Row],[name]])</f>
        <v>BIOSYN-METAL-zn2_c</v>
      </c>
      <c r="L72" s="149" t="str" cm="1">
        <f t="array" ref="L72">IF(IsElementOfSet_DIY(mets9[[#This Row],[category]],{"ignore","PROT"}),"",_xlfn.LET(_xlpm.mw,mets9[[#This Row],[MW for biomass normalization (g/mol)]],"MET-"&amp;mets9[[#This Row],[name]]&amp;" --&gt; "&amp;IF((mets9[[#This Row],[category]]="DNA")+(mets9[[#This Row],[category]]="RNA"),"MET-ppi_c + ","")&amp;ROUND(ABS(_xlpm.mw/1000),6)&amp;" BIO-"&amp;mets9[[#This Row],[name]]))</f>
        <v>MET-zn2_c --&gt; 0.06538 BIO-zn2_c</v>
      </c>
      <c r="M72" s="149" cm="1">
        <f t="array" ref="M7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-1.5729947172175996E-3</v>
      </c>
      <c r="N72" s="149"/>
      <c r="O72" s="149"/>
      <c r="P72" s="149"/>
      <c r="Q72" s="149"/>
      <c r="R72" s="149"/>
      <c r="S72" s="149"/>
      <c r="T72" s="149"/>
      <c r="U72" s="149"/>
      <c r="V72" s="149"/>
      <c r="AB72" t="str">
        <v>BIOSYN-SO4-so4_c</v>
      </c>
      <c r="AC72" t="str">
        <v>MET-so4_c --&gt; 0.096063 BIO-so4_c</v>
      </c>
    </row>
    <row r="73" spans="1:29" ht="16" x14ac:dyDescent="0.2">
      <c r="A73" s="144" t="s">
        <v>1169</v>
      </c>
      <c r="B73" t="str">
        <f>SUBSTITUTE(_xlfn.TEXTBEFORE(mets9[[#This Row],[pasted JSON metabolite keys and values from GSM biomass rxn]],":"),CHAR(34),"")</f>
        <v>pi_c</v>
      </c>
      <c r="C73" t="str">
        <f>_xlfn.TEXTBEFORE(mets9[[#This Row],[name]],"_",-1)</f>
        <v>pi</v>
      </c>
      <c r="D73" t="str">
        <f>_xlfn.XLOOKUP(mets9[[#This Row],[name w/o location]],metaboliteInfo[name w/o location],metaboliteInfo[suggested category],"")</f>
        <v>PI</v>
      </c>
      <c r="E73" s="21">
        <f>_xlfn.XLOOKUP(mets9[[#This Row],[name w/o location]],metaboliteInfo[name w/o location],metaboliteInfo[MW for biomass normalization (g/mol)],0)</f>
        <v>95.979301000000007</v>
      </c>
      <c r="F73" s="21">
        <f>_xlfn.NUMBERVALUE(SUBSTITUTE(_xlfn.TEXTAFTER(mets9[[#This Row],[pasted JSON metabolite keys and values from GSM biomass rxn]],":"),",",""))</f>
        <v>213.47958800000001</v>
      </c>
      <c r="G73" s="21" cm="1">
        <f t="array" ref="G73">_xlfn.LET(_xlpm.id,mets9[[#This Row],[name w/o location]],IF(IsElementOfSet_DIY(_xlpm.id,{"atp","adp","h","pi","h2o"}),SIGN(mets9[[#This Row],[raw (GSM) coefficient]])*(ABS(mets9[[#This Row],[raw (GSM) coefficient]])-$J$2),mets9[[#This Row],[raw (GSM) coefficient]]))</f>
        <v>-0.10545799999999872</v>
      </c>
      <c r="H73" s="21">
        <f>mets9[[#This Row],[coeff. w/o GAM]]</f>
        <v>-0.10545799999999872</v>
      </c>
      <c r="I73" s="161">
        <f t="shared" si="3"/>
        <v>-0.10545764582856429</v>
      </c>
      <c r="J73" s="21" cm="1">
        <f t="array" ref="J73">_xlfn.LET(_xlpm.id,mets9[[#This Row],[name w/o location]],_xlpm.oldcoeff,mets9[[#This Row],[normalized coeffs]],_xlpm.gam,$J$2-$G$2,_xlfn.IFS(IFERROR(MATCH(_xlpm.id,{"atp","h2o"},0),0)&gt;0,_xlpm.oldcoeff-_xlpm.gam,IFERROR(MATCH(_xlpm.id,{"adp","h","pi"},0),0)&gt;0,_xlpm.oldcoeff+_xlpm.gam,TRUE,_xlpm.oldcoeff))</f>
        <v>206.78958835417146</v>
      </c>
      <c r="K73" t="str" cm="1">
        <f t="array" ref="K73">"BIOSYN-"&amp;_xlfn.IFS(IFERROR(MATCH(mets9[[#This Row],[category]],{0,"0",""},0),0)&gt;0,mets9[[#This Row],[name]],TRUE,mets9[[#This Row],[category]]&amp;"-"&amp;mets9[[#This Row],[name]])</f>
        <v>BIOSYN-PI-pi_c</v>
      </c>
      <c r="L73" s="149" t="str" cm="1">
        <f t="array" ref="L73">IF(IsElementOfSet_DIY(mets9[[#This Row],[category]],{"ignore","PROT"}),"",_xlfn.LET(_xlpm.mw,mets9[[#This Row],[MW for biomass normalization (g/mol)]],"MET-"&amp;mets9[[#This Row],[name]]&amp;" --&gt; "&amp;IF((mets9[[#This Row],[category]]="DNA")+(mets9[[#This Row],[category]]="RNA"),"MET-ppi_c + ","")&amp;ROUND(ABS(_xlpm.mw/1000),6)&amp;" BIO-"&amp;mets9[[#This Row],[name]]))</f>
        <v>MET-pi_c --&gt; 0.095979 BIO-pi_c</v>
      </c>
      <c r="M73" s="149" cm="1">
        <f t="array" ref="M7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213.47958835417145</v>
      </c>
      <c r="N73" s="149"/>
      <c r="O73" s="149"/>
      <c r="P73" s="149"/>
      <c r="Q73" s="149"/>
      <c r="R73" s="149"/>
      <c r="S73" s="149"/>
      <c r="T73" s="149"/>
      <c r="U73" s="149"/>
      <c r="V73" s="149"/>
    </row>
    <row r="74" spans="1:29" ht="16" x14ac:dyDescent="0.2">
      <c r="A74" s="144" t="s">
        <v>1128</v>
      </c>
      <c r="B74" t="str">
        <f>SUBSTITUTE(_xlfn.TEXTBEFORE(mets9[[#This Row],[pasted JSON metabolite keys and values from GSM biomass rxn]],":"),CHAR(34),"")</f>
        <v>alatrna_c</v>
      </c>
      <c r="C74" t="str">
        <f>_xlfn.TEXTBEFORE(mets9[[#This Row],[name]],"_",-1)</f>
        <v>alatrna</v>
      </c>
      <c r="D74" t="str">
        <f>_xlfn.XLOOKUP(mets9[[#This Row],[name w/o location]],metaboliteInfo[name w/o location],metaboliteInfo[suggested category],"")</f>
        <v>PROT</v>
      </c>
      <c r="E74" s="21">
        <f>_xlfn.XLOOKUP(mets9[[#This Row],[name w/o location]],metaboliteInfo[name w/o location],metaboliteInfo[MW for biomass normalization (g/mol)],0)</f>
        <v>72.085840000000005</v>
      </c>
      <c r="F74" s="21">
        <f>_xlfn.NUMBERVALUE(SUBSTITUTE(_xlfn.TEXTAFTER(mets9[[#This Row],[pasted JSON metabolite keys and values from GSM biomass rxn]],":"),",",""))</f>
        <v>-0.316243</v>
      </c>
      <c r="G74" s="21" cm="1">
        <f t="array" ref="G74">_xlfn.LET(_xlpm.id,mets9[[#This Row],[name w/o location]],IF(IsElementOfSet_DIY(_xlpm.id,{"atp","adp","h","pi","h2o"}),SIGN(mets9[[#This Row],[raw (GSM) coefficient]])*(ABS(mets9[[#This Row],[raw (GSM) coefficient]])-$J$2),mets9[[#This Row],[raw (GSM) coefficient]]))</f>
        <v>-0.316243</v>
      </c>
      <c r="H74" s="21">
        <f>mets9[[#This Row],[coeff. w/o GAM]]</f>
        <v>-0.316243</v>
      </c>
      <c r="I74" s="161">
        <f t="shared" si="3"/>
        <v>-0.3162419379256487</v>
      </c>
      <c r="J74" s="21" cm="1">
        <f t="array" ref="J74">_xlfn.LET(_xlpm.id,mets9[[#This Row],[name w/o location]],_xlpm.oldcoeff,mets9[[#This Row],[normalized coeffs]],_xlpm.gam,$J$2-$G$2,_xlfn.IFS(IFERROR(MATCH(_xlpm.id,{"atp","h2o"},0),0)&gt;0,_xlpm.oldcoeff-_xlpm.gam,IFERROR(MATCH(_xlpm.id,{"adp","h","pi"},0),0)&gt;0,_xlpm.oldcoeff+_xlpm.gam,TRUE,_xlpm.oldcoeff))</f>
        <v>-0.3162419379256487</v>
      </c>
      <c r="K74" t="str" cm="1">
        <f t="array" ref="K74">"BIOSYN-"&amp;_xlfn.IFS(IFERROR(MATCH(mets9[[#This Row],[category]],{0,"0",""},0),0)&gt;0,mets9[[#This Row],[name]],TRUE,mets9[[#This Row],[category]]&amp;"-"&amp;mets9[[#This Row],[name]])</f>
        <v>BIOSYN-PROT-alatrna_c</v>
      </c>
      <c r="L74" s="149" t="str" cm="1">
        <f t="array" ref="L74">IF(IsElementOfSet_DIY(mets9[[#This Row],[category]],{"ignore","PROT"}),"",_xlfn.LET(_xlpm.mw,mets9[[#This Row],[MW for biomass normalization (g/mol)]],"MET-"&amp;mets9[[#This Row],[name]]&amp;" --&gt; "&amp;IF((mets9[[#This Row],[category]]="DNA")+(mets9[[#This Row],[category]]="RNA"),"MET-ppi_c + ","")&amp;ROUND(ABS(_xlpm.mw/1000),6)&amp;" BIO-"&amp;mets9[[#This Row],[name]]))</f>
        <v/>
      </c>
      <c r="M74" s="149" cm="1">
        <f t="array" ref="M7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-0.31624260870084231</v>
      </c>
      <c r="N74" s="149"/>
      <c r="O74" s="149"/>
      <c r="P74" s="149"/>
      <c r="Q74" s="149"/>
      <c r="R74" s="149"/>
      <c r="S74" s="149"/>
      <c r="T74" s="149"/>
      <c r="U74" s="149"/>
      <c r="V74" s="149"/>
    </row>
    <row r="75" spans="1:29" ht="16" x14ac:dyDescent="0.2">
      <c r="A75" s="144" t="s">
        <v>1129</v>
      </c>
      <c r="B75" t="str">
        <f>SUBSTITUTE(_xlfn.TEXTBEFORE(mets9[[#This Row],[pasted JSON metabolite keys and values from GSM biomass rxn]],":"),CHAR(34),"")</f>
        <v>argtrna_c</v>
      </c>
      <c r="C75" t="str">
        <f>_xlfn.TEXTBEFORE(mets9[[#This Row],[name]],"_",-1)</f>
        <v>argtrna</v>
      </c>
      <c r="D75" t="str">
        <f>_xlfn.XLOOKUP(mets9[[#This Row],[name w/o location]],metaboliteInfo[name w/o location],metaboliteInfo[suggested category],"")</f>
        <v>PROT</v>
      </c>
      <c r="E75" s="21">
        <f>_xlfn.XLOOKUP(mets9[[#This Row],[name w/o location]],metaboliteInfo[name w/o location],metaboliteInfo[MW for biomass normalization (g/mol)],0)</f>
        <v>158.20156</v>
      </c>
      <c r="F75" s="21">
        <f>_xlfn.NUMBERVALUE(SUBSTITUTE(_xlfn.TEXTAFTER(mets9[[#This Row],[pasted JSON metabolite keys and values from GSM biomass rxn]],":"),",",""))</f>
        <v>-0.124943</v>
      </c>
      <c r="G75" s="21" cm="1">
        <f t="array" ref="G75">_xlfn.LET(_xlpm.id,mets9[[#This Row],[name w/o location]],IF(IsElementOfSet_DIY(_xlpm.id,{"atp","adp","h","pi","h2o"}),SIGN(mets9[[#This Row],[raw (GSM) coefficient]])*(ABS(mets9[[#This Row],[raw (GSM) coefficient]])-$J$2),mets9[[#This Row],[raw (GSM) coefficient]]))</f>
        <v>-0.124943</v>
      </c>
      <c r="H75" s="21">
        <f>mets9[[#This Row],[coeff. w/o GAM]]</f>
        <v>-0.124943</v>
      </c>
      <c r="I75" s="161">
        <f t="shared" si="3"/>
        <v>-0.12494258038990373</v>
      </c>
      <c r="J75" s="21" cm="1">
        <f t="array" ref="J75">_xlfn.LET(_xlpm.id,mets9[[#This Row],[name w/o location]],_xlpm.oldcoeff,mets9[[#This Row],[normalized coeffs]],_xlpm.gam,$J$2-$G$2,_xlfn.IFS(IFERROR(MATCH(_xlpm.id,{"atp","h2o"},0),0)&gt;0,_xlpm.oldcoeff-_xlpm.gam,IFERROR(MATCH(_xlpm.id,{"adp","h","pi"},0),0)&gt;0,_xlpm.oldcoeff+_xlpm.gam,TRUE,_xlpm.oldcoeff))</f>
        <v>-0.12494258038990373</v>
      </c>
      <c r="K75" t="str" cm="1">
        <f t="array" ref="K75">"BIOSYN-"&amp;_xlfn.IFS(IFERROR(MATCH(mets9[[#This Row],[category]],{0,"0",""},0),0)&gt;0,mets9[[#This Row],[name]],TRUE,mets9[[#This Row],[category]]&amp;"-"&amp;mets9[[#This Row],[name]])</f>
        <v>BIOSYN-PROT-argtrna_c</v>
      </c>
      <c r="L75" s="149" t="str" cm="1">
        <f t="array" ref="L75">IF(IsElementOfSet_DIY(mets9[[#This Row],[category]],{"ignore","PROT"}),"",_xlfn.LET(_xlpm.mw,mets9[[#This Row],[MW for biomass normalization (g/mol)]],"MET-"&amp;mets9[[#This Row],[name]]&amp;" --&gt; "&amp;IF((mets9[[#This Row],[category]]="DNA")+(mets9[[#This Row],[category]]="RNA"),"MET-ppi_c + ","")&amp;ROUND(ABS(_xlpm.mw/1000),6)&amp;" BIO-"&amp;mets9[[#This Row],[name]]))</f>
        <v/>
      </c>
      <c r="M75" s="149" cm="1">
        <f t="array" ref="M7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-0.12494284540340607</v>
      </c>
      <c r="N75" s="149"/>
      <c r="O75" s="149"/>
      <c r="P75" s="149"/>
      <c r="Q75" s="149"/>
      <c r="R75" s="149"/>
      <c r="S75" s="149"/>
      <c r="T75" s="149"/>
      <c r="U75" s="149"/>
      <c r="V75" s="149"/>
    </row>
    <row r="76" spans="1:29" ht="16" x14ac:dyDescent="0.2">
      <c r="A76" s="144" t="s">
        <v>1130</v>
      </c>
      <c r="B76" t="str">
        <f>SUBSTITUTE(_xlfn.TEXTBEFORE(mets9[[#This Row],[pasted JSON metabolite keys and values from GSM biomass rxn]],":"),CHAR(34),"")</f>
        <v>asntrna_c</v>
      </c>
      <c r="C76" t="str">
        <f>_xlfn.TEXTBEFORE(mets9[[#This Row],[name]],"_",-1)</f>
        <v>asntrna</v>
      </c>
      <c r="D76" t="str">
        <f>_xlfn.XLOOKUP(mets9[[#This Row],[name w/o location]],metaboliteInfo[name w/o location],metaboliteInfo[suggested category],"")</f>
        <v>PROT</v>
      </c>
      <c r="E76" s="21">
        <f>_xlfn.XLOOKUP(mets9[[#This Row],[name w/o location]],metaboliteInfo[name w/o location],metaboliteInfo[MW for biomass normalization (g/mol)],0)</f>
        <v>115.11058</v>
      </c>
      <c r="F76" s="21">
        <f>_xlfn.NUMBERVALUE(SUBSTITUTE(_xlfn.TEXTAFTER(mets9[[#This Row],[pasted JSON metabolite keys and values from GSM biomass rxn]],":"),",",""))</f>
        <v>-0.15019099999999999</v>
      </c>
      <c r="G76" s="21" cm="1">
        <f t="array" ref="G76">_xlfn.LET(_xlpm.id,mets9[[#This Row],[name w/o location]],IF(IsElementOfSet_DIY(_xlpm.id,{"atp","adp","h","pi","h2o"}),SIGN(mets9[[#This Row],[raw (GSM) coefficient]])*(ABS(mets9[[#This Row],[raw (GSM) coefficient]])-$J$2),mets9[[#This Row],[raw (GSM) coefficient]]))</f>
        <v>-0.15019099999999999</v>
      </c>
      <c r="H76" s="21">
        <f>mets9[[#This Row],[coeff. w/o GAM]]</f>
        <v>-0.15019099999999999</v>
      </c>
      <c r="I76" s="161">
        <f t="shared" si="3"/>
        <v>-0.15019049559671235</v>
      </c>
      <c r="J76" s="21" cm="1">
        <f t="array" ref="J76">_xlfn.LET(_xlpm.id,mets9[[#This Row],[name w/o location]],_xlpm.oldcoeff,mets9[[#This Row],[normalized coeffs]],_xlpm.gam,$J$2-$G$2,_xlfn.IFS(IFERROR(MATCH(_xlpm.id,{"atp","h2o"},0),0)&gt;0,_xlpm.oldcoeff-_xlpm.gam,IFERROR(MATCH(_xlpm.id,{"adp","h","pi"},0),0)&gt;0,_xlpm.oldcoeff+_xlpm.gam,TRUE,_xlpm.oldcoeff))</f>
        <v>-0.15019049559671235</v>
      </c>
      <c r="K76" t="str" cm="1">
        <f t="array" ref="K76">"BIOSYN-"&amp;_xlfn.IFS(IFERROR(MATCH(mets9[[#This Row],[category]],{0,"0",""},0),0)&gt;0,mets9[[#This Row],[name]],TRUE,mets9[[#This Row],[category]]&amp;"-"&amp;mets9[[#This Row],[name]])</f>
        <v>BIOSYN-PROT-asntrna_c</v>
      </c>
      <c r="L76" s="149" t="str" cm="1">
        <f t="array" ref="L76">IF(IsElementOfSet_DIY(mets9[[#This Row],[category]],{"ignore","PROT"}),"",_xlfn.LET(_xlpm.mw,mets9[[#This Row],[MW for biomass normalization (g/mol)]],"MET-"&amp;mets9[[#This Row],[name]]&amp;" --&gt; "&amp;IF((mets9[[#This Row],[category]]="DNA")+(mets9[[#This Row],[category]]="RNA"),"MET-ppi_c + ","")&amp;ROUND(ABS(_xlpm.mw/1000),6)&amp;" BIO-"&amp;mets9[[#This Row],[name]]))</f>
        <v/>
      </c>
      <c r="M76" s="149" cm="1">
        <f t="array" ref="M7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-0.15019081416312208</v>
      </c>
      <c r="N76" s="149"/>
      <c r="O76" s="149"/>
      <c r="P76" s="149"/>
      <c r="Q76" s="149"/>
      <c r="R76" s="149"/>
      <c r="S76" s="149"/>
      <c r="T76" s="149"/>
      <c r="U76" s="149"/>
      <c r="V76" s="149"/>
    </row>
    <row r="77" spans="1:29" ht="16" x14ac:dyDescent="0.2">
      <c r="A77" s="144" t="s">
        <v>1131</v>
      </c>
      <c r="B77" t="str">
        <f>SUBSTITUTE(_xlfn.TEXTBEFORE(mets9[[#This Row],[pasted JSON metabolite keys and values from GSM biomass rxn]],":"),CHAR(34),"")</f>
        <v>asptrna_c</v>
      </c>
      <c r="C77" t="str">
        <f>_xlfn.TEXTBEFORE(mets9[[#This Row],[name]],"_",-1)</f>
        <v>asptrna</v>
      </c>
      <c r="D77" t="str">
        <f>_xlfn.XLOOKUP(mets9[[#This Row],[name w/o location]],metaboliteInfo[name w/o location],metaboliteInfo[suggested category],"")</f>
        <v>PROT</v>
      </c>
      <c r="E77" s="21">
        <f>_xlfn.XLOOKUP(mets9[[#This Row],[name w/o location]],metaboliteInfo[name w/o location],metaboliteInfo[MW for biomass normalization (g/mol)],0)</f>
        <v>115.0874</v>
      </c>
      <c r="F77" s="21">
        <f>_xlfn.NUMBERVALUE(SUBSTITUTE(_xlfn.TEXTAFTER(mets9[[#This Row],[pasted JSON metabolite keys and values from GSM biomass rxn]],":"),",",""))</f>
        <v>-0.15019099999999999</v>
      </c>
      <c r="G77" s="21" cm="1">
        <f t="array" ref="G77">_xlfn.LET(_xlpm.id,mets9[[#This Row],[name w/o location]],IF(IsElementOfSet_DIY(_xlpm.id,{"atp","adp","h","pi","h2o"}),SIGN(mets9[[#This Row],[raw (GSM) coefficient]])*(ABS(mets9[[#This Row],[raw (GSM) coefficient]])-$J$2),mets9[[#This Row],[raw (GSM) coefficient]]))</f>
        <v>-0.15019099999999999</v>
      </c>
      <c r="H77" s="21">
        <f>mets9[[#This Row],[coeff. w/o GAM]]</f>
        <v>-0.15019099999999999</v>
      </c>
      <c r="I77" s="161">
        <f t="shared" si="3"/>
        <v>-0.15019049559671235</v>
      </c>
      <c r="J77" s="21" cm="1">
        <f t="array" ref="J77">_xlfn.LET(_xlpm.id,mets9[[#This Row],[name w/o location]],_xlpm.oldcoeff,mets9[[#This Row],[normalized coeffs]],_xlpm.gam,$J$2-$G$2,_xlfn.IFS(IFERROR(MATCH(_xlpm.id,{"atp","h2o"},0),0)&gt;0,_xlpm.oldcoeff-_xlpm.gam,IFERROR(MATCH(_xlpm.id,{"adp","h","pi"},0),0)&gt;0,_xlpm.oldcoeff+_xlpm.gam,TRUE,_xlpm.oldcoeff))</f>
        <v>-0.15019049559671235</v>
      </c>
      <c r="K77" t="str" cm="1">
        <f t="array" ref="K77">"BIOSYN-"&amp;_xlfn.IFS(IFERROR(MATCH(mets9[[#This Row],[category]],{0,"0",""},0),0)&gt;0,mets9[[#This Row],[name]],TRUE,mets9[[#This Row],[category]]&amp;"-"&amp;mets9[[#This Row],[name]])</f>
        <v>BIOSYN-PROT-asptrna_c</v>
      </c>
      <c r="L77" s="149" t="str" cm="1">
        <f t="array" ref="L77">IF(IsElementOfSet_DIY(mets9[[#This Row],[category]],{"ignore","PROT"}),"",_xlfn.LET(_xlpm.mw,mets9[[#This Row],[MW for biomass normalization (g/mol)]],"MET-"&amp;mets9[[#This Row],[name]]&amp;" --&gt; "&amp;IF((mets9[[#This Row],[category]]="DNA")+(mets9[[#This Row],[category]]="RNA"),"MET-ppi_c + ","")&amp;ROUND(ABS(_xlpm.mw/1000),6)&amp;" BIO-"&amp;mets9[[#This Row],[name]]))</f>
        <v/>
      </c>
      <c r="M77" s="149" cm="1">
        <f t="array" ref="M7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-0.15019081416312208</v>
      </c>
      <c r="N77" s="149"/>
      <c r="O77" s="149"/>
      <c r="P77" s="149"/>
      <c r="Q77" s="149"/>
      <c r="R77" s="149"/>
      <c r="S77" s="149"/>
      <c r="T77" s="149"/>
      <c r="U77" s="149"/>
      <c r="V77" s="149"/>
    </row>
    <row r="78" spans="1:29" ht="16" x14ac:dyDescent="0.2">
      <c r="A78" s="144" t="s">
        <v>1136</v>
      </c>
      <c r="B78" t="str">
        <f>SUBSTITUTE(_xlfn.TEXTBEFORE(mets9[[#This Row],[pasted JSON metabolite keys and values from GSM biomass rxn]],":"),CHAR(34),"")</f>
        <v>cystrna_c</v>
      </c>
      <c r="C78" t="str">
        <f>_xlfn.TEXTBEFORE(mets9[[#This Row],[name]],"_",-1)</f>
        <v>cystrna</v>
      </c>
      <c r="D78" t="str">
        <f>_xlfn.XLOOKUP(mets9[[#This Row],[name w/o location]],metaboliteInfo[name w/o location],metaboliteInfo[suggested category],"")</f>
        <v>PROT</v>
      </c>
      <c r="E78" s="21">
        <f>_xlfn.XLOOKUP(mets9[[#This Row],[name w/o location]],metaboliteInfo[name w/o location],metaboliteInfo[MW for biomass normalization (g/mol)],0)</f>
        <v>104.15084</v>
      </c>
      <c r="F78" s="21">
        <f>_xlfn.NUMBERVALUE(SUBSTITUTE(_xlfn.TEXTAFTER(mets9[[#This Row],[pasted JSON metabolite keys and values from GSM biomass rxn]],":"),",",""))</f>
        <v>-4.5319999999999996E-3</v>
      </c>
      <c r="G78" s="21" cm="1">
        <f t="array" ref="G78">_xlfn.LET(_xlpm.id,mets9[[#This Row],[name w/o location]],IF(IsElementOfSet_DIY(_xlpm.id,{"atp","adp","h","pi","h2o"}),SIGN(mets9[[#This Row],[raw (GSM) coefficient]])*(ABS(mets9[[#This Row],[raw (GSM) coefficient]])-$J$2),mets9[[#This Row],[raw (GSM) coefficient]]))</f>
        <v>-4.5319999999999996E-3</v>
      </c>
      <c r="H78" s="21">
        <f>mets9[[#This Row],[coeff. w/o GAM]]</f>
        <v>-4.5319999999999996E-3</v>
      </c>
      <c r="I78" s="161">
        <f t="shared" si="3"/>
        <v>-4.5319847796758813E-3</v>
      </c>
      <c r="J78" s="21" cm="1">
        <f t="array" ref="J78">_xlfn.LET(_xlpm.id,mets9[[#This Row],[name w/o location]],_xlpm.oldcoeff,mets9[[#This Row],[normalized coeffs]],_xlpm.gam,$J$2-$G$2,_xlfn.IFS(IFERROR(MATCH(_xlpm.id,{"atp","h2o"},0),0)&gt;0,_xlpm.oldcoeff-_xlpm.gam,IFERROR(MATCH(_xlpm.id,{"adp","h","pi"},0),0)&gt;0,_xlpm.oldcoeff+_xlpm.gam,TRUE,_xlpm.oldcoeff))</f>
        <v>-4.5319847796758813E-3</v>
      </c>
      <c r="K78" t="str" cm="1">
        <f t="array" ref="K78">"BIOSYN-"&amp;_xlfn.IFS(IFERROR(MATCH(mets9[[#This Row],[category]],{0,"0",""},0),0)&gt;0,mets9[[#This Row],[name]],TRUE,mets9[[#This Row],[category]]&amp;"-"&amp;mets9[[#This Row],[name]])</f>
        <v>BIOSYN-PROT-cystrna_c</v>
      </c>
      <c r="L78" s="149" t="str" cm="1">
        <f t="array" ref="L78">IF(IsElementOfSet_DIY(mets9[[#This Row],[category]],{"ignore","PROT"}),"",_xlfn.LET(_xlpm.mw,mets9[[#This Row],[MW for biomass normalization (g/mol)]],"MET-"&amp;mets9[[#This Row],[name]]&amp;" --&gt; "&amp;IF((mets9[[#This Row],[category]]="DNA")+(mets9[[#This Row],[category]]="RNA"),"MET-ppi_c + ","")&amp;ROUND(ABS(_xlpm.mw/1000),6)&amp;" BIO-"&amp;mets9[[#This Row],[name]]))</f>
        <v/>
      </c>
      <c r="M78" s="149" cm="1">
        <f t="array" ref="M7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-4.5319943923888186E-3</v>
      </c>
      <c r="N78" s="149"/>
      <c r="O78" s="149"/>
      <c r="P78" s="149"/>
      <c r="Q78" s="149"/>
      <c r="R78" s="149"/>
      <c r="S78" s="149"/>
      <c r="T78" s="149"/>
      <c r="U78" s="149"/>
      <c r="V78" s="149"/>
    </row>
    <row r="79" spans="1:29" ht="16" x14ac:dyDescent="0.2">
      <c r="A79" s="144" t="s">
        <v>1144</v>
      </c>
      <c r="B79" t="str">
        <f>SUBSTITUTE(_xlfn.TEXTBEFORE(mets9[[#This Row],[pasted JSON metabolite keys and values from GSM biomass rxn]],":"),CHAR(34),"")</f>
        <v>glntrna_c</v>
      </c>
      <c r="C79" t="str">
        <f>_xlfn.TEXTBEFORE(mets9[[#This Row],[name]],"_",-1)</f>
        <v>glntrna</v>
      </c>
      <c r="D79" t="str">
        <f>_xlfn.XLOOKUP(mets9[[#This Row],[name w/o location]],metaboliteInfo[name w/o location],metaboliteInfo[suggested category],"")</f>
        <v>PROT</v>
      </c>
      <c r="E79" s="21">
        <f>_xlfn.XLOOKUP(mets9[[#This Row],[name w/o location]],metaboliteInfo[name w/o location],metaboliteInfo[MW for biomass normalization (g/mol)],0)</f>
        <v>129.13715999999999</v>
      </c>
      <c r="F79" s="21">
        <f>_xlfn.NUMBERVALUE(SUBSTITUTE(_xlfn.TEXTAFTER(mets9[[#This Row],[pasted JSON metabolite keys and values from GSM biomass rxn]],":"),",",""))</f>
        <v>-0.25053399999999998</v>
      </c>
      <c r="G79" s="21" cm="1">
        <f t="array" ref="G79">_xlfn.LET(_xlpm.id,mets9[[#This Row],[name w/o location]],IF(IsElementOfSet_DIY(_xlpm.id,{"atp","adp","h","pi","h2o"}),SIGN(mets9[[#This Row],[raw (GSM) coefficient]])*(ABS(mets9[[#This Row],[raw (GSM) coefficient]])-$J$2),mets9[[#This Row],[raw (GSM) coefficient]]))</f>
        <v>-0.25053399999999998</v>
      </c>
      <c r="H79" s="21">
        <f>mets9[[#This Row],[coeff. w/o GAM]]</f>
        <v>-0.25053399999999998</v>
      </c>
      <c r="I79" s="161">
        <f t="shared" si="3"/>
        <v>-0.25053315860355635</v>
      </c>
      <c r="J79" s="21" cm="1">
        <f t="array" ref="J79">_xlfn.LET(_xlpm.id,mets9[[#This Row],[name w/o location]],_xlpm.oldcoeff,mets9[[#This Row],[normalized coeffs]],_xlpm.gam,$J$2-$G$2,_xlfn.IFS(IFERROR(MATCH(_xlpm.id,{"atp","h2o"},0),0)&gt;0,_xlpm.oldcoeff-_xlpm.gam,IFERROR(MATCH(_xlpm.id,{"adp","h","pi"},0),0)&gt;0,_xlpm.oldcoeff+_xlpm.gam,TRUE,_xlpm.oldcoeff))</f>
        <v>-0.25053315860355635</v>
      </c>
      <c r="K79" t="str" cm="1">
        <f t="array" ref="K79">"BIOSYN-"&amp;_xlfn.IFS(IFERROR(MATCH(mets9[[#This Row],[category]],{0,"0",""},0),0)&gt;0,mets9[[#This Row],[name]],TRUE,mets9[[#This Row],[category]]&amp;"-"&amp;mets9[[#This Row],[name]])</f>
        <v>BIOSYN-PROT-glntrna_c</v>
      </c>
      <c r="L79" s="149" t="str" cm="1">
        <f t="array" ref="L79">IF(IsElementOfSet_DIY(mets9[[#This Row],[category]],{"ignore","PROT"}),"",_xlfn.LET(_xlpm.mw,mets9[[#This Row],[MW for biomass normalization (g/mol)]],"MET-"&amp;mets9[[#This Row],[name]]&amp;" --&gt; "&amp;IF((mets9[[#This Row],[category]]="DNA")+(mets9[[#This Row],[category]]="RNA"),"MET-ppi_c + ","")&amp;ROUND(ABS(_xlpm.mw/1000),6)&amp;" BIO-"&amp;mets9[[#This Row],[name]]))</f>
        <v/>
      </c>
      <c r="M79" s="149" cm="1">
        <f t="array" ref="M7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-0.25053369000501774</v>
      </c>
      <c r="N79" s="149"/>
      <c r="O79" s="149"/>
      <c r="P79" s="149"/>
      <c r="Q79" s="149"/>
      <c r="R79" s="149"/>
      <c r="S79" s="149"/>
      <c r="T79" s="149"/>
      <c r="U79" s="149"/>
      <c r="V79" s="149"/>
    </row>
    <row r="80" spans="1:29" ht="16" x14ac:dyDescent="0.2">
      <c r="A80" s="144" t="s">
        <v>1145</v>
      </c>
      <c r="B80" t="str">
        <f>SUBSTITUTE(_xlfn.TEXTBEFORE(mets9[[#This Row],[pasted JSON metabolite keys and values from GSM biomass rxn]],":"),CHAR(34),"")</f>
        <v>glutrna_c</v>
      </c>
      <c r="C80" t="str">
        <f>_xlfn.TEXTBEFORE(mets9[[#This Row],[name]],"_",-1)</f>
        <v>glutrna</v>
      </c>
      <c r="D80" t="str">
        <f>_xlfn.XLOOKUP(mets9[[#This Row],[name w/o location]],metaboliteInfo[name w/o location],metaboliteInfo[suggested category],"")</f>
        <v>PROT</v>
      </c>
      <c r="E80" s="21">
        <f>_xlfn.XLOOKUP(mets9[[#This Row],[name w/o location]],metaboliteInfo[name w/o location],metaboliteInfo[MW for biomass normalization (g/mol)],0)</f>
        <v>129.11398</v>
      </c>
      <c r="F80" s="21">
        <f>_xlfn.NUMBERVALUE(SUBSTITUTE(_xlfn.TEXTAFTER(mets9[[#This Row],[pasted JSON metabolite keys and values from GSM biomass rxn]],":"),",",""))</f>
        <v>-0.25053399999999998</v>
      </c>
      <c r="G80" s="21" cm="1">
        <f t="array" ref="G80">_xlfn.LET(_xlpm.id,mets9[[#This Row],[name w/o location]],IF(IsElementOfSet_DIY(_xlpm.id,{"atp","adp","h","pi","h2o"}),SIGN(mets9[[#This Row],[raw (GSM) coefficient]])*(ABS(mets9[[#This Row],[raw (GSM) coefficient]])-$J$2),mets9[[#This Row],[raw (GSM) coefficient]]))</f>
        <v>-0.25053399999999998</v>
      </c>
      <c r="H80" s="21">
        <f>mets9[[#This Row],[coeff. w/o GAM]]</f>
        <v>-0.25053399999999998</v>
      </c>
      <c r="I80" s="161">
        <f t="shared" si="3"/>
        <v>-0.25053315860355635</v>
      </c>
      <c r="J80" s="21" cm="1">
        <f t="array" ref="J80">_xlfn.LET(_xlpm.id,mets9[[#This Row],[name w/o location]],_xlpm.oldcoeff,mets9[[#This Row],[normalized coeffs]],_xlpm.gam,$J$2-$G$2,_xlfn.IFS(IFERROR(MATCH(_xlpm.id,{"atp","h2o"},0),0)&gt;0,_xlpm.oldcoeff-_xlpm.gam,IFERROR(MATCH(_xlpm.id,{"adp","h","pi"},0),0)&gt;0,_xlpm.oldcoeff+_xlpm.gam,TRUE,_xlpm.oldcoeff))</f>
        <v>-0.25053315860355635</v>
      </c>
      <c r="K80" t="str" cm="1">
        <f t="array" ref="K80">"BIOSYN-"&amp;_xlfn.IFS(IFERROR(MATCH(mets9[[#This Row],[category]],{0,"0",""},0),0)&gt;0,mets9[[#This Row],[name]],TRUE,mets9[[#This Row],[category]]&amp;"-"&amp;mets9[[#This Row],[name]])</f>
        <v>BIOSYN-PROT-glutrna_c</v>
      </c>
      <c r="L80" s="149" t="str" cm="1">
        <f t="array" ref="L80">IF(IsElementOfSet_DIY(mets9[[#This Row],[category]],{"ignore","PROT"}),"",_xlfn.LET(_xlpm.mw,mets9[[#This Row],[MW for biomass normalization (g/mol)]],"MET-"&amp;mets9[[#This Row],[name]]&amp;" --&gt; "&amp;IF((mets9[[#This Row],[category]]="DNA")+(mets9[[#This Row],[category]]="RNA"),"MET-ppi_c + ","")&amp;ROUND(ABS(_xlpm.mw/1000),6)&amp;" BIO-"&amp;mets9[[#This Row],[name]]))</f>
        <v/>
      </c>
      <c r="M80" s="149" cm="1">
        <f t="array" ref="M8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-0.25053369000501774</v>
      </c>
      <c r="N80" s="149"/>
      <c r="O80" s="149"/>
      <c r="P80" s="149"/>
      <c r="Q80" s="149"/>
      <c r="R80" s="149"/>
      <c r="S80" s="149"/>
      <c r="T80" s="149"/>
      <c r="U80" s="149"/>
      <c r="V80" s="149"/>
    </row>
    <row r="81" spans="1:22" ht="16" x14ac:dyDescent="0.2">
      <c r="A81" s="144" t="s">
        <v>1146</v>
      </c>
      <c r="B81" t="str">
        <f>SUBSTITUTE(_xlfn.TEXTBEFORE(mets9[[#This Row],[pasted JSON metabolite keys and values from GSM biomass rxn]],":"),CHAR(34),"")</f>
        <v>glytrna_c</v>
      </c>
      <c r="C81" t="str">
        <f>_xlfn.TEXTBEFORE(mets9[[#This Row],[name]],"_",-1)</f>
        <v>glytrna</v>
      </c>
      <c r="D81" t="str">
        <f>_xlfn.XLOOKUP(mets9[[#This Row],[name w/o location]],metaboliteInfo[name w/o location],metaboliteInfo[suggested category],"")</f>
        <v>PROT</v>
      </c>
      <c r="E81" s="21">
        <f>_xlfn.XLOOKUP(mets9[[#This Row],[name w/o location]],metaboliteInfo[name w/o location],metaboliteInfo[MW for biomass normalization (g/mol)],0)</f>
        <v>58.059260000000002</v>
      </c>
      <c r="F81" s="21">
        <f>_xlfn.NUMBERVALUE(SUBSTITUTE(_xlfn.TEXTAFTER(mets9[[#This Row],[pasted JSON metabolite keys and values from GSM biomass rxn]],":"),",",""))</f>
        <v>-0.28775800000000001</v>
      </c>
      <c r="G81" s="21" cm="1">
        <f t="array" ref="G81">_xlfn.LET(_xlpm.id,mets9[[#This Row],[name w/o location]],IF(IsElementOfSet_DIY(_xlpm.id,{"atp","adp","h","pi","h2o"}),SIGN(mets9[[#This Row],[raw (GSM) coefficient]])*(ABS(mets9[[#This Row],[raw (GSM) coefficient]])-$J$2),mets9[[#This Row],[raw (GSM) coefficient]]))</f>
        <v>-0.28775800000000001</v>
      </c>
      <c r="H81" s="21">
        <f>mets9[[#This Row],[coeff. w/o GAM]]</f>
        <v>-0.28775800000000001</v>
      </c>
      <c r="I81" s="161">
        <f t="shared" si="3"/>
        <v>-0.28775703359002042</v>
      </c>
      <c r="J81" s="21" cm="1">
        <f t="array" ref="J81">_xlfn.LET(_xlpm.id,mets9[[#This Row],[name w/o location]],_xlpm.oldcoeff,mets9[[#This Row],[normalized coeffs]],_xlpm.gam,$J$2-$G$2,_xlfn.IFS(IFERROR(MATCH(_xlpm.id,{"atp","h2o"},0),0)&gt;0,_xlpm.oldcoeff-_xlpm.gam,IFERROR(MATCH(_xlpm.id,{"adp","h","pi"},0),0)&gt;0,_xlpm.oldcoeff+_xlpm.gam,TRUE,_xlpm.oldcoeff))</f>
        <v>-0.28775703359002042</v>
      </c>
      <c r="K81" t="str" cm="1">
        <f t="array" ref="K81">"BIOSYN-"&amp;_xlfn.IFS(IFERROR(MATCH(mets9[[#This Row],[category]],{0,"0",""},0),0)&gt;0,mets9[[#This Row],[name]],TRUE,mets9[[#This Row],[category]]&amp;"-"&amp;mets9[[#This Row],[name]])</f>
        <v>BIOSYN-PROT-glytrna_c</v>
      </c>
      <c r="L81" s="149" t="str" cm="1">
        <f t="array" ref="L81">IF(IsElementOfSet_DIY(mets9[[#This Row],[category]],{"ignore","PROT"}),"",_xlfn.LET(_xlpm.mw,mets9[[#This Row],[MW for biomass normalization (g/mol)]],"MET-"&amp;mets9[[#This Row],[name]]&amp;" --&gt; "&amp;IF((mets9[[#This Row],[category]]="DNA")+(mets9[[#This Row],[category]]="RNA"),"MET-ppi_c + ","")&amp;ROUND(ABS(_xlpm.mw/1000),6)&amp;" BIO-"&amp;mets9[[#This Row],[name]]))</f>
        <v/>
      </c>
      <c r="M81" s="149" cm="1">
        <f t="array" ref="M8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-0.28775764394638614</v>
      </c>
      <c r="N81" s="149"/>
      <c r="O81" s="149"/>
      <c r="P81" s="149"/>
      <c r="Q81" s="149"/>
      <c r="R81" s="149"/>
      <c r="S81" s="149"/>
      <c r="T81" s="149"/>
      <c r="U81" s="149"/>
      <c r="V81" s="149"/>
    </row>
    <row r="82" spans="1:22" ht="16" x14ac:dyDescent="0.2">
      <c r="A82" s="144" t="s">
        <v>1152</v>
      </c>
      <c r="B82" t="str">
        <f>SUBSTITUTE(_xlfn.TEXTBEFORE(mets9[[#This Row],[pasted JSON metabolite keys and values from GSM biomass rxn]],":"),CHAR(34),"")</f>
        <v>histrna_c</v>
      </c>
      <c r="C82" t="str">
        <f>_xlfn.TEXTBEFORE(mets9[[#This Row],[name]],"_",-1)</f>
        <v>histrna</v>
      </c>
      <c r="D82" t="str">
        <f>_xlfn.XLOOKUP(mets9[[#This Row],[name w/o location]],metaboliteInfo[name w/o location],metaboliteInfo[suggested category],"")</f>
        <v>PROT</v>
      </c>
      <c r="E82" s="21">
        <f>_xlfn.XLOOKUP(mets9[[#This Row],[name w/o location]],metaboliteInfo[name w/o location],metaboliteInfo[MW for biomass normalization (g/mol)],0)</f>
        <v>138.14722</v>
      </c>
      <c r="F82" s="21">
        <f>_xlfn.NUMBERVALUE(SUBSTITUTE(_xlfn.TEXTAFTER(mets9[[#This Row],[pasted JSON metabolite keys and values from GSM biomass rxn]],":"),",",""))</f>
        <v>-6.2472E-2</v>
      </c>
      <c r="G82" s="21" cm="1">
        <f t="array" ref="G82">_xlfn.LET(_xlpm.id,mets9[[#This Row],[name w/o location]],IF(IsElementOfSet_DIY(_xlpm.id,{"atp","adp","h","pi","h2o"}),SIGN(mets9[[#This Row],[raw (GSM) coefficient]])*(ABS(mets9[[#This Row],[raw (GSM) coefficient]])-$J$2),mets9[[#This Row],[raw (GSM) coefficient]]))</f>
        <v>-6.2472E-2</v>
      </c>
      <c r="H82" s="21">
        <f>mets9[[#This Row],[coeff. w/o GAM]]</f>
        <v>-6.2472E-2</v>
      </c>
      <c r="I82" s="161">
        <f t="shared" si="3"/>
        <v>-6.2471790193272661E-2</v>
      </c>
      <c r="J82" s="21" cm="1">
        <f t="array" ref="J82">_xlfn.LET(_xlpm.id,mets9[[#This Row],[name w/o location]],_xlpm.oldcoeff,mets9[[#This Row],[normalized coeffs]],_xlpm.gam,$J$2-$G$2,_xlfn.IFS(IFERROR(MATCH(_xlpm.id,{"atp","h2o"},0),0)&gt;0,_xlpm.oldcoeff-_xlpm.gam,IFERROR(MATCH(_xlpm.id,{"adp","h","pi"},0),0)&gt;0,_xlpm.oldcoeff+_xlpm.gam,TRUE,_xlpm.oldcoeff))</f>
        <v>-6.2471790193272661E-2</v>
      </c>
      <c r="K82" t="str" cm="1">
        <f t="array" ref="K82">"BIOSYN-"&amp;_xlfn.IFS(IFERROR(MATCH(mets9[[#This Row],[category]],{0,"0",""},0),0)&gt;0,mets9[[#This Row],[name]],TRUE,mets9[[#This Row],[category]]&amp;"-"&amp;mets9[[#This Row],[name]])</f>
        <v>BIOSYN-PROT-histrna_c</v>
      </c>
      <c r="L82" s="149" t="str" cm="1">
        <f t="array" ref="L82">IF(IsElementOfSet_DIY(mets9[[#This Row],[category]],{"ignore","PROT"}),"",_xlfn.LET(_xlpm.mw,mets9[[#This Row],[MW for biomass normalization (g/mol)]],"MET-"&amp;mets9[[#This Row],[name]]&amp;" --&gt; "&amp;IF((mets9[[#This Row],[category]]="DNA")+(mets9[[#This Row],[category]]="RNA"),"MET-ppi_c + ","")&amp;ROUND(ABS(_xlpm.mw/1000),6)&amp;" BIO-"&amp;mets9[[#This Row],[name]]))</f>
        <v/>
      </c>
      <c r="M82" s="149" cm="1">
        <f t="array" ref="M8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-6.2471922701084363E-2</v>
      </c>
      <c r="N82" s="149"/>
      <c r="O82" s="149"/>
      <c r="P82" s="149"/>
      <c r="Q82" s="149"/>
      <c r="R82" s="149"/>
      <c r="S82" s="149"/>
      <c r="T82" s="149"/>
      <c r="U82" s="149"/>
      <c r="V82" s="149"/>
    </row>
    <row r="83" spans="1:22" ht="16" x14ac:dyDescent="0.2">
      <c r="A83" s="144" t="s">
        <v>1153</v>
      </c>
      <c r="B83" t="str">
        <f>SUBSTITUTE(_xlfn.TEXTBEFORE(mets9[[#This Row],[pasted JSON metabolite keys and values from GSM biomass rxn]],":"),CHAR(34),"")</f>
        <v>iletrna_c</v>
      </c>
      <c r="C83" t="str">
        <f>_xlfn.TEXTBEFORE(mets9[[#This Row],[name]],"_",-1)</f>
        <v>iletrna</v>
      </c>
      <c r="D83" t="str">
        <f>_xlfn.XLOOKUP(mets9[[#This Row],[name w/o location]],metaboliteInfo[name w/o location],metaboliteInfo[suggested category],"")</f>
        <v>PROT</v>
      </c>
      <c r="E83" s="21">
        <f>_xlfn.XLOOKUP(mets9[[#This Row],[name w/o location]],metaboliteInfo[name w/o location],metaboliteInfo[MW for biomass normalization (g/mol)],0)</f>
        <v>114.16558000000001</v>
      </c>
      <c r="F83" s="21">
        <f>_xlfn.NUMBERVALUE(SUBSTITUTE(_xlfn.TEXTAFTER(mets9[[#This Row],[pasted JSON metabolite keys and values from GSM biomass rxn]],":"),",",""))</f>
        <v>-0.19065199999999999</v>
      </c>
      <c r="G83" s="21" cm="1">
        <f t="array" ref="G83">_xlfn.LET(_xlpm.id,mets9[[#This Row],[name w/o location]],IF(IsElementOfSet_DIY(_xlpm.id,{"atp","adp","h","pi","h2o"}),SIGN(mets9[[#This Row],[raw (GSM) coefficient]])*(ABS(mets9[[#This Row],[raw (GSM) coefficient]])-$J$2),mets9[[#This Row],[raw (GSM) coefficient]]))</f>
        <v>-0.19065199999999999</v>
      </c>
      <c r="H83" s="21">
        <f>mets9[[#This Row],[coeff. w/o GAM]]</f>
        <v>-0.19065199999999999</v>
      </c>
      <c r="I83" s="161">
        <f t="shared" si="3"/>
        <v>-0.19065135971199607</v>
      </c>
      <c r="J83" s="21" cm="1">
        <f t="array" ref="J83">_xlfn.LET(_xlpm.id,mets9[[#This Row],[name w/o location]],_xlpm.oldcoeff,mets9[[#This Row],[normalized coeffs]],_xlpm.gam,$J$2-$G$2,_xlfn.IFS(IFERROR(MATCH(_xlpm.id,{"atp","h2o"},0),0)&gt;0,_xlpm.oldcoeff-_xlpm.gam,IFERROR(MATCH(_xlpm.id,{"adp","h","pi"},0),0)&gt;0,_xlpm.oldcoeff+_xlpm.gam,TRUE,_xlpm.oldcoeff))</f>
        <v>-0.19065135971199607</v>
      </c>
      <c r="K83" t="str" cm="1">
        <f t="array" ref="K83">"BIOSYN-"&amp;_xlfn.IFS(IFERROR(MATCH(mets9[[#This Row],[category]],{0,"0",""},0),0)&gt;0,mets9[[#This Row],[name]],TRUE,mets9[[#This Row],[category]]&amp;"-"&amp;mets9[[#This Row],[name]])</f>
        <v>BIOSYN-PROT-iletrna_c</v>
      </c>
      <c r="L83" s="149" t="str" cm="1">
        <f t="array" ref="L83">IF(IsElementOfSet_DIY(mets9[[#This Row],[category]],{"ignore","PROT"}),"",_xlfn.LET(_xlpm.mw,mets9[[#This Row],[MW for biomass normalization (g/mol)]],"MET-"&amp;mets9[[#This Row],[name]]&amp;" --&gt; "&amp;IF((mets9[[#This Row],[category]]="DNA")+(mets9[[#This Row],[category]]="RNA"),"MET-ppi_c + ","")&amp;ROUND(ABS(_xlpm.mw/1000),6)&amp;" BIO-"&amp;mets9[[#This Row],[name]]))</f>
        <v/>
      </c>
      <c r="M83" s="149" cm="1">
        <f t="array" ref="M8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-0.19065176409923063</v>
      </c>
      <c r="N83" s="149"/>
      <c r="O83" s="149"/>
      <c r="P83" s="149"/>
      <c r="Q83" s="149"/>
      <c r="R83" s="149"/>
      <c r="S83" s="149"/>
      <c r="T83" s="149"/>
      <c r="U83" s="149"/>
      <c r="V83" s="149"/>
    </row>
    <row r="84" spans="1:22" ht="16" x14ac:dyDescent="0.2">
      <c r="A84" s="144" t="s">
        <v>1156</v>
      </c>
      <c r="B84" t="str">
        <f>SUBSTITUTE(_xlfn.TEXTBEFORE(mets9[[#This Row],[pasted JSON metabolite keys and values from GSM biomass rxn]],":"),CHAR(34),"")</f>
        <v>leutrna_c</v>
      </c>
      <c r="C84" t="str">
        <f>_xlfn.TEXTBEFORE(mets9[[#This Row],[name]],"_",-1)</f>
        <v>leutrna</v>
      </c>
      <c r="D84" t="str">
        <f>_xlfn.XLOOKUP(mets9[[#This Row],[name w/o location]],metaboliteInfo[name w/o location],metaboliteInfo[suggested category],"")</f>
        <v>PROT</v>
      </c>
      <c r="E84" s="21">
        <f>_xlfn.XLOOKUP(mets9[[#This Row],[name w/o location]],metaboliteInfo[name w/o location],metaboliteInfo[MW for biomass normalization (g/mol)],0)</f>
        <v>114.16558000000001</v>
      </c>
      <c r="F84" s="21">
        <f>_xlfn.NUMBERVALUE(SUBSTITUTE(_xlfn.TEXTAFTER(mets9[[#This Row],[pasted JSON metabolite keys and values from GSM biomass rxn]],":"),",",""))</f>
        <v>-0.259274</v>
      </c>
      <c r="G84" s="21" cm="1">
        <f t="array" ref="G84">_xlfn.LET(_xlpm.id,mets9[[#This Row],[name w/o location]],IF(IsElementOfSet_DIY(_xlpm.id,{"atp","adp","h","pi","h2o"}),SIGN(mets9[[#This Row],[raw (GSM) coefficient]])*(ABS(mets9[[#This Row],[raw (GSM) coefficient]])-$J$2),mets9[[#This Row],[raw (GSM) coefficient]]))</f>
        <v>-0.259274</v>
      </c>
      <c r="H84" s="21">
        <f>mets9[[#This Row],[coeff. w/o GAM]]</f>
        <v>-0.259274</v>
      </c>
      <c r="I84" s="161">
        <f t="shared" si="3"/>
        <v>-0.25927312925103368</v>
      </c>
      <c r="J84" s="21" cm="1">
        <f t="array" ref="J84">_xlfn.LET(_xlpm.id,mets9[[#This Row],[name w/o location]],_xlpm.oldcoeff,mets9[[#This Row],[normalized coeffs]],_xlpm.gam,$J$2-$G$2,_xlfn.IFS(IFERROR(MATCH(_xlpm.id,{"atp","h2o"},0),0)&gt;0,_xlpm.oldcoeff-_xlpm.gam,IFERROR(MATCH(_xlpm.id,{"adp","h","pi"},0),0)&gt;0,_xlpm.oldcoeff+_xlpm.gam,TRUE,_xlpm.oldcoeff))</f>
        <v>-0.25927312925103368</v>
      </c>
      <c r="K84" t="str" cm="1">
        <f t="array" ref="K84">"BIOSYN-"&amp;_xlfn.IFS(IFERROR(MATCH(mets9[[#This Row],[category]],{0,"0",""},0),0)&gt;0,mets9[[#This Row],[name]],TRUE,mets9[[#This Row],[category]]&amp;"-"&amp;mets9[[#This Row],[name]])</f>
        <v>BIOSYN-PROT-leutrna_c</v>
      </c>
      <c r="L84" s="149" t="str" cm="1">
        <f t="array" ref="L84">IF(IsElementOfSet_DIY(mets9[[#This Row],[category]],{"ignore","PROT"}),"",_xlfn.LET(_xlpm.mw,mets9[[#This Row],[MW for biomass normalization (g/mol)]],"MET-"&amp;mets9[[#This Row],[name]]&amp;" --&gt; "&amp;IF((mets9[[#This Row],[category]]="DNA")+(mets9[[#This Row],[category]]="RNA"),"MET-ppi_c + ","")&amp;ROUND(ABS(_xlpm.mw/1000),6)&amp;" BIO-"&amp;mets9[[#This Row],[name]]))</f>
        <v/>
      </c>
      <c r="M84" s="149" cm="1">
        <f t="array" ref="M8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-0.25927367919069261</v>
      </c>
      <c r="N84" s="149"/>
      <c r="O84" s="149"/>
      <c r="P84" s="149"/>
      <c r="Q84" s="149"/>
      <c r="R84" s="149"/>
      <c r="S84" s="149"/>
      <c r="T84" s="149"/>
      <c r="U84" s="149"/>
      <c r="V84" s="149"/>
    </row>
    <row r="85" spans="1:22" ht="16" x14ac:dyDescent="0.2">
      <c r="A85" s="144" t="s">
        <v>1159</v>
      </c>
      <c r="B85" t="str">
        <f>SUBSTITUTE(_xlfn.TEXTBEFORE(mets9[[#This Row],[pasted JSON metabolite keys and values from GSM biomass rxn]],":"),CHAR(34),"")</f>
        <v>lystrna_c</v>
      </c>
      <c r="C85" t="str">
        <f>_xlfn.TEXTBEFORE(mets9[[#This Row],[name]],"_",-1)</f>
        <v>lystrna</v>
      </c>
      <c r="D85" t="str">
        <f>_xlfn.XLOOKUP(mets9[[#This Row],[name w/o location]],metaboliteInfo[name w/o location],metaboliteInfo[suggested category],"")</f>
        <v>PROT</v>
      </c>
      <c r="E85" s="21">
        <f>_xlfn.XLOOKUP(mets9[[#This Row],[name w/o location]],metaboliteInfo[name w/o location],metaboliteInfo[MW for biomass normalization (g/mol)],0)</f>
        <v>130.18816000000001</v>
      </c>
      <c r="F85" s="21">
        <f>_xlfn.NUMBERVALUE(SUBSTITUTE(_xlfn.TEXTAFTER(mets9[[#This Row],[pasted JSON metabolite keys and values from GSM biomass rxn]],":"),",",""))</f>
        <v>-0.21266299999999999</v>
      </c>
      <c r="G85" s="21" cm="1">
        <f t="array" ref="G85">_xlfn.LET(_xlpm.id,mets9[[#This Row],[name w/o location]],IF(IsElementOfSet_DIY(_xlpm.id,{"atp","adp","h","pi","h2o"}),SIGN(mets9[[#This Row],[raw (GSM) coefficient]])*(ABS(mets9[[#This Row],[raw (GSM) coefficient]])-$J$2),mets9[[#This Row],[raw (GSM) coefficient]]))</f>
        <v>-0.21266299999999999</v>
      </c>
      <c r="H85" s="21">
        <f>mets9[[#This Row],[coeff. w/o GAM]]</f>
        <v>-0.21266299999999999</v>
      </c>
      <c r="I85" s="161">
        <f t="shared" si="3"/>
        <v>-0.212662285789985</v>
      </c>
      <c r="J85" s="21" cm="1">
        <f t="array" ref="J85">_xlfn.LET(_xlpm.id,mets9[[#This Row],[name w/o location]],_xlpm.oldcoeff,mets9[[#This Row],[normalized coeffs]],_xlpm.gam,$J$2-$G$2,_xlfn.IFS(IFERROR(MATCH(_xlpm.id,{"atp","h2o"},0),0)&gt;0,_xlpm.oldcoeff-_xlpm.gam,IFERROR(MATCH(_xlpm.id,{"adp","h","pi"},0),0)&gt;0,_xlpm.oldcoeff+_xlpm.gam,TRUE,_xlpm.oldcoeff))</f>
        <v>-0.212662285789985</v>
      </c>
      <c r="K85" t="str" cm="1">
        <f t="array" ref="K85">"BIOSYN-"&amp;_xlfn.IFS(IFERROR(MATCH(mets9[[#This Row],[category]],{0,"0",""},0),0)&gt;0,mets9[[#This Row],[name]],TRUE,mets9[[#This Row],[category]]&amp;"-"&amp;mets9[[#This Row],[name]])</f>
        <v>BIOSYN-PROT-lystrna_c</v>
      </c>
      <c r="L85" s="149" t="str" cm="1">
        <f t="array" ref="L85">IF(IsElementOfSet_DIY(mets9[[#This Row],[category]],{"ignore","PROT"}),"",_xlfn.LET(_xlpm.mw,mets9[[#This Row],[MW for biomass normalization (g/mol)]],"MET-"&amp;mets9[[#This Row],[name]]&amp;" --&gt; "&amp;IF((mets9[[#This Row],[category]]="DNA")+(mets9[[#This Row],[category]]="RNA"),"MET-ppi_c + ","")&amp;ROUND(ABS(_xlpm.mw/1000),6)&amp;" BIO-"&amp;mets9[[#This Row],[name]]))</f>
        <v/>
      </c>
      <c r="M85" s="149" cm="1">
        <f t="array" ref="M8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-0.21266273686420642</v>
      </c>
      <c r="N85" s="149"/>
      <c r="O85" s="149"/>
      <c r="P85" s="149"/>
      <c r="Q85" s="149"/>
      <c r="R85" s="149"/>
      <c r="S85" s="149"/>
      <c r="T85" s="149"/>
      <c r="U85" s="149"/>
      <c r="V85" s="149"/>
    </row>
    <row r="86" spans="1:22" ht="16" x14ac:dyDescent="0.2">
      <c r="A86" s="144" t="s">
        <v>1160</v>
      </c>
      <c r="B86" t="str">
        <f>SUBSTITUTE(_xlfn.TEXTBEFORE(mets9[[#This Row],[pasted JSON metabolite keys and values from GSM biomass rxn]],":"),CHAR(34),"")</f>
        <v>mettrna_c</v>
      </c>
      <c r="C86" t="str">
        <f>_xlfn.TEXTBEFORE(mets9[[#This Row],[name]],"_",-1)</f>
        <v>mettrna</v>
      </c>
      <c r="D86" t="str">
        <f>_xlfn.XLOOKUP(mets9[[#This Row],[name w/o location]],metaboliteInfo[name w/o location],metaboliteInfo[suggested category],"")</f>
        <v>PROT</v>
      </c>
      <c r="E86" s="21">
        <f>_xlfn.XLOOKUP(mets9[[#This Row],[name w/o location]],metaboliteInfo[name w/o location],metaboliteInfo[MW for biomass normalization (g/mol)],0)</f>
        <v>132.20400000000001</v>
      </c>
      <c r="F86" s="21">
        <f>_xlfn.NUMBERVALUE(SUBSTITUTE(_xlfn.TEXTAFTER(mets9[[#This Row],[pasted JSON metabolite keys and values from GSM biomass rxn]],":"),",",""))</f>
        <v>-3.6901000000000003E-2</v>
      </c>
      <c r="G86" s="21" cm="1">
        <f t="array" ref="G86">_xlfn.LET(_xlpm.id,mets9[[#This Row],[name w/o location]],IF(IsElementOfSet_DIY(_xlpm.id,{"atp","adp","h","pi","h2o"}),SIGN(mets9[[#This Row],[raw (GSM) coefficient]])*(ABS(mets9[[#This Row],[raw (GSM) coefficient]])-$J$2),mets9[[#This Row],[raw (GSM) coefficient]]))</f>
        <v>-3.6901000000000003E-2</v>
      </c>
      <c r="H86" s="21">
        <f>mets9[[#This Row],[coeff. w/o GAM]]</f>
        <v>-3.6901000000000003E-2</v>
      </c>
      <c r="I86" s="161">
        <f t="shared" si="3"/>
        <v>-3.6900876071231187E-2</v>
      </c>
      <c r="J86" s="21" cm="1">
        <f t="array" ref="J86">_xlfn.LET(_xlpm.id,mets9[[#This Row],[name w/o location]],_xlpm.oldcoeff,mets9[[#This Row],[normalized coeffs]],_xlpm.gam,$J$2-$G$2,_xlfn.IFS(IFERROR(MATCH(_xlpm.id,{"atp","h2o"},0),0)&gt;0,_xlpm.oldcoeff-_xlpm.gam,IFERROR(MATCH(_xlpm.id,{"adp","h","pi"},0),0)&gt;0,_xlpm.oldcoeff+_xlpm.gam,TRUE,_xlpm.oldcoeff))</f>
        <v>-3.6900876071231187E-2</v>
      </c>
      <c r="K86" t="str" cm="1">
        <f t="array" ref="K86">"BIOSYN-"&amp;_xlfn.IFS(IFERROR(MATCH(mets9[[#This Row],[category]],{0,"0",""},0),0)&gt;0,mets9[[#This Row],[name]],TRUE,mets9[[#This Row],[category]]&amp;"-"&amp;mets9[[#This Row],[name]])</f>
        <v>BIOSYN-PROT-mettrna_c</v>
      </c>
      <c r="L86" s="149" t="str" cm="1">
        <f t="array" ref="L86">IF(IsElementOfSet_DIY(mets9[[#This Row],[category]],{"ignore","PROT"}),"",_xlfn.LET(_xlpm.mw,mets9[[#This Row],[MW for biomass normalization (g/mol)]],"MET-"&amp;mets9[[#This Row],[name]]&amp;" --&gt; "&amp;IF((mets9[[#This Row],[category]]="DNA")+(mets9[[#This Row],[category]]="RNA"),"MET-ppi_c + ","")&amp;ROUND(ABS(_xlpm.mw/1000),6)&amp;" BIO-"&amp;mets9[[#This Row],[name]]))</f>
        <v/>
      </c>
      <c r="M86" s="149" cm="1">
        <f t="array" ref="M8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-3.6900954341028212E-2</v>
      </c>
      <c r="N86" s="149"/>
      <c r="O86" s="149"/>
      <c r="P86" s="149"/>
      <c r="Q86" s="149"/>
      <c r="R86" s="149"/>
      <c r="S86" s="149"/>
      <c r="T86" s="149"/>
      <c r="U86" s="149"/>
      <c r="V86" s="149"/>
    </row>
    <row r="87" spans="1:22" ht="16" x14ac:dyDescent="0.2">
      <c r="A87" s="144" t="s">
        <v>1168</v>
      </c>
      <c r="B87" t="str">
        <f>SUBSTITUTE(_xlfn.TEXTBEFORE(mets9[[#This Row],[pasted JSON metabolite keys and values from GSM biomass rxn]],":"),CHAR(34),"")</f>
        <v>phetrna_c</v>
      </c>
      <c r="C87" t="str">
        <f>_xlfn.TEXTBEFORE(mets9[[#This Row],[name]],"_",-1)</f>
        <v>phetrna</v>
      </c>
      <c r="D87" t="str">
        <f>_xlfn.XLOOKUP(mets9[[#This Row],[name w/o location]],metaboliteInfo[name w/o location],metaboliteInfo[suggested category],"")</f>
        <v>PROT</v>
      </c>
      <c r="E87" s="21">
        <f>_xlfn.XLOOKUP(mets9[[#This Row],[name w/o location]],metaboliteInfo[name w/o location],metaboliteInfo[MW for biomass normalization (g/mol)],0)</f>
        <v>148.18180000000001</v>
      </c>
      <c r="F87" s="21">
        <f>_xlfn.NUMBERVALUE(SUBSTITUTE(_xlfn.TEXTAFTER(mets9[[#This Row],[pasted JSON metabolite keys and values from GSM biomass rxn]],":"),",",""))</f>
        <v>-0.121707</v>
      </c>
      <c r="G87" s="21" cm="1">
        <f t="array" ref="G87">_xlfn.LET(_xlpm.id,mets9[[#This Row],[name w/o location]],IF(IsElementOfSet_DIY(_xlpm.id,{"atp","adp","h","pi","h2o"}),SIGN(mets9[[#This Row],[raw (GSM) coefficient]])*(ABS(mets9[[#This Row],[raw (GSM) coefficient]])-$J$2),mets9[[#This Row],[raw (GSM) coefficient]]))</f>
        <v>-0.121707</v>
      </c>
      <c r="H87" s="21">
        <f>mets9[[#This Row],[coeff. w/o GAM]]</f>
        <v>-0.121707</v>
      </c>
      <c r="I87" s="161">
        <f t="shared" si="3"/>
        <v>-0.12170659125772562</v>
      </c>
      <c r="J87" s="21" cm="1">
        <f t="array" ref="J87">_xlfn.LET(_xlpm.id,mets9[[#This Row],[name w/o location]],_xlpm.oldcoeff,mets9[[#This Row],[normalized coeffs]],_xlpm.gam,$J$2-$G$2,_xlfn.IFS(IFERROR(MATCH(_xlpm.id,{"atp","h2o"},0),0)&gt;0,_xlpm.oldcoeff-_xlpm.gam,IFERROR(MATCH(_xlpm.id,{"adp","h","pi"},0),0)&gt;0,_xlpm.oldcoeff+_xlpm.gam,TRUE,_xlpm.oldcoeff))</f>
        <v>-0.12170659125772562</v>
      </c>
      <c r="K87" t="str" cm="1">
        <f t="array" ref="K87">"BIOSYN-"&amp;_xlfn.IFS(IFERROR(MATCH(mets9[[#This Row],[category]],{0,"0",""},0),0)&gt;0,mets9[[#This Row],[name]],TRUE,mets9[[#This Row],[category]]&amp;"-"&amp;mets9[[#This Row],[name]])</f>
        <v>BIOSYN-PROT-phetrna_c</v>
      </c>
      <c r="L87" s="149" t="str" cm="1">
        <f t="array" ref="L87">IF(IsElementOfSet_DIY(mets9[[#This Row],[category]],{"ignore","PROT"}),"",_xlfn.LET(_xlpm.mw,mets9[[#This Row],[MW for biomass normalization (g/mol)]],"MET-"&amp;mets9[[#This Row],[name]]&amp;" --&gt; "&amp;IF((mets9[[#This Row],[category]]="DNA")+(mets9[[#This Row],[category]]="RNA"),"MET-ppi_c + ","")&amp;ROUND(ABS(_xlpm.mw/1000),6)&amp;" BIO-"&amp;mets9[[#This Row],[name]]))</f>
        <v/>
      </c>
      <c r="M87" s="149" cm="1">
        <f t="array" ref="M8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-0.12170684940742851</v>
      </c>
      <c r="N87" s="149"/>
      <c r="O87" s="149"/>
      <c r="P87" s="149"/>
      <c r="Q87" s="149"/>
      <c r="R87" s="149"/>
      <c r="S87" s="149"/>
      <c r="T87" s="149"/>
      <c r="U87" s="149"/>
      <c r="V87" s="149"/>
    </row>
    <row r="88" spans="1:22" ht="16" x14ac:dyDescent="0.2">
      <c r="A88" s="144" t="s">
        <v>1171</v>
      </c>
      <c r="B88" t="str">
        <f>SUBSTITUTE(_xlfn.TEXTBEFORE(mets9[[#This Row],[pasted JSON metabolite keys and values from GSM biomass rxn]],":"),CHAR(34),"")</f>
        <v>protrna_c</v>
      </c>
      <c r="C88" t="str">
        <f>_xlfn.TEXTBEFORE(mets9[[#This Row],[name]],"_",-1)</f>
        <v>protrna</v>
      </c>
      <c r="D88" t="str">
        <f>_xlfn.XLOOKUP(mets9[[#This Row],[name w/o location]],metaboliteInfo[name w/o location],metaboliteInfo[suggested category],"")</f>
        <v>PROT</v>
      </c>
      <c r="E88" s="21">
        <f>_xlfn.XLOOKUP(mets9[[#This Row],[name w/o location]],metaboliteInfo[name w/o location],metaboliteInfo[MW for biomass normalization (g/mol)],0)</f>
        <v>97.115179999999995</v>
      </c>
      <c r="F88" s="21">
        <f>_xlfn.NUMBERVALUE(SUBSTITUTE(_xlfn.TEXTAFTER(mets9[[#This Row],[pasted JSON metabolite keys and values from GSM biomass rxn]],":"),",",""))</f>
        <v>-0.136597</v>
      </c>
      <c r="G88" s="21" cm="1">
        <f t="array" ref="G88">_xlfn.LET(_xlpm.id,mets9[[#This Row],[name w/o location]],IF(IsElementOfSet_DIY(_xlpm.id,{"atp","adp","h","pi","h2o"}),SIGN(mets9[[#This Row],[raw (GSM) coefficient]])*(ABS(mets9[[#This Row],[raw (GSM) coefficient]])-$J$2),mets9[[#This Row],[raw (GSM) coefficient]]))</f>
        <v>-0.136597</v>
      </c>
      <c r="H88" s="21">
        <f>mets9[[#This Row],[coeff. w/o GAM]]</f>
        <v>-0.136597</v>
      </c>
      <c r="I88" s="161">
        <f t="shared" si="3"/>
        <v>-0.13659654125096787</v>
      </c>
      <c r="J88" s="21" cm="1">
        <f t="array" ref="J88">_xlfn.LET(_xlpm.id,mets9[[#This Row],[name w/o location]],_xlpm.oldcoeff,mets9[[#This Row],[normalized coeffs]],_xlpm.gam,$J$2-$G$2,_xlfn.IFS(IFERROR(MATCH(_xlpm.id,{"atp","h2o"},0),0)&gt;0,_xlpm.oldcoeff-_xlpm.gam,IFERROR(MATCH(_xlpm.id,{"adp","h","pi"},0),0)&gt;0,_xlpm.oldcoeff+_xlpm.gam,TRUE,_xlpm.oldcoeff))</f>
        <v>-0.13659654125096787</v>
      </c>
      <c r="K88" t="str" cm="1">
        <f t="array" ref="K88">"BIOSYN-"&amp;_xlfn.IFS(IFERROR(MATCH(mets9[[#This Row],[category]],{0,"0",""},0),0)&gt;0,mets9[[#This Row],[name]],TRUE,mets9[[#This Row],[category]]&amp;"-"&amp;mets9[[#This Row],[name]])</f>
        <v>BIOSYN-PROT-protrna_c</v>
      </c>
      <c r="L88" s="149" t="str" cm="1">
        <f t="array" ref="L88">IF(IsElementOfSet_DIY(mets9[[#This Row],[category]],{"ignore","PROT"}),"",_xlfn.LET(_xlpm.mw,mets9[[#This Row],[MW for biomass normalization (g/mol)]],"MET-"&amp;mets9[[#This Row],[name]]&amp;" --&gt; "&amp;IF((mets9[[#This Row],[category]]="DNA")+(mets9[[#This Row],[category]]="RNA"),"MET-ppi_c + ","")&amp;ROUND(ABS(_xlpm.mw/1000),6)&amp;" BIO-"&amp;mets9[[#This Row],[name]]))</f>
        <v/>
      </c>
      <c r="M88" s="149" cm="1">
        <f t="array" ref="M8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-0.13659683098348091</v>
      </c>
      <c r="N88" s="149"/>
      <c r="O88" s="149"/>
      <c r="P88" s="149"/>
      <c r="Q88" s="149"/>
      <c r="R88" s="149"/>
      <c r="S88" s="149"/>
      <c r="T88" s="149"/>
      <c r="U88" s="149"/>
      <c r="V88" s="149"/>
    </row>
    <row r="89" spans="1:22" ht="16" x14ac:dyDescent="0.2">
      <c r="A89" s="144" t="s">
        <v>1173</v>
      </c>
      <c r="B89" t="str">
        <f>SUBSTITUTE(_xlfn.TEXTBEFORE(mets9[[#This Row],[pasted JSON metabolite keys and values from GSM biomass rxn]],":"),CHAR(34),"")</f>
        <v>sertrna_c</v>
      </c>
      <c r="C89" t="str">
        <f>_xlfn.TEXTBEFORE(mets9[[#This Row],[name]],"_",-1)</f>
        <v>sertrna</v>
      </c>
      <c r="D89" t="str">
        <f>_xlfn.XLOOKUP(mets9[[#This Row],[name w/o location]],metaboliteInfo[name w/o location],metaboliteInfo[suggested category],"")</f>
        <v>PROT</v>
      </c>
      <c r="E89" s="21">
        <f>_xlfn.XLOOKUP(mets9[[#This Row],[name w/o location]],metaboliteInfo[name w/o location],metaboliteInfo[MW for biomass normalization (g/mol)],0)</f>
        <v>88.085239999999999</v>
      </c>
      <c r="F89" s="21">
        <f>_xlfn.NUMBERVALUE(SUBSTITUTE(_xlfn.TEXTAFTER(mets9[[#This Row],[pasted JSON metabolite keys and values from GSM biomass rxn]],":"),",",""))</f>
        <v>-0.17252500000000001</v>
      </c>
      <c r="G89" s="21" cm="1">
        <f t="array" ref="G89">_xlfn.LET(_xlpm.id,mets9[[#This Row],[name w/o location]],IF(IsElementOfSet_DIY(_xlpm.id,{"atp","adp","h","pi","h2o"}),SIGN(mets9[[#This Row],[raw (GSM) coefficient]])*(ABS(mets9[[#This Row],[raw (GSM) coefficient]])-$J$2),mets9[[#This Row],[raw (GSM) coefficient]]))</f>
        <v>-0.17252500000000001</v>
      </c>
      <c r="H89" s="21">
        <f>mets9[[#This Row],[coeff. w/o GAM]]</f>
        <v>-0.17252500000000001</v>
      </c>
      <c r="I89" s="161">
        <f t="shared" si="3"/>
        <v>-0.17252442058993414</v>
      </c>
      <c r="J89" s="21" cm="1">
        <f t="array" ref="J89">_xlfn.LET(_xlpm.id,mets9[[#This Row],[name w/o location]],_xlpm.oldcoeff,mets9[[#This Row],[normalized coeffs]],_xlpm.gam,$J$2-$G$2,_xlfn.IFS(IFERROR(MATCH(_xlpm.id,{"atp","h2o"},0),0)&gt;0,_xlpm.oldcoeff-_xlpm.gam,IFERROR(MATCH(_xlpm.id,{"adp","h","pi"},0),0)&gt;0,_xlpm.oldcoeff+_xlpm.gam,TRUE,_xlpm.oldcoeff))</f>
        <v>-0.17252442058993414</v>
      </c>
      <c r="K89" t="str" cm="1">
        <f t="array" ref="K89">"BIOSYN-"&amp;_xlfn.IFS(IFERROR(MATCH(mets9[[#This Row],[category]],{0,"0",""},0),0)&gt;0,mets9[[#This Row],[name]],TRUE,mets9[[#This Row],[category]]&amp;"-"&amp;mets9[[#This Row],[name]])</f>
        <v>BIOSYN-PROT-sertrna_c</v>
      </c>
      <c r="L89" s="149" t="str" cm="1">
        <f t="array" ref="L89">IF(IsElementOfSet_DIY(mets9[[#This Row],[category]],{"ignore","PROT"}),"",_xlfn.LET(_xlpm.mw,mets9[[#This Row],[MW for biomass normalization (g/mol)]],"MET-"&amp;mets9[[#This Row],[name]]&amp;" --&gt; "&amp;IF((mets9[[#This Row],[category]]="DNA")+(mets9[[#This Row],[category]]="RNA"),"MET-ppi_c + ","")&amp;ROUND(ABS(_xlpm.mw/1000),6)&amp;" BIO-"&amp;mets9[[#This Row],[name]]))</f>
        <v/>
      </c>
      <c r="M89" s="149" cm="1">
        <f t="array" ref="M89">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-0.17252478652843803</v>
      </c>
      <c r="N89" s="149"/>
      <c r="O89" s="149"/>
      <c r="P89" s="149"/>
      <c r="Q89" s="149"/>
      <c r="R89" s="149"/>
      <c r="S89" s="149"/>
      <c r="T89" s="149"/>
      <c r="U89" s="149"/>
      <c r="V89" s="149"/>
    </row>
    <row r="90" spans="1:22" ht="16" x14ac:dyDescent="0.2">
      <c r="A90" s="144" t="s">
        <v>1176</v>
      </c>
      <c r="B90" t="str">
        <f>SUBSTITUTE(_xlfn.TEXTBEFORE(mets9[[#This Row],[pasted JSON metabolite keys and values from GSM biomass rxn]],":"),CHAR(34),"")</f>
        <v>thrtrna_c</v>
      </c>
      <c r="C90" t="str">
        <f>_xlfn.TEXTBEFORE(mets9[[#This Row],[name]],"_",-1)</f>
        <v>thrtrna</v>
      </c>
      <c r="D90" t="str">
        <f>_xlfn.XLOOKUP(mets9[[#This Row],[name w/o location]],metaboliteInfo[name w/o location],metaboliteInfo[suggested category],"")</f>
        <v>PROT</v>
      </c>
      <c r="E90" s="21">
        <f>_xlfn.XLOOKUP(mets9[[#This Row],[name w/o location]],metaboliteInfo[name w/o location],metaboliteInfo[MW for biomass normalization (g/mol)],0)</f>
        <v>102.11181999999999</v>
      </c>
      <c r="F90" s="21">
        <f>_xlfn.NUMBERVALUE(SUBSTITUTE(_xlfn.TEXTAFTER(mets9[[#This Row],[pasted JSON metabolite keys and values from GSM biomass rxn]],":"),",",""))</f>
        <v>-0.18029400000000001</v>
      </c>
      <c r="G90" s="21" cm="1">
        <f t="array" ref="G90">_xlfn.LET(_xlpm.id,mets9[[#This Row],[name w/o location]],IF(IsElementOfSet_DIY(_xlpm.id,{"atp","adp","h","pi","h2o"}),SIGN(mets9[[#This Row],[raw (GSM) coefficient]])*(ABS(mets9[[#This Row],[raw (GSM) coefficient]])-$J$2),mets9[[#This Row],[raw (GSM) coefficient]]))</f>
        <v>-0.18029400000000001</v>
      </c>
      <c r="H90" s="21">
        <f>mets9[[#This Row],[coeff. w/o GAM]]</f>
        <v>-0.18029400000000001</v>
      </c>
      <c r="I90" s="161">
        <f t="shared" si="3"/>
        <v>-0.18029339449842971</v>
      </c>
      <c r="J90" s="21" cm="1">
        <f t="array" ref="J90">_xlfn.LET(_xlpm.id,mets9[[#This Row],[name w/o location]],_xlpm.oldcoeff,mets9[[#This Row],[normalized coeffs]],_xlpm.gam,$J$2-$G$2,_xlfn.IFS(IFERROR(MATCH(_xlpm.id,{"atp","h2o"},0),0)&gt;0,_xlpm.oldcoeff-_xlpm.gam,IFERROR(MATCH(_xlpm.id,{"adp","h","pi"},0),0)&gt;0,_xlpm.oldcoeff+_xlpm.gam,TRUE,_xlpm.oldcoeff))</f>
        <v>-0.18029339449842971</v>
      </c>
      <c r="K90" t="str" cm="1">
        <f t="array" ref="K90">"BIOSYN-"&amp;_xlfn.IFS(IFERROR(MATCH(mets9[[#This Row],[category]],{0,"0",""},0),0)&gt;0,mets9[[#This Row],[name]],TRUE,mets9[[#This Row],[category]]&amp;"-"&amp;mets9[[#This Row],[name]])</f>
        <v>BIOSYN-PROT-thrtrna_c</v>
      </c>
      <c r="L90" s="149" t="str" cm="1">
        <f t="array" ref="L90">IF(IsElementOfSet_DIY(mets9[[#This Row],[category]],{"ignore","PROT"}),"",_xlfn.LET(_xlpm.mw,mets9[[#This Row],[MW for biomass normalization (g/mol)]],"MET-"&amp;mets9[[#This Row],[name]]&amp;" --&gt; "&amp;IF((mets9[[#This Row],[category]]="DNA")+(mets9[[#This Row],[category]]="RNA"),"MET-ppi_c + ","")&amp;ROUND(ABS(_xlpm.mw/1000),6)&amp;" BIO-"&amp;mets9[[#This Row],[name]]))</f>
        <v/>
      </c>
      <c r="M90" s="149" cm="1">
        <f t="array" ref="M90">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-0.18029377691556703</v>
      </c>
      <c r="N90" s="149"/>
      <c r="O90" s="149"/>
      <c r="P90" s="149"/>
      <c r="Q90" s="149"/>
      <c r="R90" s="149"/>
      <c r="S90" s="149"/>
      <c r="T90" s="149"/>
      <c r="U90" s="149"/>
      <c r="V90" s="149"/>
    </row>
    <row r="91" spans="1:22" ht="16" x14ac:dyDescent="0.2">
      <c r="A91" s="144" t="s">
        <v>1197</v>
      </c>
      <c r="B91" t="str">
        <f>SUBSTITUTE(_xlfn.TEXTBEFORE(mets9[[#This Row],[pasted JSON metabolite keys and values from GSM biomass rxn]],":"),CHAR(34),"")</f>
        <v>trptrna_c</v>
      </c>
      <c r="C91" t="str">
        <f>_xlfn.TEXTBEFORE(mets9[[#This Row],[name]],"_",-1)</f>
        <v>trptrna</v>
      </c>
      <c r="D91" t="str">
        <f>_xlfn.XLOOKUP(mets9[[#This Row],[name w/o location]],metaboliteInfo[name w/o location],metaboliteInfo[suggested category],"")</f>
        <v>PROT</v>
      </c>
      <c r="E91" s="21">
        <f>_xlfn.XLOOKUP(mets9[[#This Row],[name w/o location]],metaboliteInfo[name w/o location],metaboliteInfo[MW for biomass normalization (g/mol)],0)</f>
        <v>187.21784</v>
      </c>
      <c r="F91" s="21">
        <f>_xlfn.NUMBERVALUE(SUBSTITUTE(_xlfn.TEXTAFTER(mets9[[#This Row],[pasted JSON metabolite keys and values from GSM biomass rxn]],":"),",",""))</f>
        <v>-2.104E-2</v>
      </c>
      <c r="G91" s="21" cm="1">
        <f t="array" ref="G91">_xlfn.LET(_xlpm.id,mets9[[#This Row],[name w/o location]],IF(IsElementOfSet_DIY(_xlpm.id,{"atp","adp","h","pi","h2o"}),SIGN(mets9[[#This Row],[raw (GSM) coefficient]])*(ABS(mets9[[#This Row],[raw (GSM) coefficient]])-$J$2),mets9[[#This Row],[raw (GSM) coefficient]]))</f>
        <v>-2.104E-2</v>
      </c>
      <c r="H91" s="21">
        <f>mets9[[#This Row],[coeff. w/o GAM]]</f>
        <v>-2.104E-2</v>
      </c>
      <c r="I91" s="161">
        <f t="shared" si="3"/>
        <v>-2.1039929339007182E-2</v>
      </c>
      <c r="J91" s="21" cm="1">
        <f t="array" ref="J91">_xlfn.LET(_xlpm.id,mets9[[#This Row],[name w/o location]],_xlpm.oldcoeff,mets9[[#This Row],[normalized coeffs]],_xlpm.gam,$J$2-$G$2,_xlfn.IFS(IFERROR(MATCH(_xlpm.id,{"atp","h2o"},0),0)&gt;0,_xlpm.oldcoeff-_xlpm.gam,IFERROR(MATCH(_xlpm.id,{"adp","h","pi"},0),0)&gt;0,_xlpm.oldcoeff+_xlpm.gam,TRUE,_xlpm.oldcoeff))</f>
        <v>-2.1039929339007182E-2</v>
      </c>
      <c r="K91" t="str" cm="1">
        <f t="array" ref="K91">"BIOSYN-"&amp;_xlfn.IFS(IFERROR(MATCH(mets9[[#This Row],[category]],{0,"0",""},0),0)&gt;0,mets9[[#This Row],[name]],TRUE,mets9[[#This Row],[category]]&amp;"-"&amp;mets9[[#This Row],[name]])</f>
        <v>BIOSYN-PROT-trptrna_c</v>
      </c>
      <c r="L91" s="149" t="str" cm="1">
        <f t="array" ref="L91">IF(IsElementOfSet_DIY(mets9[[#This Row],[category]],{"ignore","PROT"}),"",_xlfn.LET(_xlpm.mw,mets9[[#This Row],[MW for biomass normalization (g/mol)]],"MET-"&amp;mets9[[#This Row],[name]]&amp;" --&gt; "&amp;IF((mets9[[#This Row],[category]]="DNA")+(mets9[[#This Row],[category]]="RNA"),"MET-ppi_c + ","")&amp;ROUND(ABS(_xlpm.mw/1000),6)&amp;" BIO-"&amp;mets9[[#This Row],[name]]))</f>
        <v/>
      </c>
      <c r="M91" s="149" cm="1">
        <f t="array" ref="M91">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-2.1039973966429999E-2</v>
      </c>
      <c r="N91" s="149"/>
      <c r="O91" s="149"/>
      <c r="P91" s="149"/>
      <c r="Q91" s="149"/>
      <c r="R91" s="149"/>
      <c r="S91" s="149"/>
      <c r="T91" s="149"/>
      <c r="U91" s="149"/>
      <c r="V91" s="149"/>
    </row>
    <row r="92" spans="1:22" ht="16" x14ac:dyDescent="0.2">
      <c r="A92" s="144" t="s">
        <v>1199</v>
      </c>
      <c r="B92" t="str">
        <f>SUBSTITUTE(_xlfn.TEXTBEFORE(mets9[[#This Row],[pasted JSON metabolite keys and values from GSM biomass rxn]],":"),CHAR(34),"")</f>
        <v>tyrtrna_c</v>
      </c>
      <c r="C92" t="str">
        <f>_xlfn.TEXTBEFORE(mets9[[#This Row],[name]],"_",-1)</f>
        <v>tyrtrna</v>
      </c>
      <c r="D92" t="str">
        <f>_xlfn.XLOOKUP(mets9[[#This Row],[name w/o location]],metaboliteInfo[name w/o location],metaboliteInfo[suggested category],"")</f>
        <v>PROT</v>
      </c>
      <c r="E92" s="21">
        <f>_xlfn.XLOOKUP(mets9[[#This Row],[name w/o location]],metaboliteInfo[name w/o location],metaboliteInfo[MW for biomass normalization (g/mol)],0)</f>
        <v>164.18119999999999</v>
      </c>
      <c r="F92" s="21">
        <f>_xlfn.NUMBERVALUE(SUBSTITUTE(_xlfn.TEXTAFTER(mets9[[#This Row],[pasted JSON metabolite keys and values from GSM biomass rxn]],":"),",",""))</f>
        <v>-6.3442999999999999E-2</v>
      </c>
      <c r="G92" s="21" cm="1">
        <f t="array" ref="G92">_xlfn.LET(_xlpm.id,mets9[[#This Row],[name w/o location]],IF(IsElementOfSet_DIY(_xlpm.id,{"atp","adp","h","pi","h2o"}),SIGN(mets9[[#This Row],[raw (GSM) coefficient]])*(ABS(mets9[[#This Row],[raw (GSM) coefficient]])-$J$2),mets9[[#This Row],[raw (GSM) coefficient]]))</f>
        <v>-6.3442999999999999E-2</v>
      </c>
      <c r="H92" s="21">
        <f>mets9[[#This Row],[coeff. w/o GAM]]</f>
        <v>-6.3442999999999999E-2</v>
      </c>
      <c r="I92" s="161">
        <f t="shared" si="3"/>
        <v>-6.34427869322544E-2</v>
      </c>
      <c r="J92" s="21" cm="1">
        <f t="array" ref="J92">_xlfn.LET(_xlpm.id,mets9[[#This Row],[name w/o location]],_xlpm.oldcoeff,mets9[[#This Row],[normalized coeffs]],_xlpm.gam,$J$2-$G$2,_xlfn.IFS(IFERROR(MATCH(_xlpm.id,{"atp","h2o"},0),0)&gt;0,_xlpm.oldcoeff-_xlpm.gam,IFERROR(MATCH(_xlpm.id,{"adp","h","pi"},0),0)&gt;0,_xlpm.oldcoeff+_xlpm.gam,TRUE,_xlpm.oldcoeff))</f>
        <v>-6.34427869322544E-2</v>
      </c>
      <c r="K92" t="str" cm="1">
        <f t="array" ref="K92">"BIOSYN-"&amp;_xlfn.IFS(IFERROR(MATCH(mets9[[#This Row],[category]],{0,"0",""},0),0)&gt;0,mets9[[#This Row],[name]],TRUE,mets9[[#This Row],[category]]&amp;"-"&amp;mets9[[#This Row],[name]])</f>
        <v>BIOSYN-PROT-tyrtrna_c</v>
      </c>
      <c r="L92" s="149" t="str" cm="1">
        <f t="array" ref="L92">IF(IsElementOfSet_DIY(mets9[[#This Row],[category]],{"ignore","PROT"}),"",_xlfn.LET(_xlpm.mw,mets9[[#This Row],[MW for biomass normalization (g/mol)]],"MET-"&amp;mets9[[#This Row],[name]]&amp;" --&gt; "&amp;IF((mets9[[#This Row],[category]]="DNA")+(mets9[[#This Row],[category]]="RNA"),"MET-ppi_c + ","")&amp;ROUND(ABS(_xlpm.mw/1000),6)&amp;" BIO-"&amp;mets9[[#This Row],[name]]))</f>
        <v/>
      </c>
      <c r="M92" s="149" cm="1">
        <f t="array" ref="M92">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-6.3442921499630156E-2</v>
      </c>
      <c r="N92" s="149"/>
      <c r="O92" s="149"/>
      <c r="P92" s="149"/>
      <c r="Q92" s="149"/>
      <c r="R92" s="149"/>
      <c r="S92" s="149"/>
      <c r="T92" s="149"/>
      <c r="U92" s="149"/>
      <c r="V92" s="149"/>
    </row>
    <row r="93" spans="1:22" ht="16" x14ac:dyDescent="0.2">
      <c r="A93" s="144" t="s">
        <v>1201</v>
      </c>
      <c r="B93" t="str">
        <f>SUBSTITUTE(_xlfn.TEXTBEFORE(mets9[[#This Row],[pasted JSON metabolite keys and values from GSM biomass rxn]],":"),CHAR(34),"")</f>
        <v>valtrna_c</v>
      </c>
      <c r="C93" t="str">
        <f>_xlfn.TEXTBEFORE(mets9[[#This Row],[name]],"_",-1)</f>
        <v>valtrna</v>
      </c>
      <c r="D93" t="str">
        <f>_xlfn.XLOOKUP(mets9[[#This Row],[name w/o location]],metaboliteInfo[name w/o location],metaboliteInfo[suggested category],"")</f>
        <v>PROT</v>
      </c>
      <c r="E93" s="21">
        <f>_xlfn.XLOOKUP(mets9[[#This Row],[name w/o location]],metaboliteInfo[name w/o location],metaboliteInfo[MW for biomass normalization (g/mol)],0)</f>
        <v>100.139</v>
      </c>
      <c r="F93" s="21">
        <f>_xlfn.NUMBERVALUE(SUBSTITUTE(_xlfn.TEXTAFTER(mets9[[#This Row],[pasted JSON metabolite keys and values from GSM biomass rxn]],":"),",",""))</f>
        <v>-0.237263</v>
      </c>
      <c r="G93" s="21" cm="1">
        <f t="array" ref="G93">_xlfn.LET(_xlpm.id,mets9[[#This Row],[name w/o location]],IF(IsElementOfSet_DIY(_xlpm.id,{"atp","adp","h","pi","h2o"}),SIGN(mets9[[#This Row],[raw (GSM) coefficient]])*(ABS(mets9[[#This Row],[raw (GSM) coefficient]])-$J$2),mets9[[#This Row],[raw (GSM) coefficient]]))</f>
        <v>-0.237263</v>
      </c>
      <c r="H93" s="21">
        <f>mets9[[#This Row],[coeff. w/o GAM]]</f>
        <v>-0.237263</v>
      </c>
      <c r="I93" s="161">
        <f t="shared" si="3"/>
        <v>-0.23726220317304475</v>
      </c>
      <c r="J93" s="21" cm="1">
        <f t="array" ref="J93">_xlfn.LET(_xlpm.id,mets9[[#This Row],[name w/o location]],_xlpm.oldcoeff,mets9[[#This Row],[normalized coeffs]],_xlpm.gam,$J$2-$G$2,_xlfn.IFS(IFERROR(MATCH(_xlpm.id,{"atp","h2o"},0),0)&gt;0,_xlpm.oldcoeff-_xlpm.gam,IFERROR(MATCH(_xlpm.id,{"adp","h","pi"},0),0)&gt;0,_xlpm.oldcoeff+_xlpm.gam,TRUE,_xlpm.oldcoeff))</f>
        <v>-0.23726220317304475</v>
      </c>
      <c r="K93" t="str" cm="1">
        <f t="array" ref="K93">"BIOSYN-"&amp;_xlfn.IFS(IFERROR(MATCH(mets9[[#This Row],[category]],{0,"0",""},0),0)&gt;0,mets9[[#This Row],[name]],TRUE,mets9[[#This Row],[category]]&amp;"-"&amp;mets9[[#This Row],[name]])</f>
        <v>BIOSYN-PROT-valtrna_c</v>
      </c>
      <c r="L93" s="149" t="str" cm="1">
        <f t="array" ref="L93">IF(IsElementOfSet_DIY(mets9[[#This Row],[category]],{"ignore","PROT"}),"",_xlfn.LET(_xlpm.mw,mets9[[#This Row],[MW for biomass normalization (g/mol)]],"MET-"&amp;mets9[[#This Row],[name]]&amp;" --&gt; "&amp;IF((mets9[[#This Row],[category]]="DNA")+(mets9[[#This Row],[category]]="RNA"),"MET-ppi_c + ","")&amp;ROUND(ABS(_xlpm.mw/1000),6)&amp;" BIO-"&amp;mets9[[#This Row],[name]]))</f>
        <v/>
      </c>
      <c r="M93" s="149" cm="1">
        <f t="array" ref="M93">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-0.23726270642571679</v>
      </c>
      <c r="N93" s="149"/>
      <c r="O93" s="149"/>
      <c r="P93" s="149"/>
      <c r="Q93" s="149"/>
      <c r="R93" s="149"/>
      <c r="S93" s="149"/>
      <c r="T93" s="149"/>
      <c r="U93" s="149"/>
      <c r="V93" s="149"/>
    </row>
    <row r="94" spans="1:22" ht="16" x14ac:dyDescent="0.2">
      <c r="A94" s="144" t="s">
        <v>1132</v>
      </c>
      <c r="B94" t="str">
        <f>SUBSTITUTE(_xlfn.TEXTBEFORE(mets9[[#This Row],[pasted JSON metabolite keys and values from GSM biomass rxn]],":"),CHAR(34),"")</f>
        <v>atp_c</v>
      </c>
      <c r="C94" t="str">
        <f>_xlfn.TEXTBEFORE(mets9[[#This Row],[name]],"_",-1)</f>
        <v>atp</v>
      </c>
      <c r="D94" t="str">
        <f>_xlfn.XLOOKUP(mets9[[#This Row],[name w/o location]],metaboliteInfo[name w/o location],metaboliteInfo[suggested category],"")</f>
        <v>RNA</v>
      </c>
      <c r="E94" s="21">
        <f>_xlfn.XLOOKUP(mets9[[#This Row],[name w/o location]],metaboliteInfo[name w/o location],metaboliteInfo[MW for biomass normalization (g/mol)],0)</f>
        <v>328.19800099999998</v>
      </c>
      <c r="F94" s="21">
        <f>_xlfn.NUMBERVALUE(SUBSTITUTE(_xlfn.TEXTAFTER(mets9[[#This Row],[pasted JSON metabolite keys and values from GSM biomass rxn]],":"),",",""))</f>
        <v>-213.61852500000001</v>
      </c>
      <c r="G94" s="21" cm="1">
        <f t="array" ref="G94">_xlfn.LET(_xlpm.id,mets9[[#This Row],[name w/o location]],IF(IsElementOfSet_DIY(_xlpm.id,{"atp","adp","h","pi","h2o"}),SIGN(mets9[[#This Row],[raw (GSM) coefficient]])*(ABS(mets9[[#This Row],[raw (GSM) coefficient]])-$J$2),mets9[[#This Row],[raw (GSM) coefficient]]))</f>
        <v>-3.3478999999999814E-2</v>
      </c>
      <c r="H94" s="21">
        <f>mets9[[#This Row],[coeff. w/o GAM]]</f>
        <v>-3.3478999999999814E-2</v>
      </c>
      <c r="I94" s="161">
        <f t="shared" si="3"/>
        <v>-3.3478887563717565E-2</v>
      </c>
      <c r="J94" s="21" cm="1">
        <f t="array" ref="J94">_xlfn.LET(_xlpm.id,mets9[[#This Row],[name w/o location]],_xlpm.oldcoeff,mets9[[#This Row],[normalized coeffs]],_xlpm.gam,$J$2-$G$2,_xlfn.IFS(IFERROR(MATCH(_xlpm.id,{"atp","h2o"},0),0)&gt;0,_xlpm.oldcoeff-_xlpm.gam,IFERROR(MATCH(_xlpm.id,{"adp","h","pi"},0),0)&gt;0,_xlpm.oldcoeff+_xlpm.gam,TRUE,_xlpm.oldcoeff))</f>
        <v>-206.92852488756373</v>
      </c>
      <c r="K94" t="str" cm="1">
        <f t="array" ref="K94">"BIOSYN-"&amp;_xlfn.IFS(IFERROR(MATCH(mets9[[#This Row],[category]],{0,"0",""},0),0)&gt;0,mets9[[#This Row],[name]],TRUE,mets9[[#This Row],[category]]&amp;"-"&amp;mets9[[#This Row],[name]])</f>
        <v>BIOSYN-RNA-atp_c</v>
      </c>
      <c r="L94" s="149" t="str" cm="1">
        <f t="array" ref="L94">IF(IsElementOfSet_DIY(mets9[[#This Row],[category]],{"ignore","PROT"}),"",_xlfn.LET(_xlpm.mw,mets9[[#This Row],[MW for biomass normalization (g/mol)]],"MET-"&amp;mets9[[#This Row],[name]]&amp;" --&gt; "&amp;IF((mets9[[#This Row],[category]]="DNA")+(mets9[[#This Row],[category]]="RNA"),"MET-ppi_c + ","")&amp;ROUND(ABS(_xlpm.mw/1000),6)&amp;" BIO-"&amp;mets9[[#This Row],[name]]))</f>
        <v>MET-atp_c --&gt; MET-ppi_c + 0.328198 BIO-atp_c</v>
      </c>
      <c r="M94" s="149" cm="1">
        <f t="array" ref="M94">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-213.61852493109561</v>
      </c>
      <c r="N94" s="149"/>
      <c r="O94" s="149"/>
      <c r="P94" s="149"/>
      <c r="Q94" s="149"/>
      <c r="R94" s="149"/>
      <c r="S94" s="149"/>
      <c r="T94" s="149"/>
      <c r="U94" s="149"/>
      <c r="V94" s="149"/>
    </row>
    <row r="95" spans="1:22" ht="16" x14ac:dyDescent="0.2">
      <c r="A95" s="144" t="s">
        <v>1135</v>
      </c>
      <c r="B95" t="str">
        <f>SUBSTITUTE(_xlfn.TEXTBEFORE(mets9[[#This Row],[pasted JSON metabolite keys and values from GSM biomass rxn]],":"),CHAR(34),"")</f>
        <v>ctp_c</v>
      </c>
      <c r="C95" t="str">
        <f>_xlfn.TEXTBEFORE(mets9[[#This Row],[name]],"_",-1)</f>
        <v>ctp</v>
      </c>
      <c r="D95" t="str">
        <f>_xlfn.XLOOKUP(mets9[[#This Row],[name w/o location]],metaboliteInfo[name w/o location],metaboliteInfo[suggested category],"")</f>
        <v>RNA</v>
      </c>
      <c r="E95" s="21">
        <f>_xlfn.XLOOKUP(mets9[[#This Row],[name w/o location]],metaboliteInfo[name w/o location],metaboliteInfo[MW for biomass normalization (g/mol)],0)</f>
        <v>304.17330100000004</v>
      </c>
      <c r="F95" s="21">
        <f>_xlfn.NUMBERVALUE(SUBSTITUTE(_xlfn.TEXTAFTER(mets9[[#This Row],[pasted JSON metabolite keys and values from GSM biomass rxn]],":"),",",""))</f>
        <v>-5.8439999999999999E-2</v>
      </c>
      <c r="G95" s="21" cm="1">
        <f t="array" ref="G95">_xlfn.LET(_xlpm.id,mets9[[#This Row],[name w/o location]],IF(IsElementOfSet_DIY(_xlpm.id,{"atp","adp","h","pi","h2o"}),SIGN(mets9[[#This Row],[raw (GSM) coefficient]])*(ABS(mets9[[#This Row],[raw (GSM) coefficient]])-$J$2),mets9[[#This Row],[raw (GSM) coefficient]]))</f>
        <v>-5.8439999999999999E-2</v>
      </c>
      <c r="H95" s="21">
        <f>mets9[[#This Row],[coeff. w/o GAM]]</f>
        <v>-5.8439999999999999E-2</v>
      </c>
      <c r="I95" s="161">
        <f t="shared" si="3"/>
        <v>-5.8439803734390672E-2</v>
      </c>
      <c r="J95" s="21" cm="1">
        <f t="array" ref="J95">_xlfn.LET(_xlpm.id,mets9[[#This Row],[name w/o location]],_xlpm.oldcoeff,mets9[[#This Row],[normalized coeffs]],_xlpm.gam,$J$2-$G$2,_xlfn.IFS(IFERROR(MATCH(_xlpm.id,{"atp","h2o"},0),0)&gt;0,_xlpm.oldcoeff-_xlpm.gam,IFERROR(MATCH(_xlpm.id,{"adp","h","pi"},0),0)&gt;0,_xlpm.oldcoeff+_xlpm.gam,TRUE,_xlpm.oldcoeff))</f>
        <v>-5.8439803734390672E-2</v>
      </c>
      <c r="K95" t="str" cm="1">
        <f t="array" ref="K95">"BIOSYN-"&amp;_xlfn.IFS(IFERROR(MATCH(mets9[[#This Row],[category]],{0,"0",""},0),0)&gt;0,mets9[[#This Row],[name]],TRUE,mets9[[#This Row],[category]]&amp;"-"&amp;mets9[[#This Row],[name]])</f>
        <v>BIOSYN-RNA-ctp_c</v>
      </c>
      <c r="L95" s="149" t="str" cm="1">
        <f t="array" ref="L95">IF(IsElementOfSet_DIY(mets9[[#This Row],[category]],{"ignore","PROT"}),"",_xlfn.LET(_xlpm.mw,mets9[[#This Row],[MW for biomass normalization (g/mol)]],"MET-"&amp;mets9[[#This Row],[name]]&amp;" --&gt; "&amp;IF((mets9[[#This Row],[category]]="DNA")+(mets9[[#This Row],[category]]="RNA"),"MET-ppi_c + ","")&amp;ROUND(ABS(_xlpm.mw/1000),6)&amp;" BIO-"&amp;mets9[[#This Row],[name]]))</f>
        <v>MET-ctp_c --&gt; MET-ppi_c + 0.304173 BIO-ctp_c</v>
      </c>
      <c r="M95" s="149" cm="1">
        <f t="array" ref="M95">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-5.8439879722427868E-2</v>
      </c>
      <c r="N95" s="149"/>
      <c r="O95" s="149"/>
      <c r="P95" s="149"/>
      <c r="Q95" s="149"/>
      <c r="R95" s="149"/>
      <c r="S95" s="149"/>
      <c r="T95" s="149"/>
      <c r="U95" s="149"/>
      <c r="V95" s="149"/>
    </row>
    <row r="96" spans="1:22" ht="16" x14ac:dyDescent="0.2">
      <c r="A96" s="144" t="s">
        <v>1148</v>
      </c>
      <c r="B96" t="str">
        <f>SUBSTITUTE(_xlfn.TEXTBEFORE(mets9[[#This Row],[pasted JSON metabolite keys and values from GSM biomass rxn]],":"),CHAR(34),"")</f>
        <v>gtp_c</v>
      </c>
      <c r="C96" t="str">
        <f>_xlfn.TEXTBEFORE(mets9[[#This Row],[name]],"_",-1)</f>
        <v>gtp</v>
      </c>
      <c r="D96" t="str">
        <f>_xlfn.XLOOKUP(mets9[[#This Row],[name w/o location]],metaboliteInfo[name w/o location],metaboliteInfo[suggested category],"")</f>
        <v>RNA</v>
      </c>
      <c r="E96" s="21">
        <f>_xlfn.XLOOKUP(mets9[[#This Row],[name w/o location]],metaboliteInfo[name w/o location],metaboliteInfo[MW for biomass normalization (g/mol)],0)</f>
        <v>344.19740100000001</v>
      </c>
      <c r="F96" s="21">
        <f>_xlfn.NUMBERVALUE(SUBSTITUTE(_xlfn.TEXTAFTER(mets9[[#This Row],[pasted JSON metabolite keys and values from GSM biomass rxn]],":"),",",""))</f>
        <v>-5.1206000000000002E-2</v>
      </c>
      <c r="G96" s="21" cm="1">
        <f t="array" ref="G96">_xlfn.LET(_xlpm.id,mets9[[#This Row],[name w/o location]],IF(IsElementOfSet_DIY(_xlpm.id,{"atp","adp","h","pi","h2o"}),SIGN(mets9[[#This Row],[raw (GSM) coefficient]])*(ABS(mets9[[#This Row],[raw (GSM) coefficient]])-$J$2),mets9[[#This Row],[raw (GSM) coefficient]]))</f>
        <v>-5.1206000000000002E-2</v>
      </c>
      <c r="H96" s="21">
        <f>mets9[[#This Row],[coeff. w/o GAM]]</f>
        <v>-5.1206000000000002E-2</v>
      </c>
      <c r="I96" s="161">
        <f t="shared" si="3"/>
        <v>-5.1205828029144577E-2</v>
      </c>
      <c r="J96" s="21" cm="1">
        <f t="array" ref="J96">_xlfn.LET(_xlpm.id,mets9[[#This Row],[name w/o location]],_xlpm.oldcoeff,mets9[[#This Row],[normalized coeffs]],_xlpm.gam,$J$2-$G$2,_xlfn.IFS(IFERROR(MATCH(_xlpm.id,{"atp","h2o"},0),0)&gt;0,_xlpm.oldcoeff-_xlpm.gam,IFERROR(MATCH(_xlpm.id,{"adp","h","pi"},0),0)&gt;0,_xlpm.oldcoeff+_xlpm.gam,TRUE,_xlpm.oldcoeff))</f>
        <v>-5.1205828029144577E-2</v>
      </c>
      <c r="K96" t="str" cm="1">
        <f t="array" ref="K96">"BIOSYN-"&amp;_xlfn.IFS(IFERROR(MATCH(mets9[[#This Row],[category]],{0,"0",""},0),0)&gt;0,mets9[[#This Row],[name]],TRUE,mets9[[#This Row],[category]]&amp;"-"&amp;mets9[[#This Row],[name]])</f>
        <v>BIOSYN-RNA-gtp_c</v>
      </c>
      <c r="L96" s="149" t="str" cm="1">
        <f t="array" ref="L96">IF(IsElementOfSet_DIY(mets9[[#This Row],[category]],{"ignore","PROT"}),"",_xlfn.LET(_xlpm.mw,mets9[[#This Row],[MW for biomass normalization (g/mol)]],"MET-"&amp;mets9[[#This Row],[name]]&amp;" --&gt; "&amp;IF((mets9[[#This Row],[category]]="DNA")+(mets9[[#This Row],[category]]="RNA"),"MET-ppi_c + ","")&amp;ROUND(ABS(_xlpm.mw/1000),6)&amp;" BIO-"&amp;mets9[[#This Row],[name]]))</f>
        <v>MET-gtp_c --&gt; MET-ppi_c + 0.344197 BIO-gtp_c</v>
      </c>
      <c r="M96" s="149" cm="1">
        <f t="array" ref="M96">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-5.1205894610996609E-2</v>
      </c>
      <c r="N96" s="149"/>
      <c r="O96" s="149"/>
      <c r="P96" s="149"/>
      <c r="Q96" s="149"/>
      <c r="R96" s="149"/>
      <c r="S96" s="149"/>
      <c r="T96" s="149"/>
      <c r="U96" s="149"/>
      <c r="V96" s="149"/>
    </row>
    <row r="97" spans="1:22" ht="16" x14ac:dyDescent="0.2">
      <c r="A97" s="144" t="s">
        <v>1200</v>
      </c>
      <c r="B97" t="str">
        <f>SUBSTITUTE(_xlfn.TEXTBEFORE(mets9[[#This Row],[pasted JSON metabolite keys and values from GSM biomass rxn]],":"),CHAR(34),"")</f>
        <v>utp_c</v>
      </c>
      <c r="C97" t="str">
        <f>_xlfn.TEXTBEFORE(mets9[[#This Row],[name]],"_",-1)</f>
        <v>utp</v>
      </c>
      <c r="D97" t="str">
        <f>_xlfn.XLOOKUP(mets9[[#This Row],[name w/o location]],metaboliteInfo[name w/o location],metaboliteInfo[suggested category],"")</f>
        <v>RNA</v>
      </c>
      <c r="E97" s="21">
        <f>_xlfn.XLOOKUP(mets9[[#This Row],[name w/o location]],metaboliteInfo[name w/o location],metaboliteInfo[MW for biomass normalization (g/mol)],0)</f>
        <v>305.15806099999998</v>
      </c>
      <c r="F97" s="21">
        <f>_xlfn.NUMBERVALUE(SUBSTITUTE(_xlfn.TEXTAFTER(mets9[[#This Row],[pasted JSON metabolite keys and values from GSM biomass rxn]],":"),",",""))</f>
        <v>-3.0633000000000001E-2</v>
      </c>
      <c r="G97" s="21" cm="1">
        <f t="array" ref="G97">_xlfn.LET(_xlpm.id,mets9[[#This Row],[name w/o location]],IF(IsElementOfSet_DIY(_xlpm.id,{"atp","adp","h","pi","h2o"}),SIGN(mets9[[#This Row],[raw (GSM) coefficient]])*(ABS(mets9[[#This Row],[raw (GSM) coefficient]])-$J$2),mets9[[#This Row],[raw (GSM) coefficient]]))</f>
        <v>-3.0633000000000001E-2</v>
      </c>
      <c r="H97" s="21">
        <f>mets9[[#This Row],[coeff. w/o GAM]]</f>
        <v>-3.0633000000000001E-2</v>
      </c>
      <c r="I97" s="161">
        <f t="shared" si="3"/>
        <v>-3.063289712175889E-2</v>
      </c>
      <c r="J97" s="21" cm="1">
        <f t="array" ref="J97">_xlfn.LET(_xlpm.id,mets9[[#This Row],[name w/o location]],_xlpm.oldcoeff,mets9[[#This Row],[normalized coeffs]],_xlpm.gam,$J$2-$G$2,_xlfn.IFS(IFERROR(MATCH(_xlpm.id,{"atp","h2o"},0),0)&gt;0,_xlpm.oldcoeff-_xlpm.gam,IFERROR(MATCH(_xlpm.id,{"adp","h","pi"},0),0)&gt;0,_xlpm.oldcoeff+_xlpm.gam,TRUE,_xlpm.oldcoeff))</f>
        <v>-3.063289712175889E-2</v>
      </c>
      <c r="K97" t="str" cm="1">
        <f t="array" ref="K97">"BIOSYN-"&amp;_xlfn.IFS(IFERROR(MATCH(mets9[[#This Row],[category]],{0,"0",""},0),0)&gt;0,mets9[[#This Row],[name]],TRUE,mets9[[#This Row],[category]]&amp;"-"&amp;mets9[[#This Row],[name]])</f>
        <v>BIOSYN-RNA-utp_c</v>
      </c>
      <c r="L97" s="149" t="str" cm="1">
        <f t="array" ref="L97">IF(IsElementOfSet_DIY(mets9[[#This Row],[category]],{"ignore","PROT"}),"",_xlfn.LET(_xlpm.mw,mets9[[#This Row],[MW for biomass normalization (g/mol)]],"MET-"&amp;mets9[[#This Row],[name]]&amp;" --&gt; "&amp;IF((mets9[[#This Row],[category]]="DNA")+(mets9[[#This Row],[category]]="RNA"),"MET-ppi_c + ","")&amp;ROUND(ABS(_xlpm.mw/1000),6)&amp;" BIO-"&amp;mets9[[#This Row],[name]]))</f>
        <v>MET-utp_c --&gt; MET-ppi_c + 0.305158 BIO-utp_c</v>
      </c>
      <c r="M97" s="149" cm="1">
        <f t="array" ref="M97">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-3.0632936953065244E-2</v>
      </c>
      <c r="N97" s="149"/>
      <c r="O97" s="149"/>
      <c r="P97" s="149"/>
      <c r="Q97" s="149"/>
      <c r="R97" s="149"/>
      <c r="S97" s="149"/>
      <c r="T97" s="149"/>
      <c r="U97" s="149"/>
      <c r="V97" s="149"/>
    </row>
    <row r="98" spans="1:22" ht="16" x14ac:dyDescent="0.2">
      <c r="A98" s="144" t="s">
        <v>1174</v>
      </c>
      <c r="B98" t="str">
        <f>SUBSTITUTE(_xlfn.TEXTBEFORE(mets9[[#This Row],[pasted JSON metabolite keys and values from GSM biomass rxn]],":"),CHAR(34),"")</f>
        <v>so4_c</v>
      </c>
      <c r="C98" t="str">
        <f>_xlfn.TEXTBEFORE(mets9[[#This Row],[name]],"_",-1)</f>
        <v>so4</v>
      </c>
      <c r="D98" t="str">
        <f>_xlfn.XLOOKUP(mets9[[#This Row],[name w/o location]],metaboliteInfo[name w/o location],metaboliteInfo[suggested category],"")</f>
        <v>SO4</v>
      </c>
      <c r="E98" s="21">
        <f>_xlfn.XLOOKUP(mets9[[#This Row],[name w/o location]],metaboliteInfo[name w/o location],metaboliteInfo[MW for biomass normalization (g/mol)],0)</f>
        <v>96.062600000000003</v>
      </c>
      <c r="F98" s="21">
        <f>_xlfn.NUMBERVALUE(SUBSTITUTE(_xlfn.TEXTAFTER(mets9[[#This Row],[pasted JSON metabolite keys and values from GSM biomass rxn]],":"),",",""))</f>
        <v>-3.1165000000000002E-2</v>
      </c>
      <c r="G98" s="21" cm="1">
        <f t="array" ref="G98">_xlfn.LET(_xlpm.id,mets9[[#This Row],[name w/o location]],IF(IsElementOfSet_DIY(_xlpm.id,{"atp","adp","h","pi","h2o"}),SIGN(mets9[[#This Row],[raw (GSM) coefficient]])*(ABS(mets9[[#This Row],[raw (GSM) coefficient]])-$J$2),mets9[[#This Row],[raw (GSM) coefficient]]))</f>
        <v>-3.1165000000000002E-2</v>
      </c>
      <c r="H98" s="21">
        <f>mets9[[#This Row],[coeff. w/o GAM]]</f>
        <v>-3.1165000000000002E-2</v>
      </c>
      <c r="I98" s="161">
        <f t="shared" si="3"/>
        <v>-3.1164895335083598E-2</v>
      </c>
      <c r="J98" s="21" cm="1">
        <f t="array" ref="J98">_xlfn.LET(_xlpm.id,mets9[[#This Row],[name w/o location]],_xlpm.oldcoeff,mets9[[#This Row],[normalized coeffs]],_xlpm.gam,$J$2-$G$2,_xlfn.IFS(IFERROR(MATCH(_xlpm.id,{"atp","h2o"},0),0)&gt;0,_xlpm.oldcoeff-_xlpm.gam,IFERROR(MATCH(_xlpm.id,{"adp","h","pi"},0),0)&gt;0,_xlpm.oldcoeff+_xlpm.gam,TRUE,_xlpm.oldcoeff))</f>
        <v>-3.1164895335083598E-2</v>
      </c>
      <c r="K98" t="str" cm="1">
        <f t="array" ref="K98">"BIOSYN-"&amp;_xlfn.IFS(IFERROR(MATCH(mets9[[#This Row],[category]],{0,"0",""},0),0)&gt;0,mets9[[#This Row],[name]],TRUE,mets9[[#This Row],[category]]&amp;"-"&amp;mets9[[#This Row],[name]])</f>
        <v>BIOSYN-SO4-so4_c</v>
      </c>
      <c r="L98" s="149" t="str" cm="1">
        <f t="array" ref="L98">IF(IsElementOfSet_DIY(mets9[[#This Row],[category]],{"ignore","PROT"}),"",_xlfn.LET(_xlpm.mw,mets9[[#This Row],[MW for biomass normalization (g/mol)]],"MET-"&amp;mets9[[#This Row],[name]]&amp;" --&gt; "&amp;IF((mets9[[#This Row],[category]]="DNA")+(mets9[[#This Row],[category]]="RNA"),"MET-ppi_c + ","")&amp;ROUND(ABS(_xlpm.mw/1000),6)&amp;" BIO-"&amp;mets9[[#This Row],[name]]))</f>
        <v>MET-so4_c --&gt; 0.096063 BIO-so4_c</v>
      </c>
      <c r="M98" s="149" cm="1">
        <f t="array" ref="M98">_xlfn.LET(_xlpm.gam,$J$2,_xlpm.cat,IF(LEFT(mets9[[#This Row],[name w/o location]],4)="trna","PROT",mets9[[#This Row],[category]]),_xlpm.multipliers,_xlfn._xlws.FILTER(_xlfn.HSTACK(biomassComponents5[normalized coeffs],biomassComponents5[original coeffs from input]),(biomassComponents5[rxn name]="BIOSYN-"&amp;_xlpm.cat)+IF(mets9[[#This Row],[name w/o location]]="ppi",((biomassComponents5[rxn name]="BIOSYN-DNA"))+((biomassComponents5[rxn name]="BIOSYN-RNA"))&gt;0,FALSE),{1,1}),mets9[[#This Row],[normalized coeffs]]*(SUM(_xlfn.CHOOSECOLS(_xlpm.multipliers,1))/SUM(_xlfn.CHOOSECOLS(_xlpm.multipliers,2)))+_xlfn.IFS(OR(mets9[[#This Row],[name w/o location]]={"atp","h2o"}),-_xlpm.gam,OR(mets9[[#This Row],[name w/o location]]={"adp","h","pi"}),_xlpm.gam,TRUE,0))</f>
        <v>-3.1164895335083598E-2</v>
      </c>
      <c r="N98" s="149"/>
      <c r="O98" s="149"/>
      <c r="P98" s="149"/>
      <c r="Q98" s="149"/>
      <c r="R98" s="149"/>
      <c r="S98" s="149"/>
      <c r="T98" s="149"/>
      <c r="U98" s="149"/>
      <c r="V98" s="149"/>
    </row>
  </sheetData>
  <mergeCells count="3">
    <mergeCell ref="A1:F1"/>
    <mergeCell ref="A2:F2"/>
    <mergeCell ref="D4:E4"/>
  </mergeCells>
  <conditionalFormatting sqref="S6:S14">
    <cfRule type="expression" dxfId="39" priority="1" stopIfTrue="1">
      <formula>NOT(_xlfn.ISFORMULA(S6))</formula>
    </cfRule>
  </conditionalFormatting>
  <conditionalFormatting sqref="T6:T14">
    <cfRule type="expression" dxfId="38" priority="2"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FF8A1-B3E1-9E4D-8F38-B7E763AD5D52}">
  <sheetPr codeName="Sheet111"/>
  <dimension ref="A1:AG98"/>
  <sheetViews>
    <sheetView zoomScale="110" zoomScaleNormal="110" workbookViewId="0">
      <selection activeCell="A2" sqref="A2:F2"/>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3" width="26.5"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15.1640625" customWidth="1"/>
    <col min="22" max="22" width="18.1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1306</v>
      </c>
      <c r="B1" s="182"/>
      <c r="C1" s="182"/>
      <c r="D1" s="182"/>
      <c r="E1" s="182"/>
      <c r="F1" s="182"/>
      <c r="G1" s="148" t="s">
        <v>744</v>
      </c>
      <c r="I1" s="148"/>
      <c r="J1" s="148" t="s">
        <v>743</v>
      </c>
      <c r="K1" s="148" t="s">
        <v>758</v>
      </c>
      <c r="L1" s="148"/>
      <c r="M1" s="148"/>
      <c r="N1" s="148"/>
      <c r="O1" s="148"/>
      <c r="P1" s="148"/>
      <c r="Q1" s="148"/>
      <c r="R1" s="148"/>
      <c r="S1" s="148"/>
      <c r="T1" s="148"/>
      <c r="U1" s="148"/>
      <c r="V1" s="148"/>
      <c r="W1" s="148"/>
    </row>
    <row r="2" spans="1:33" ht="13" customHeight="1" x14ac:dyDescent="0.15">
      <c r="A2" s="182"/>
      <c r="B2" s="182"/>
      <c r="C2" s="182"/>
      <c r="D2" s="182"/>
      <c r="E2" s="182"/>
      <c r="F2" s="182"/>
      <c r="G2" s="140">
        <v>6.69</v>
      </c>
      <c r="J2" s="145">
        <f>_xlfn.XLOOKUP("adp",mets[name w/o location],mets[raw (GSM) coefficient],0)</f>
        <v>187.14109500000001</v>
      </c>
      <c r="K2" t="str" cm="1">
        <f t="array" ref="K2">_xlfn.LET(_xlpm.array,_xlfn._xlws.SORT(_xlfn._xlws.FILTER(_xlfn.HSTACK(mets[normalized coeff. w/ updated GAM]-mets[normalized coeffs],"MET-"&amp;mets[name]),(mets[category]="GAM")+(mets[name w/o location]="atp")+(mets[name w/o location]="pi"))),SUBSTITUTE(_xlfn.TEXTJOIN(" + ",TRUE,ABS(_xlfn.CHOOSECOLS(_xlpm.array,1))&amp;" "&amp;_xlfn.CHOOSECOLS(_xlpm.array,2))," + "," --&gt; ",2))</f>
        <v>180.451095 MET-h2o_c + 180.451095 MET-atp_c --&gt; 180.451095 MET-adp_c + 180.451095 MET-h_c + 180.451095 MET-pi_c</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_xlfn.LET(_xlpm.coeffs,mets[coeff. w/o GAM],-SUM(_xlfn._xlws.FILTER(_xlpm.coeffs*mets[MW for biomass normalization (g/mol)],(IFERROR(_xlfn.NUMBERVALUE(_xlpm.coeffs),0)&lt;0)*(_xlfn.IFNA(mets[category],"ignore")&lt;&gt;"ignore")))/1000)</f>
        <v>1.0018655722573004</v>
      </c>
      <c r="H3" s="145" cm="1">
        <f t="array" ref="H3">_xlfn.LET(_xlpm.coeffs,mets[coeffs after extra operations],-SUM(_xlfn._xlws.FILTER(_xlpm.coeffs*mets[MW for biomass normalization (g/mol)],(IFERROR(_xlfn.NUMBERVALUE(_xlpm.coeffs),0)&lt;0)*(_xlfn.IFNA(mets[category],"ignore")&lt;&gt;"ignore")))/1000)</f>
        <v>1.0018655722573004</v>
      </c>
      <c r="I3" s="143" cm="1">
        <f t="array" ref="I3">_xlfn.LET(_xlpm.coeffs,mets[normalized coeffs],-SUM(_xlfn._xlws.FILTER(_xlpm.coeffs*mets[MW for biomass normalization (g/mol)],(IFERROR(_xlfn.NUMBERVALUE(_xlpm.coeffs),0)&lt;0)*(_xlfn.IFNA(mets[category],"ignore")&lt;&gt;"ignore")))/1000)</f>
        <v>1</v>
      </c>
      <c r="J3" s="145"/>
      <c r="L3" s="145"/>
      <c r="M3" s="145" t="str" cm="1">
        <f t="array" ref="M3">_xlfn.TEXTJOIN(","&amp;CHAR(10),TRUE,CHAR(34)&amp;mets[name]&amp;CHAR(34)&amp;":"&amp;mets[new GSM coeffs])</f>
        <v>"ppi_c":0.198894553128237,
"13BDglucan_c":-1.3905505800599,
"16BDglucan_en":-0.365935167326193,
"G00006_c":-0.0215335234957829,
"chtn_c":-0.0328760219068364,
"gpianchorSC_r":-0.023597563740557,
"oglycanSC_g":-0.0663770896482275,
"amet_c":-9.98137901621774E-05,
"btn_c":-9.98137901621774E-05,
"coa_c":-9.98137901621774E-05,
"fad_c":-9.98137901621774E-05,
"hemeA_c":-9.98137901621774E-05,
"nad_c":-9.98137901621774E-05,
"nadp_c":-9.98137901621774E-05,
"pydx5p_c":-9.98137901621774E-05,
"ribflv_c":-9.98137901621774E-05,
"spmd_c":-9.98137901621774E-05,
"thf_c":-9.98137901621774E-05,
"thmpp_c":-9.98137901621774E-05,
"datp_c":-0.00487362168987059,
"dctp_c":-0.00760683391030682,
"dgtp_c":-0.00760683391030682,
"dttp_c":-0.00487362168987059,
"adp_c":187.141095,
"h2o_c":-187.141095,
"h_c":187.141095,
"trnaala_c":0.316242502727811,
"trnaarg_c":0.12494335563198,
"trnaasn_c":0.150190913085411,
"trnaasp_c":0.150190913085411,
"trnacys_c":0.00453173883661641,
"trnagln_c":0.250534336452716,
"trnaglu_c":0.250534336452716,
"trnagly_c":0.287758456815275,
"trnahis_c":0.0624716778159901,
"trnaile_c":0.190652340649412,
"trnaleu_c":0.259273592160402,
"trnalys_c":0.212662590901401,
"trnamet_c":0.0369007171393499,
"trnaphe_c":0.121706867172875,
"trnapro_c":0.136596515317899,
"trnaser_c":0.172525385302947,
"trnathr_c":0.180294431341005,
"trnatrp_c":0.0210400405823611,
"trnatyr_c":0.0634427062279552,
"trnaval_c":0.237263341908413,
"docosa_c":-2.90867257223972E-05,
"epist_c":-0.0727671840017563,
"hdca_c":-0.00033910865598307,
"ipc_g":-0.00573292269665103,
"linoea_c":-0.000864798015990299,
"linolen_c":-0.000231984373444485,
"ocdca_c":-0.000225599482432252,
"ocdcea_c":-0.000414308483460488,
"pail_c":-0.0155621076938172,
"pc_c":-0.0292044914899562,
"pe_c":-0.00705388570384868,
"ps_c":-0.00378269320858103,
"tag_c":-0.00897148130452282,
"ttcosa_c":-0.000178776948342539,
"ca2_c":-0.0012836053414856,
"cu2_c":-0.000113787720784882,
"fe2_c":-0.000662763566676858,
"k_c":-0.602525944313984,
"mg2_c":-0.0634885575084562,
"mn2_c":-9.38249627524468E-05,
"zn2_c":-0.00157306533295592,
"pi_c":187.035636740004,
"alatrna_c":-0.316242502727811,
"argtrna_c":-0.12494335563198,
"asntrna_c":-0.150190913085411,
"asptrna_c":-0.150190913085411,
"cystrna_c":-0.00453173883661641,
"glntrna_c":-0.250534336452716,
"glutrna_c":-0.250534336452716,
"glytrna_c":-0.287758456815275,
"histrna_c":-0.0624716778159901,
"iletrna_c":-0.190652340649412,
"leutrna_c":-0.259273592160402,
"lystrna_c":-0.212662590901401,
"mettrna_c":-0.0369007171393499,
"phetrna_c":-0.121706867172875,
"protrna_c":-0.136596515317899,
"sertrna_c":-0.172525385302947,
"thrtrna_c":-0.180294431341005,
"trptrna_c":-0.0210400405823611,
"tyrtrna_c":-0.0634427062279552,
"valtrna_c":-0.237263341908413,
"atp_c":-187.174574408117,
"ctp_c":-0.0584396172271358,
"gtp_c":-0.0512055064971108,
"utp_c":-0.0306333228622705,
"so4_c":-0.0311648597023367</v>
      </c>
      <c r="N3" s="145"/>
      <c r="O3" s="145"/>
      <c r="P3" s="145"/>
      <c r="Q3" s="145"/>
      <c r="R3" s="145"/>
      <c r="S3" s="145"/>
      <c r="T3" s="145"/>
      <c r="U3" s="145"/>
      <c r="V3" s="145" t="str" cm="1">
        <f t="array" ref="V3">_xlfn.LET(_xlpm.eqn,_xlfn.TEXTJOIN(" + ",TRUE,biomassComponents[new GSM coeffs])&amp;" + "&amp;K2,_xlpm.reactants,"-"&amp;SUBSTITUTE(_xlfn.TEXTBEFORE(_xlpm.eqn,"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"13BDglucan_c":-1.3905505800599,
"16BDglucan_en":-0.365935167326194,
"G00006_c":-0.0215335234957829,
"chtn_c":-0.0328760219068364,
"gpianchorSC_r":-0.023597563740557,
"oglycanSC_g":-0.0663770896482275,
"amet_c":-9.98137901621774E-05,
"btn_c":-9.98137901621774E-05,
"coa_c":-9.98137901621774E-05,
"fad_c":-9.98137901621774E-05,
"hemeA_c":-9.98137901621774E-05,
"nad_c":-9.98137901621774E-05,
"nadp_c":-9.98137901621774E-05,
"pydx5p_c":-9.98137901621774E-05,
"ribflv_c":-9.98137901621774E-05,
"spmd_c":-9.98137901621774E-05,
"thf_c":-9.98137901621774E-05,
"thmpp_c":-9.98137901621774E-05,
"datp_c":-0.00487362168987059,
"dctp_c":-0.00760683391030682,
"dgtp_c":-0.00760683391030682,
"dttp_c":-0.00487362168987059,
"docosa_c":-2.90867257223972E-05,
"epist_c":-0.0727671840017563,
"hdca_c":-0.00033910865598307,
"ipc_g":-0.00573292269665103,
"linoea_c":-0.000864798015990299,
"linolen_c":-0.000231984373444485,
"ocdca_c":-0.000225599482432252,
"ocdcea_c":-0.000414308483460488,
"pail_c":-0.0155621076938172,
"pc_c":-0.0292044914899562,
"pe_c":-0.00705388570384868,
"ps_c":-0.00378269320858103,
"tag_c":-0.00897148130452282,
"ttcosa_c":-0.000178776948342539,
"ca2_c":-0.0012836053414856,
"cu2_c":-0.000113787720784882,
"fe2_c":-0.000662763566676858,
"k_c":-0.602525944313984,
"mg2_c":-0.0634885575084562,
"mn2_c":-9.38249627524468E-05,
"zn2_c":-0.00157306533295592,
"pi_c":180.345636740004,
"alatrna_c":-0.316242502727811,
"argtrna_c":-0.12494335563198,
"asntrna_c":-0.150190913085411,
"asptrna_c":-0.150190913085411,
"cystrna_c":-0.00453173883661641,
"glntrna_c":-0.250534336452716,
"glutrna_c":-0.250534336452716,
"glytrna_c":-0.287758456815275,
"histrna_c":-0.0624716778159901,
"iletrna_c":-0.190652340649412,
"leutrna_c":-0.259273592160402,
"lystrna_c":-0.212662590901401,
"mettrna_c":-0.0369007171393499,
"phetrna_c":-0.121706867172875,
"protrna_c":-0.136596515317899,
"sertrna_c":-0.172525385302947,
"thrtrna_c":-0.180294431341005,
"trptrna_c":-0.0210400405823611,
"tyrtrna_c":-0.0634427062279552,
"valtrna_c":-0.237263341908413,
"atp_c":-180.484574408117,
"ctp_c":-0.0584396172271358,
"gtp_c":-0.0512055064971108,
"utp_c":-0.0306333228622705,
"so4_c":-0.0311648597023367,
"h2o_c":-180.451095,
"adp_c":180.451095,
"h_c":180.451095</v>
      </c>
      <c r="X3" s="143"/>
      <c r="Y3" s="143"/>
    </row>
    <row r="4" spans="1:33" ht="28" customHeight="1" x14ac:dyDescent="0.15">
      <c r="A4" s="143" t="s">
        <v>1203</v>
      </c>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x14ac:dyDescent="0.2">
      <c r="A6" s="144" t="s">
        <v>1042</v>
      </c>
      <c r="B6" t="str">
        <f>SUBSTITUTE(_xlfn.TEXTBEFORE(mets[[#This Row],[pasted JSON metabolite keys and values from GSM biomass rxn]],":"),CHAR(34),"")</f>
        <v>ppi_c</v>
      </c>
      <c r="C6" t="str">
        <f>_xlfn.TEXTBEFORE(mets[[#This Row],[name]],"_",-1)</f>
        <v>ppi</v>
      </c>
      <c r="D6">
        <f>_xlfn.XLOOKUP(mets[[#This Row],[name w/o location]],metaboliteInfo[name w/o location],metaboliteInfo[suggested category],"")</f>
        <v>0</v>
      </c>
      <c r="E6" s="21">
        <f>_xlfn.XLOOKUP(mets[[#This Row],[name w/o location]],metaboliteInfo[name w/o location],metaboliteInfo[MW for biomass normalization (g/mol)],0)</f>
        <v>174.95126200000001</v>
      </c>
      <c r="F6" s="21">
        <f>_xlfn.NUMBERVALUE(SUBSTITUTE(_xlfn.TEXTAFTER(mets[[#This Row],[pasted JSON metabolite keys and values from GSM biomass rxn]],":"),",",""))</f>
        <v>0.24604999999999999</v>
      </c>
      <c r="G6" s="21" cm="1">
        <f t="array" ref="G6">_xlfn.LET(_xlpm.id,mets[[#This Row],[name w/o location]],IF(IsElementOfSet_DIY(_xlpm.id,{"atp","adp","h","pi","h2o"}),SIGN(mets[[#This Row],[raw (GSM) coefficient]])*(ABS(mets[[#This Row],[raw (GSM) coefficient]])-$J$2),mets[[#This Row],[raw (GSM) coefficient]]))</f>
        <v>0.24604999999999999</v>
      </c>
      <c r="H6" s="21">
        <f>mets[[#This Row],[coeff. w/o GAM]]</f>
        <v>0.24604999999999999</v>
      </c>
      <c r="I6" s="161">
        <f t="shared" ref="I6:I37" si="0">H6/($H$3)</f>
        <v>0.24559183069403756</v>
      </c>
      <c r="J6" s="21" cm="1">
        <f t="array" ref="J6">_xlfn.LET(_xlpm.id,mets[[#This Row],[name w/o location]],_xlpm.oldcoeff,mets[[#This Row],[normalized coeffs]],_xlpm.gam,$J$2-$G$2,_xlfn.IFS(IFERROR(MATCH(_xlpm.id,{"atp","h2o"},0),0)&gt;0,_xlpm.oldcoeff-_xlpm.gam,IFERROR(MATCH(_xlpm.id,{"adp","h","pi"},0),0)&gt;0,_xlpm.oldcoeff+_xlpm.gam,TRUE,_xlpm.oldcoeff))</f>
        <v>0.24559183069403756</v>
      </c>
      <c r="K6" t="str" cm="1">
        <f t="array" ref="K6">"BIOSYN-"&amp;_xlfn.IFS(IFERROR(MATCH(mets[[#This Row],[category]],{0,"0",""},0),0)&gt;0,mets[[#This Row],[name]],TRUE,mets[[#This Row],[category]]&amp;"-"&amp;mets[[#This Row],[name]])</f>
        <v>BIOSYN-ppi_c</v>
      </c>
      <c r="L6" s="149" t="str" cm="1">
        <f t="array" ref="L6">IF(IsElementOfSet_DIY(mets[[#This Row],[category]],{"ignore","PROT"}),"",_xlfn.LET(_xlpm.mw,mets[[#This Row],[MW for biomass normalization (g/mol)]],"MET-"&amp;mets[[#This Row],[name]]&amp;" --&gt; "&amp;IF((mets[[#This Row],[category]]="DNA")+(mets[[#This Row],[category]]="RNA"),"MET-ppi_c + ","")&amp;ROUND(ABS(_xlpm.mw/1000),6)&amp;" BIO-"&amp;mets[[#This Row],[name]]))</f>
        <v>MET-ppi_c --&gt; 0.174951 BIO-ppi_c</v>
      </c>
      <c r="M6" s="149" cm="1">
        <f t="array" ref="M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0.19889455312823698</v>
      </c>
      <c r="N6" s="149"/>
      <c r="O6" s="162" t="str" cm="1">
        <f t="array" ref="O6:O14">"BIOSYN-"&amp;_xlfn._xlws.SORT(_xlfn.UNIQUE(_xlfn._xlws.FILTER(mets[category],(mets[category]&lt;&gt;0)*(mets[category]&lt;&gt;"GAM")*(mets[category]&lt;&gt;"ignore"))))</f>
        <v>BIOSYN-CARB</v>
      </c>
      <c r="P6" s="158" t="str">
        <f t="shared" ref="P6:P14" si="1">O6</f>
        <v>BIOSYN-CARB</v>
      </c>
      <c r="Q6" s="158" t="str">
        <f>SUBSTITUTE(LOWER(biomassComponents[[#This Row],[rxn name]]),"biosyn-","BIO-")</f>
        <v>BIO-carb</v>
      </c>
      <c r="R6" s="160" cm="1">
        <f t="array" ref="R6">SUM(_xlfn._xlws.FILTER(-mets[MW for biomass normalization (g/mol)]*mets[normalized coeffs]/1000,mets[category]=_xlfn.TEXTAFTER(O6,"BIOSYN-"),""))</f>
        <v>0.32732628152901144</v>
      </c>
      <c r="S6" s="160">
        <v>0.47399999999999998</v>
      </c>
      <c r="T6" s="160" cm="1">
        <f t="array" ref="T6">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0.4555013634835644</v>
      </c>
      <c r="U6" s="158" t="str" cm="1">
        <f t="array" ref="U6">_xlfn.TEXTJOIN(" + ",TRUE,_xlfn._xlws.FILTER(ROUND(-mets[MW for biomass normalization (g/mol)]*mets[normalized coeffs]*(biomassComponents[[#This Row],[normalized coeffs]]/biomassComponents[[#This Row],[original coeffs from input]])/(1000*biomassComponents[[#This Row],[normalized coeffs]]),6)&amp;" BIO-"&amp;mets[name],mets[category]=_xlfn.TEXTAFTER(O6,"BIOSYN-"),""))&amp;" --&gt; "&amp;biomassComponents[[#This Row],[product name]]</f>
        <v>0.494981 BIO-13BDglucan_c + 0.130259 BIO-16BDglucan_en + 0.123818 BIO-G00006_c + 0.014666 BIO-chtn_c + 0.118138 BIO-gpianchorSC_r + 0.118138 BIO-oglycanSC_g --&gt; BIO-carb</v>
      </c>
      <c r="V6" s="158" t="str" cm="1">
        <f t="array" ref="V6">_xlfn.TEXTJOIN(" + ",TRUE,_xlfn._xlws.FILTER((-mets[normalized coeffs]*biomassComponents[[#This Row],[normalized coeffs]]/biomassComponents[[#This Row],[original coeffs from input]])&amp;" BIO-"&amp;mets[name],mets[category]=_xlfn.TEXTAFTER(P6,"BIOSYN-"),""))</f>
        <v>1.3905505800599 BIO-13BDglucan_c + 0.365935167326194 BIO-16BDglucan_en + 0.0215335234957829 BIO-G00006_c + 0.0328760219068364 BIO-chtn_c + 0.023597563740557 BIO-gpianchorSC_r + 0.0663770896482275 BIO-oglycanSC_g</v>
      </c>
      <c r="Y6" s="152" t="s">
        <v>17</v>
      </c>
      <c r="Z6" t="str">
        <f>SUBSTITUTE(Z7," --&gt; "," + "&amp;K2)</f>
        <v>0.455501363483564 BIO-carb + 0.000606553575676651 BIO-cofactor + 0.007687786725461 BIO-dna + 0.0874485740021189 BIO-lipid + 0.0253045182109773 BIO-metal + 0.010121810079079 BIO-pi + 0.354599162711889 BIO-protmodeled + 0.0557364537595923 BIO-rna + 0.00299377745164169 BIO-so4 + 180.451095 MET-h2o_c + 180.451095 MET-atp_c --&gt; 180.451095 MET-adp_c + 180.451095 MET-h_c + 180.451095 MET-pi_c</v>
      </c>
      <c r="AB6" t="str" cm="1">
        <f t="array" ref="AB6:AC72">_xlfn.LET(_xlpm.macros,_xlfn._xlws.FILTER(_xlfn.HSTACK(_xlfn.ANCHORARRAY(O6),biomassComponents[stoichiometry (if needed)]),biomassComponents[stoichiometry (if needed)]&lt;&gt;""),_xlfn.VSTACK(ExtraRxns[[name]:[stoichiometry]],_xlpm.macros,_xlfn._xlws.SORT(_xlfn._xlws.FILTER(mets[[biomass equation name]:[biomass equation]],ISNUMBER(MATCH(mets[category],_xlfn.TEXTAFTER(biomassComponents[rxn name],"BIOSYN-"),0))*(mets[biomass equation]&lt;&gt;"")))))</f>
        <v>BIOSYN-BIODILAERO</v>
      </c>
      <c r="AC6" t="str">
        <v>0.455501363483564 BIO-carb + 0.000606553575676651 BIO-cofactor + 0.007687786725461 BIO-dna + 0.0874485740021189 BIO-lipid + 0.0253045182109773 BIO-metal + 0.010121810079079 BIO-pi + 0.354599162711889 BIO-protmodeled + 0.0557364537595923 BIO-rna + 0.00299377745164169 BIO-so4 + 180.451095 MET-h2o_c + 180.451095 MET-atp_c --&gt; 180.451095 MET-adp_c + 180.451095 MET-h_c + 180.451095 MET-pi_c</v>
      </c>
    </row>
    <row r="7" spans="1:33" ht="16" x14ac:dyDescent="0.2">
      <c r="A7" s="144" t="s">
        <v>954</v>
      </c>
      <c r="B7" t="str">
        <f>SUBSTITUTE(_xlfn.TEXTBEFORE(mets[[#This Row],[pasted JSON metabolite keys and values from GSM biomass rxn]],":"),CHAR(34),"")</f>
        <v>13BDglucan_c</v>
      </c>
      <c r="C7" t="str">
        <f>_xlfn.TEXTBEFORE(mets[[#This Row],[name]],"_",-1)</f>
        <v>13BDglucan</v>
      </c>
      <c r="D7" t="str">
        <f>_xlfn.XLOOKUP(mets[[#This Row],[name w/o location]],metaboliteInfo[name w/o location],metaboliteInfo[suggested category],"")</f>
        <v>CARB</v>
      </c>
      <c r="E7" s="21">
        <f>_xlfn.XLOOKUP(mets[[#This Row],[name w/o location]],metaboliteInfo[name w/o location],metaboliteInfo[MW for biomass normalization (g/mol)],0)</f>
        <v>162.14060000000001</v>
      </c>
      <c r="F7" s="21">
        <f>_xlfn.NUMBERVALUE(SUBSTITUTE(_xlfn.TEXTAFTER(mets[[#This Row],[pasted JSON metabolite keys and values from GSM biomass rxn]],":"),",",""))</f>
        <v>-1.001123</v>
      </c>
      <c r="G7" s="21" cm="1">
        <f t="array" ref="G7">_xlfn.LET(_xlpm.id,mets[[#This Row],[name w/o location]],IF(IsElementOfSet_DIY(_xlpm.id,{"atp","adp","h","pi","h2o"}),SIGN(mets[[#This Row],[raw (GSM) coefficient]])*(ABS(mets[[#This Row],[raw (GSM) coefficient]])-$J$2),mets[[#This Row],[raw (GSM) coefficient]]))</f>
        <v>-1.001123</v>
      </c>
      <c r="H7" s="161">
        <f>mets[[#This Row],[coeff. w/o GAM]]</f>
        <v>-1.001123</v>
      </c>
      <c r="I7" s="161">
        <f t="shared" si="0"/>
        <v>-0.99925881048529563</v>
      </c>
      <c r="J7" s="21" cm="1">
        <f t="array" ref="J7">_xlfn.LET(_xlpm.id,mets[[#This Row],[name w/o location]],_xlpm.oldcoeff,mets[[#This Row],[normalized coeffs]],_xlpm.gam,$J$2-$G$2,_xlfn.IFS(IFERROR(MATCH(_xlpm.id,{"atp","h2o"},0),0)&gt;0,_xlpm.oldcoeff-_xlpm.gam,IFERROR(MATCH(_xlpm.id,{"adp","h","pi"},0),0)&gt;0,_xlpm.oldcoeff+_xlpm.gam,TRUE,_xlpm.oldcoeff))</f>
        <v>-0.99925881048529563</v>
      </c>
      <c r="K7" t="str" cm="1">
        <f t="array" ref="K7">"BIOSYN-"&amp;_xlfn.IFS(IFERROR(MATCH(mets[[#This Row],[category]],{0,"0",""},0),0)&gt;0,mets[[#This Row],[name]],TRUE,mets[[#This Row],[category]]&amp;"-"&amp;mets[[#This Row],[name]])</f>
        <v>BIOSYN-CARB-13BDglucan_c</v>
      </c>
      <c r="L7" s="149" t="str" cm="1">
        <f t="array" ref="L7">IF(IsElementOfSet_DIY(mets[[#This Row],[category]],{"ignore","PROT"}),"",_xlfn.LET(_xlpm.mw,mets[[#This Row],[MW for biomass normalization (g/mol)]],"MET-"&amp;mets[[#This Row],[name]]&amp;" --&gt; "&amp;IF((mets[[#This Row],[category]]="DNA")+(mets[[#This Row],[category]]="RNA"),"MET-ppi_c + ","")&amp;ROUND(ABS(_xlpm.mw/1000),6)&amp;" BIO-"&amp;mets[[#This Row],[name]]))</f>
        <v>MET-13BDglucan_c --&gt; 0.162141 BIO-13BDglucan_c</v>
      </c>
      <c r="M7" s="149" cm="1">
        <f t="array" ref="M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-1.3905505800598994</v>
      </c>
      <c r="N7" s="149"/>
      <c r="O7" s="162" t="str">
        <v>BIOSYN-COFACTOR</v>
      </c>
      <c r="P7" s="158" t="str">
        <f t="shared" si="1"/>
        <v>BIOSYN-COFACTOR</v>
      </c>
      <c r="Q7" s="158" t="str">
        <f>SUBSTITUTE(LOWER(biomassComponents[[#This Row],[rxn name]]),"biosyn-","BIO-")</f>
        <v>BIO-cofactor</v>
      </c>
      <c r="R7" s="160" cm="1">
        <f t="array" ref="R7">SUM(_xlfn._xlws.FILTER(-mets[MW for biomass normalization (g/mol)]*mets[normalized coeffs]/1000,mets[category]=_xlfn.TEXTAFTER(O7,"BIOSYN-"),""))</f>
        <v>6.0655357567665133E-4</v>
      </c>
      <c r="S7" s="160"/>
      <c r="T7" s="160" cm="1">
        <f t="array" ref="T7">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6.0655357567665133E-4</v>
      </c>
      <c r="U7" s="158" t="str" cm="1">
        <f t="array" ref="U7">_xlfn.TEXTJOIN(" + ",TRUE,_xlfn._xlws.FILTER(ROUND(-mets[MW for biomass normalization (g/mol)]*mets[normalized coeffs]*(biomassComponents[[#This Row],[normalized coeffs]]/biomassComponents[[#This Row],[original coeffs from input]])/(1000*biomassComponents[[#This Row],[normalized coeffs]]),6)&amp;" BIO-"&amp;mets[name],mets[category]=_xlfn.TEXTAFTER(O7,"BIOSYN-"),""))&amp;" --&gt; "&amp;biomassComponents[[#This Row],[product name]]</f>
        <v>0.065732 BIO-amet_c + 0.040038 BIO-btn_c + 0.125641 BIO-coa_c + 0.128772 BIO-fad_c + 0.14001 BIO-hemeA_c + 0.109007 BIO-nad_c + 0.121836 BIO-nadp_c + 0.040338 BIO-pydx5p_c + 0.061768 BIO-ribflv_c + 0.024399 BIO-spmd_c + 0.072968 BIO-thf_c + 0.069492 BIO-thmpp_c --&gt; BIO-cofactor</v>
      </c>
      <c r="V7" s="158" t="str" cm="1">
        <f t="array" ref="V7">_xlfn.TEXTJOIN(" + ",TRUE,_xlfn._xlws.FILTER((-mets[normalized coeffs]*biomassComponents[[#This Row],[normalized coeffs]]/biomassComponents[[#This Row],[original coeffs from input]])&amp;" BIO-"&amp;mets[name],mets[category]=_xlfn.TEXTAFTER(P7,"BIOSYN-"),""))</f>
        <v>9.98137901621774E-05 BIO-amet_c + 9.98137901621774E-05 BIO-btn_c + 9.98137901621774E-05 BIO-coa_c + 9.98137901621774E-05 BIO-fad_c + 9.98137901621774E-05 BIO-hemeA_c + 9.98137901621774E-05 BIO-nad_c + 9.98137901621774E-05 BIO-nadp_c + 9.98137901621774E-05 BIO-pydx5p_c + 9.98137901621774E-05 BIO-ribflv_c + 9.98137901621774E-05 BIO-spmd_c + 9.98137901621774E-05 BIO-thf_c + 9.98137901621774E-05 BIO-thmpp_c</v>
      </c>
      <c r="Y7" s="152" t="str">
        <f>Y6&amp;"-NOGAM"</f>
        <v>BIOSYN-BIODILAERO-NOGAM</v>
      </c>
      <c r="Z7" t="str" cm="1">
        <f t="array" ref="Z7">_xlfn.TEXTJOIN(" + ",TRUE,_xlfn._xlws.FILTER(biomassComponents[normalized coeffs]&amp;" "&amp;biomassComponents[product name],biomassComponents[normalized coeffs]&lt;&gt;0))&amp;" --&gt; "</f>
        <v xml:space="preserve">0.455501363483564 BIO-carb + 0.000606553575676651 BIO-cofactor + 0.007687786725461 BIO-dna + 0.0874485740021189 BIO-lipid + 0.0253045182109773 BIO-metal + 0.010121810079079 BIO-pi + 0.354599162711889 BIO-protmodeled + 0.0557364537595923 BIO-rna + 0.00299377745164169 BIO-so4 --&gt; </v>
      </c>
      <c r="AB7" t="str">
        <v>BIOSYN-BIODILAERO-NOGAM</v>
      </c>
      <c r="AC7" t="str">
        <v xml:space="preserve">0.455501363483564 BIO-carb + 0.000606553575676651 BIO-cofactor + 0.007687786725461 BIO-dna + 0.0874485740021189 BIO-lipid + 0.0253045182109773 BIO-metal + 0.010121810079079 BIO-pi + 0.354599162711889 BIO-protmodeled + 0.0557364537595923 BIO-rna + 0.00299377745164169 BIO-so4 --&gt; </v>
      </c>
    </row>
    <row r="8" spans="1:33" ht="16" x14ac:dyDescent="0.2">
      <c r="A8" s="144" t="s">
        <v>955</v>
      </c>
      <c r="B8" t="str">
        <f>SUBSTITUTE(_xlfn.TEXTBEFORE(mets[[#This Row],[pasted JSON metabolite keys and values from GSM biomass rxn]],":"),CHAR(34),"")</f>
        <v>16BDglucan_en</v>
      </c>
      <c r="C8" t="str">
        <f>_xlfn.TEXTBEFORE(mets[[#This Row],[name]],"_",-1)</f>
        <v>16BDglucan</v>
      </c>
      <c r="D8" t="str">
        <f>_xlfn.XLOOKUP(mets[[#This Row],[name w/o location]],metaboliteInfo[name w/o location],metaboliteInfo[suggested category],"")</f>
        <v>CARB</v>
      </c>
      <c r="E8" s="21">
        <f>_xlfn.XLOOKUP(mets[[#This Row],[name w/o location]],metaboliteInfo[name w/o location],metaboliteInfo[MW for biomass normalization (g/mol)],0)</f>
        <v>162.14060000000001</v>
      </c>
      <c r="F8" s="21">
        <f>_xlfn.NUMBERVALUE(SUBSTITUTE(_xlfn.TEXTAFTER(mets[[#This Row],[pasted JSON metabolite keys and values from GSM biomass rxn]],":"),",",""))</f>
        <v>-0.26345400000000002</v>
      </c>
      <c r="G8" s="21" cm="1">
        <f t="array" ref="G8">_xlfn.LET(_xlpm.id,mets[[#This Row],[name w/o location]],IF(IsElementOfSet_DIY(_xlpm.id,{"atp","adp","h","pi","h2o"}),SIGN(mets[[#This Row],[raw (GSM) coefficient]])*(ABS(mets[[#This Row],[raw (GSM) coefficient]])-$J$2),mets[[#This Row],[raw (GSM) coefficient]]))</f>
        <v>-0.26345400000000002</v>
      </c>
      <c r="H8" s="21">
        <f>mets[[#This Row],[coeff. w/o GAM]]</f>
        <v>-0.26345400000000002</v>
      </c>
      <c r="I8" s="161">
        <f t="shared" si="0"/>
        <v>-0.26296342273386297</v>
      </c>
      <c r="J8" s="21" cm="1">
        <f t="array" ref="J8">_xlfn.LET(_xlpm.id,mets[[#This Row],[name w/o location]],_xlpm.oldcoeff,mets[[#This Row],[normalized coeffs]],_xlpm.gam,$J$2-$G$2,_xlfn.IFS(IFERROR(MATCH(_xlpm.id,{"atp","h2o"},0),0)&gt;0,_xlpm.oldcoeff-_xlpm.gam,IFERROR(MATCH(_xlpm.id,{"adp","h","pi"},0),0)&gt;0,_xlpm.oldcoeff+_xlpm.gam,TRUE,_xlpm.oldcoeff))</f>
        <v>-0.26296342273386297</v>
      </c>
      <c r="K8" t="str" cm="1">
        <f t="array" ref="K8">"BIOSYN-"&amp;_xlfn.IFS(IFERROR(MATCH(mets[[#This Row],[category]],{0,"0",""},0),0)&gt;0,mets[[#This Row],[name]],TRUE,mets[[#This Row],[category]]&amp;"-"&amp;mets[[#This Row],[name]])</f>
        <v>BIOSYN-CARB-16BDglucan_en</v>
      </c>
      <c r="L8" s="149" t="str" cm="1">
        <f t="array" ref="L8">IF(IsElementOfSet_DIY(mets[[#This Row],[category]],{"ignore","PROT"}),"",_xlfn.LET(_xlpm.mw,mets[[#This Row],[MW for biomass normalization (g/mol)]],"MET-"&amp;mets[[#This Row],[name]]&amp;" --&gt; "&amp;IF((mets[[#This Row],[category]]="DNA")+(mets[[#This Row],[category]]="RNA"),"MET-ppi_c + ","")&amp;ROUND(ABS(_xlpm.mw/1000),6)&amp;" BIO-"&amp;mets[[#This Row],[name]]))</f>
        <v>MET-16BDglucan_en --&gt; 0.162141 BIO-16BDglucan_en</v>
      </c>
      <c r="M8" s="149" cm="1">
        <f t="array" ref="M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-0.36593516732619347</v>
      </c>
      <c r="N8" s="149"/>
      <c r="O8" s="162" t="str">
        <v>BIOSYN-DNA</v>
      </c>
      <c r="P8" s="158" t="str">
        <f t="shared" si="1"/>
        <v>BIOSYN-DNA</v>
      </c>
      <c r="Q8" s="158" t="str">
        <f>SUBSTITUTE(LOWER(biomassComponents[[#This Row],[rxn name]]),"biosyn-","BIO-")</f>
        <v>BIO-dna</v>
      </c>
      <c r="R8" s="160" cm="1">
        <f t="array" ref="R8">SUM(_xlfn._xlws.FILTER(-mets[MW for biomass normalization (g/mol)]*mets[normalized coeffs]/1000,mets[category]=_xlfn.TEXTAFTER(O8,"BIOSYN-"),""))</f>
        <v>1.1171010474510738E-2</v>
      </c>
      <c r="S8" s="160">
        <v>8.0000000000000002E-3</v>
      </c>
      <c r="T8" s="160" cm="1">
        <f t="array" ref="T8">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7.6877867254610032E-3</v>
      </c>
      <c r="U8" s="158" t="str" cm="1">
        <f t="array" ref="U8">_xlfn.TEXTJOIN(" + ",TRUE,_xlfn._xlws.FILTER(ROUND(-mets[MW for biomass normalization (g/mol)]*mets[normalized coeffs]*(biomassComponents[[#This Row],[normalized coeffs]]/biomassComponents[[#This Row],[original coeffs from input]])/(1000*biomassComponents[[#This Row],[normalized coeffs]]),6)&amp;" BIO-"&amp;mets[name],mets[category]=_xlfn.TEXTAFTER(O8,"BIOSYN-"),""))&amp;" --&gt; "&amp;biomassComponents[[#This Row],[product name]]</f>
        <v>0.197916 BIO-datp_c + 0.285139 BIO-dctp_c + 0.324742 BIO-dgtp_c + 0.192202 BIO-dttp_c --&gt; BIO-dna</v>
      </c>
      <c r="V8" s="158" t="str" cm="1">
        <f t="array" ref="V8">_xlfn.TEXTJOIN(" + ",TRUE,_xlfn._xlws.FILTER((-mets[normalized coeffs]*biomassComponents[[#This Row],[normalized coeffs]]/biomassComponents[[#This Row],[original coeffs from input]])&amp;" BIO-"&amp;mets[name],mets[category]=_xlfn.TEXTAFTER(P8,"BIOSYN-"),""))</f>
        <v>0.00487362168987059 BIO-datp_c + 0.00760683391030682 BIO-dctp_c + 0.00760683391030682 BIO-dgtp_c + 0.00487362168987059 BIO-dttp_c</v>
      </c>
      <c r="X8" s="153" t="s">
        <v>757</v>
      </c>
      <c r="Y8" t="s">
        <v>49</v>
      </c>
      <c r="Z8" t="s">
        <v>747</v>
      </c>
      <c r="AB8" t="str">
        <v>BIOSYN-PROTTOBIO</v>
      </c>
      <c r="AC8" t="str">
        <v>BIO-prot --&gt; BIO-varbiom</v>
      </c>
    </row>
    <row r="9" spans="1:33" ht="16" x14ac:dyDescent="0.2">
      <c r="A9" s="144" t="s">
        <v>956</v>
      </c>
      <c r="B9" t="str">
        <f>SUBSTITUTE(_xlfn.TEXTBEFORE(mets[[#This Row],[pasted JSON metabolite keys and values from GSM biomass rxn]],":"),CHAR(34),"")</f>
        <v>G00006_c</v>
      </c>
      <c r="C9" t="str">
        <f>_xlfn.TEXTBEFORE(mets[[#This Row],[name]],"_",-1)</f>
        <v>G00006</v>
      </c>
      <c r="D9" t="str">
        <f>_xlfn.XLOOKUP(mets[[#This Row],[name w/o location]],metaboliteInfo[name w/o location],metaboliteInfo[suggested category],"")</f>
        <v>CARB</v>
      </c>
      <c r="E9" s="21">
        <f>_xlfn.XLOOKUP(mets[[#This Row],[name w/o location]],metaboliteInfo[name w/o location],metaboliteInfo[MW for biomass normalization (g/mol)],0)</f>
        <v>2619.1368040000002</v>
      </c>
      <c r="F9" s="21">
        <f>_xlfn.NUMBERVALUE(SUBSTITUTE(_xlfn.TEXTAFTER(mets[[#This Row],[pasted JSON metabolite keys and values from GSM biomass rxn]],":"),",",""))</f>
        <v>-1.5502999999999999E-2</v>
      </c>
      <c r="G9" s="21" cm="1">
        <f t="array" ref="G9">_xlfn.LET(_xlpm.id,mets[[#This Row],[name w/o location]],IF(IsElementOfSet_DIY(_xlpm.id,{"atp","adp","h","pi","h2o"}),SIGN(mets[[#This Row],[raw (GSM) coefficient]])*(ABS(mets[[#This Row],[raw (GSM) coefficient]])-$J$2),mets[[#This Row],[raw (GSM) coefficient]]))</f>
        <v>-1.5502999999999999E-2</v>
      </c>
      <c r="H9" s="21">
        <f>mets[[#This Row],[coeff. w/o GAM]]</f>
        <v>-1.5502999999999999E-2</v>
      </c>
      <c r="I9" s="161">
        <f t="shared" si="0"/>
        <v>-1.5474131888842366E-2</v>
      </c>
      <c r="J9" s="21" cm="1">
        <f t="array" ref="J9">_xlfn.LET(_xlpm.id,mets[[#This Row],[name w/o location]],_xlpm.oldcoeff,mets[[#This Row],[normalized coeffs]],_xlpm.gam,$J$2-$G$2,_xlfn.IFS(IFERROR(MATCH(_xlpm.id,{"atp","h2o"},0),0)&gt;0,_xlpm.oldcoeff-_xlpm.gam,IFERROR(MATCH(_xlpm.id,{"adp","h","pi"},0),0)&gt;0,_xlpm.oldcoeff+_xlpm.gam,TRUE,_xlpm.oldcoeff))</f>
        <v>-1.5474131888842366E-2</v>
      </c>
      <c r="K9" t="str" cm="1">
        <f t="array" ref="K9">"BIOSYN-"&amp;_xlfn.IFS(IFERROR(MATCH(mets[[#This Row],[category]],{0,"0",""},0),0)&gt;0,mets[[#This Row],[name]],TRUE,mets[[#This Row],[category]]&amp;"-"&amp;mets[[#This Row],[name]])</f>
        <v>BIOSYN-CARB-G00006_c</v>
      </c>
      <c r="L9" s="149" t="str" cm="1">
        <f t="array" ref="L9">IF(IsElementOfSet_DIY(mets[[#This Row],[category]],{"ignore","PROT"}),"",_xlfn.LET(_xlpm.mw,mets[[#This Row],[MW for biomass normalization (g/mol)]],"MET-"&amp;mets[[#This Row],[name]]&amp;" --&gt; "&amp;IF((mets[[#This Row],[category]]="DNA")+(mets[[#This Row],[category]]="RNA"),"MET-ppi_c + ","")&amp;ROUND(ABS(_xlpm.mw/1000),6)&amp;" BIO-"&amp;mets[[#This Row],[name]]))</f>
        <v>MET-G00006_c --&gt; 2.619137 BIO-G00006_c</v>
      </c>
      <c r="M9" s="149" cm="1">
        <f t="array" ref="M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-2.1533523495782855E-2</v>
      </c>
      <c r="N9" s="149"/>
      <c r="O9" s="162" t="str">
        <v>BIOSYN-LIPID</v>
      </c>
      <c r="P9" s="158" t="str">
        <f t="shared" si="1"/>
        <v>BIOSYN-LIPID</v>
      </c>
      <c r="Q9" s="158" t="str">
        <f>SUBSTITUTE(LOWER(biomassComponents[[#This Row],[rxn name]]),"biosyn-","BIO-")</f>
        <v>BIO-lipid</v>
      </c>
      <c r="R9" s="160" cm="1">
        <f t="array" ref="R9">SUM(_xlfn._xlws.FILTER(-mets[MW for biomass normalization (g/mol)]*mets[normalized coeffs]/1000,mets[category]=_xlfn.TEXTAFTER(O9,"BIOSYN-"),""))</f>
        <v>0.12303602737829923</v>
      </c>
      <c r="S9" s="160">
        <v>9.0999999999999998E-2</v>
      </c>
      <c r="T9" s="160" cm="1">
        <f t="array" ref="T9">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8.7448574002118903E-2</v>
      </c>
      <c r="U9" s="158" t="str" cm="1">
        <f t="array" ref="U9">_xlfn.TEXTJOIN(" + ",TRUE,_xlfn._xlws.FILTER(ROUND(-mets[MW for biomass normalization (g/mol)]*mets[normalized coeffs]*(biomassComponents[[#This Row],[normalized coeffs]]/biomassComponents[[#This Row],[original coeffs from input]])/(1000*biomassComponents[[#This Row],[normalized coeffs]]),6)&amp;" BIO-"&amp;mets[name],mets[category]=_xlfn.TEXTAFTER(O9,"BIOSYN-"),""))&amp;" --&gt; "&amp;biomassComponents[[#This Row],[product name]]</f>
        <v>0.000113 BIO-docosa_c + 0.331734 BIO-epist_c + 0.00099 BIO-hdca_c + 0.060003 BIO-ipc_g + 0.002763 BIO-linoea_c + 0.000736 BIO-linolen_c + 0.000731 BIO-ocdca_c + 0.001333 BIO-ocdcea_c + 0.153426 BIO-pail_c + 0.262549 BIO-pc_c + 0.06002 BIO-pe_c + 0.034003 BIO-ps_c + 0.090846 BIO-tag_c + 0.000752 BIO-ttcosa_c --&gt; BIO-lipid</v>
      </c>
      <c r="V9" s="158" t="str" cm="1">
        <f t="array" ref="V9">_xlfn.TEXTJOIN(" + ",TRUE,_xlfn._xlws.FILTER((-mets[normalized coeffs]*biomassComponents[[#This Row],[normalized coeffs]]/biomassComponents[[#This Row],[original coeffs from input]])&amp;" BIO-"&amp;mets[name],mets[category]=_xlfn.TEXTAFTER(P9,"BIOSYN-"),""))</f>
        <v>2.90867257223972E-05 BIO-docosa_c + 0.0727671840017563 BIO-epist_c + 0.00033910865598307 BIO-hdca_c + 0.00573292269665103 BIO-ipc_g + 0.000864798015990299 BIO-linoea_c + 0.000231984373444485 BIO-linolen_c + 0.000225599482432252 BIO-ocdca_c + 0.000414308483460488 BIO-ocdcea_c + 0.0155621076938172 BIO-pail_c + 0.0292044914899562 BIO-pc_c + 0.00705388570384868 BIO-pe_c + 0.00378269320858103 BIO-ps_c + 0.00897148130452282 BIO-tag_c + 0.000178776948342539 BIO-ttcosa_c</v>
      </c>
      <c r="X9" s="153" t="s">
        <v>757</v>
      </c>
      <c r="Y9" t="s">
        <v>50</v>
      </c>
      <c r="Z9" t="s">
        <v>755</v>
      </c>
      <c r="AB9" t="str">
        <v>BIOSYN-RNATOBIO</v>
      </c>
      <c r="AC9" t="str">
        <v>BIO-rna --&gt; BIO-varbiom</v>
      </c>
    </row>
    <row r="10" spans="1:33" ht="16" x14ac:dyDescent="0.2">
      <c r="A10" s="144" t="s">
        <v>964</v>
      </c>
      <c r="B10" t="str">
        <f>SUBSTITUTE(_xlfn.TEXTBEFORE(mets[[#This Row],[pasted JSON metabolite keys and values from GSM biomass rxn]],":"),CHAR(34),"")</f>
        <v>chtn_c</v>
      </c>
      <c r="C10" t="str">
        <f>_xlfn.TEXTBEFORE(mets[[#This Row],[name]],"_",-1)</f>
        <v>chtn</v>
      </c>
      <c r="D10" t="str">
        <f>_xlfn.XLOOKUP(mets[[#This Row],[name w/o location]],metaboliteInfo[name w/o location],metaboliteInfo[suggested category],"")</f>
        <v>CARB</v>
      </c>
      <c r="E10" s="21">
        <f>_xlfn.XLOOKUP(mets[[#This Row],[name w/o location]],metaboliteInfo[name w/o location],metaboliteInfo[MW for biomass normalization (g/mol)],0)</f>
        <v>203.19252</v>
      </c>
      <c r="F10" s="21">
        <f>_xlfn.NUMBERVALUE(SUBSTITUTE(_xlfn.TEXTAFTER(mets[[#This Row],[pasted JSON metabolite keys and values from GSM biomass rxn]],":"),",",""))</f>
        <v>-2.3668999999999999E-2</v>
      </c>
      <c r="G10" s="21" cm="1">
        <f t="array" ref="G10">_xlfn.LET(_xlpm.id,mets[[#This Row],[name w/o location]],IF(IsElementOfSet_DIY(_xlpm.id,{"atp","adp","h","pi","h2o"}),SIGN(mets[[#This Row],[raw (GSM) coefficient]])*(ABS(mets[[#This Row],[raw (GSM) coefficient]])-$J$2),mets[[#This Row],[raw (GSM) coefficient]]))</f>
        <v>-2.3668999999999999E-2</v>
      </c>
      <c r="H10" s="21">
        <f>mets[[#This Row],[coeff. w/o GAM]]</f>
        <v>-2.3668999999999999E-2</v>
      </c>
      <c r="I10" s="161">
        <f t="shared" si="0"/>
        <v>-2.3624925993485774E-2</v>
      </c>
      <c r="J10" s="21" cm="1">
        <f t="array" ref="J10">_xlfn.LET(_xlpm.id,mets[[#This Row],[name w/o location]],_xlpm.oldcoeff,mets[[#This Row],[normalized coeffs]],_xlpm.gam,$J$2-$G$2,_xlfn.IFS(IFERROR(MATCH(_xlpm.id,{"atp","h2o"},0),0)&gt;0,_xlpm.oldcoeff-_xlpm.gam,IFERROR(MATCH(_xlpm.id,{"adp","h","pi"},0),0)&gt;0,_xlpm.oldcoeff+_xlpm.gam,TRUE,_xlpm.oldcoeff))</f>
        <v>-2.3624925993485774E-2</v>
      </c>
      <c r="K10" t="str" cm="1">
        <f t="array" ref="K10">"BIOSYN-"&amp;_xlfn.IFS(IFERROR(MATCH(mets[[#This Row],[category]],{0,"0",""},0),0)&gt;0,mets[[#This Row],[name]],TRUE,mets[[#This Row],[category]]&amp;"-"&amp;mets[[#This Row],[name]])</f>
        <v>BIOSYN-CARB-chtn_c</v>
      </c>
      <c r="L10" s="149" t="str" cm="1">
        <f t="array" ref="L10">IF(IsElementOfSet_DIY(mets[[#This Row],[category]],{"ignore","PROT"}),"",_xlfn.LET(_xlpm.mw,mets[[#This Row],[MW for biomass normalization (g/mol)]],"MET-"&amp;mets[[#This Row],[name]]&amp;" --&gt; "&amp;IF((mets[[#This Row],[category]]="DNA")+(mets[[#This Row],[category]]="RNA"),"MET-ppi_c + ","")&amp;ROUND(ABS(_xlpm.mw/1000),6)&amp;" BIO-"&amp;mets[[#This Row],[name]]))</f>
        <v>MET-chtn_c --&gt; 0.203193 BIO-chtn_c</v>
      </c>
      <c r="M10" s="149" cm="1">
        <f t="array" ref="M1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-3.2876021906836375E-2</v>
      </c>
      <c r="N10" s="149"/>
      <c r="O10" s="162" t="str">
        <v>BIOSYN-METAL</v>
      </c>
      <c r="P10" s="158" t="str">
        <f t="shared" si="1"/>
        <v>BIOSYN-METAL</v>
      </c>
      <c r="Q10" s="158" t="str">
        <f>SUBSTITUTE(LOWER(biomassComponents[[#This Row],[rxn name]]),"biosyn-","BIO-")</f>
        <v>BIO-metal</v>
      </c>
      <c r="R10" s="160" cm="1">
        <f t="array" ref="R10">SUM(_xlfn._xlws.FILTER(-mets[MW for biomass normalization (g/mol)]*mets[normalized coeffs]/1000,mets[category]=_xlfn.TEXTAFTER(O10,"BIOSYN-"),""))</f>
        <v>2.5304518210977251E-2</v>
      </c>
      <c r="S10" s="160"/>
      <c r="T10" s="160" cm="1">
        <f t="array" ref="T10">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2.5304518210977251E-2</v>
      </c>
      <c r="U10" s="158" t="str" cm="1">
        <f t="array" ref="U10">_xlfn.TEXTJOIN(" + ",TRUE,_xlfn._xlws.FILTER(ROUND(-mets[MW for biomass normalization (g/mol)]*mets[normalized coeffs]*(biomassComponents[[#This Row],[normalized coeffs]]/biomassComponents[[#This Row],[original coeffs from input]])/(1000*biomassComponents[[#This Row],[normalized coeffs]]),6)&amp;" BIO-"&amp;mets[name],mets[category]=_xlfn.TEXTAFTER(O10,"BIOSYN-"),""))&amp;" --&gt; "&amp;biomassComponents[[#This Row],[product name]]</f>
        <v>0.002033 BIO-ca2_c + 0.000286 BIO-cu2_c + 0.001463 BIO-fe2_c + 0.93097 BIO-k_c + 0.060981 BIO-mg2_c + 0.000204 BIO-mn2_c + 0.004064 BIO-zn2_c --&gt; BIO-metal</v>
      </c>
      <c r="V10" s="158" t="str" cm="1">
        <f t="array" ref="V10">_xlfn.TEXTJOIN(" + ",TRUE,_xlfn._xlws.FILTER((-mets[normalized coeffs]*biomassComponents[[#This Row],[normalized coeffs]]/biomassComponents[[#This Row],[original coeffs from input]])&amp;" BIO-"&amp;mets[name],mets[category]=_xlfn.TEXTAFTER(P10,"BIOSYN-"),""))</f>
        <v>0.0012836053414856 BIO-ca2_c + 0.000113787720784882 BIO-cu2_c + 0.000662763566676858 BIO-fe2_c + 0.602525944313984 BIO-k_c + 0.0634885575084562 BIO-mg2_c + 9.38249627524468E-05 BIO-mn2_c + 0.00157306533295592 BIO-zn2_c</v>
      </c>
      <c r="X10" s="153" t="s">
        <v>757</v>
      </c>
      <c r="Y10" t="s">
        <v>51</v>
      </c>
      <c r="Z10" t="s">
        <v>756</v>
      </c>
      <c r="AB10" t="str">
        <v>BIOSYN-CARBTOBIO</v>
      </c>
      <c r="AC10" t="str">
        <v>BIO-carb --&gt; BIO-varbiom</v>
      </c>
    </row>
    <row r="11" spans="1:33" ht="16" x14ac:dyDescent="0.2">
      <c r="A11" s="144" t="s">
        <v>979</v>
      </c>
      <c r="B11" t="str">
        <f>SUBSTITUTE(_xlfn.TEXTBEFORE(mets[[#This Row],[pasted JSON metabolite keys and values from GSM biomass rxn]],":"),CHAR(34),"")</f>
        <v>gpianchorSC_r</v>
      </c>
      <c r="C11" t="str">
        <f>_xlfn.TEXTBEFORE(mets[[#This Row],[name]],"_",-1)</f>
        <v>gpianchorSC</v>
      </c>
      <c r="D11" t="str">
        <f>_xlfn.XLOOKUP(mets[[#This Row],[name w/o location]],metaboliteInfo[name w/o location],metaboliteInfo[suggested category],"")</f>
        <v>CARB</v>
      </c>
      <c r="E11" s="21">
        <f>_xlfn.XLOOKUP(mets[[#This Row],[name w/o location]],metaboliteInfo[name w/o location],metaboliteInfo[MW for biomass normalization (g/mol)],0)</f>
        <v>2280.41334042176</v>
      </c>
      <c r="F11" s="21">
        <f>_xlfn.NUMBERVALUE(SUBSTITUTE(_xlfn.TEXTAFTER(mets[[#This Row],[pasted JSON metabolite keys and values from GSM biomass rxn]],":"),",",""))</f>
        <v>-1.6989000000000001E-2</v>
      </c>
      <c r="G11" s="21" cm="1">
        <f t="array" ref="G11">_xlfn.LET(_xlpm.id,mets[[#This Row],[name w/o location]],IF(IsElementOfSet_DIY(_xlpm.id,{"atp","adp","h","pi","h2o"}),SIGN(mets[[#This Row],[raw (GSM) coefficient]])*(ABS(mets[[#This Row],[raw (GSM) coefficient]])-$J$2),mets[[#This Row],[raw (GSM) coefficient]]))</f>
        <v>-1.6989000000000001E-2</v>
      </c>
      <c r="H11" s="21">
        <f>mets[[#This Row],[coeff. w/o GAM]]</f>
        <v>-1.6989000000000001E-2</v>
      </c>
      <c r="I11" s="161">
        <f t="shared" si="0"/>
        <v>-1.6957364810652326E-2</v>
      </c>
      <c r="J11" s="21" cm="1">
        <f t="array" ref="J11">_xlfn.LET(_xlpm.id,mets[[#This Row],[name w/o location]],_xlpm.oldcoeff,mets[[#This Row],[normalized coeffs]],_xlpm.gam,$J$2-$G$2,_xlfn.IFS(IFERROR(MATCH(_xlpm.id,{"atp","h2o"},0),0)&gt;0,_xlpm.oldcoeff-_xlpm.gam,IFERROR(MATCH(_xlpm.id,{"adp","h","pi"},0),0)&gt;0,_xlpm.oldcoeff+_xlpm.gam,TRUE,_xlpm.oldcoeff))</f>
        <v>-1.6957364810652326E-2</v>
      </c>
      <c r="K11" t="str" cm="1">
        <f t="array" ref="K11">"BIOSYN-"&amp;_xlfn.IFS(IFERROR(MATCH(mets[[#This Row],[category]],{0,"0",""},0),0)&gt;0,mets[[#This Row],[name]],TRUE,mets[[#This Row],[category]]&amp;"-"&amp;mets[[#This Row],[name]])</f>
        <v>BIOSYN-CARB-gpianchorSC_r</v>
      </c>
      <c r="L11" s="149" t="str" cm="1">
        <f t="array" ref="L11">IF(IsElementOfSet_DIY(mets[[#This Row],[category]],{"ignore","PROT"}),"",_xlfn.LET(_xlpm.mw,mets[[#This Row],[MW for biomass normalization (g/mol)]],"MET-"&amp;mets[[#This Row],[name]]&amp;" --&gt; "&amp;IF((mets[[#This Row],[category]]="DNA")+(mets[[#This Row],[category]]="RNA"),"MET-ppi_c + ","")&amp;ROUND(ABS(_xlpm.mw/1000),6)&amp;" BIO-"&amp;mets[[#This Row],[name]]))</f>
        <v>MET-gpianchorSC_r --&gt; 2.280413 BIO-gpianchorSC_r</v>
      </c>
      <c r="M11" s="149" cm="1">
        <f t="array" ref="M1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-2.3597563740556986E-2</v>
      </c>
      <c r="N11" s="149"/>
      <c r="O11" s="162" t="str">
        <v>BIOSYN-PI</v>
      </c>
      <c r="P11" s="158" t="str">
        <f t="shared" si="1"/>
        <v>BIOSYN-PI</v>
      </c>
      <c r="Q11" s="158" t="str">
        <f>SUBSTITUTE(LOWER(biomassComponents[[#This Row],[rxn name]]),"biosyn-","BIO-")</f>
        <v>BIO-pi</v>
      </c>
      <c r="R11" s="160" cm="1">
        <f t="array" ref="R11">SUM(_xlfn._xlws.FILTER(-mets[MW for biomass normalization (g/mol)]*mets[normalized coeffs]/1000,mets[category]=_xlfn.TEXTAFTER(O11,"BIOSYN-"),""))</f>
        <v>1.0121810079079047E-2</v>
      </c>
      <c r="S11" s="160"/>
      <c r="T11" s="160" cm="1">
        <f t="array" ref="T11">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1.0121810079079047E-2</v>
      </c>
      <c r="U11" s="158"/>
      <c r="V11" s="158" t="str" cm="1">
        <f t="array" ref="V11">_xlfn.TEXTJOIN(" + ",TRUE,_xlfn._xlws.FILTER((-mets[normalized coeffs]*biomassComponents[[#This Row],[normalized coeffs]]/biomassComponents[[#This Row],[original coeffs from input]])&amp;" BIO-"&amp;mets[name],mets[category]=_xlfn.TEXTAFTER(P11,"BIOSYN-"),""))</f>
        <v>0.105458259995861 BIO-pi_c</v>
      </c>
      <c r="X11" s="154" t="s">
        <v>52</v>
      </c>
      <c r="Y11" s="152" t="s">
        <v>53</v>
      </c>
      <c r="Z11" s="152" t="s">
        <v>54</v>
      </c>
      <c r="AB11" t="str">
        <v>BIOSYN-PROTMODELED</v>
      </c>
      <c r="AC11" t="str">
        <v>BIO-protmodeled --&gt; BIO-prot</v>
      </c>
    </row>
    <row r="12" spans="1:33" ht="16" x14ac:dyDescent="0.2">
      <c r="A12" s="144" t="s">
        <v>997</v>
      </c>
      <c r="B12" t="str">
        <f>SUBSTITUTE(_xlfn.TEXTBEFORE(mets[[#This Row],[pasted JSON metabolite keys and values from GSM biomass rxn]],":"),CHAR(34),"")</f>
        <v>oglycanSC_g</v>
      </c>
      <c r="C12" t="str">
        <f>_xlfn.TEXTBEFORE(mets[[#This Row],[name]],"_",-1)</f>
        <v>oglycanSC</v>
      </c>
      <c r="D12" t="str">
        <f>_xlfn.XLOOKUP(mets[[#This Row],[name w/o location]],metaboliteInfo[name w/o location],metaboliteInfo[suggested category],"")</f>
        <v>CARB</v>
      </c>
      <c r="E12" s="21">
        <f>_xlfn.XLOOKUP(mets[[#This Row],[name w/o location]],metaboliteInfo[name w/o location],metaboliteInfo[MW for biomass normalization (g/mol)],0)</f>
        <v>810.70299999999997</v>
      </c>
      <c r="F12" s="21">
        <f>_xlfn.NUMBERVALUE(SUBSTITUTE(_xlfn.TEXTAFTER(mets[[#This Row],[pasted JSON metabolite keys and values from GSM biomass rxn]],":"),",",""))</f>
        <v>-4.7787999999999997E-2</v>
      </c>
      <c r="G12" s="21" cm="1">
        <f t="array" ref="G12">_xlfn.LET(_xlpm.id,mets[[#This Row],[name w/o location]],IF(IsElementOfSet_DIY(_xlpm.id,{"atp","adp","h","pi","h2o"}),SIGN(mets[[#This Row],[raw (GSM) coefficient]])*(ABS(mets[[#This Row],[raw (GSM) coefficient]])-$J$2),mets[[#This Row],[raw (GSM) coefficient]]))</f>
        <v>-4.7787999999999997E-2</v>
      </c>
      <c r="H12" s="21">
        <f>mets[[#This Row],[coeff. w/o GAM]]</f>
        <v>-4.7787999999999997E-2</v>
      </c>
      <c r="I12" s="161">
        <f t="shared" si="0"/>
        <v>-4.7699014042701347E-2</v>
      </c>
      <c r="J12" s="21" cm="1">
        <f t="array" ref="J12">_xlfn.LET(_xlpm.id,mets[[#This Row],[name w/o location]],_xlpm.oldcoeff,mets[[#This Row],[normalized coeffs]],_xlpm.gam,$J$2-$G$2,_xlfn.IFS(IFERROR(MATCH(_xlpm.id,{"atp","h2o"},0),0)&gt;0,_xlpm.oldcoeff-_xlpm.gam,IFERROR(MATCH(_xlpm.id,{"adp","h","pi"},0),0)&gt;0,_xlpm.oldcoeff+_xlpm.gam,TRUE,_xlpm.oldcoeff))</f>
        <v>-4.7699014042701347E-2</v>
      </c>
      <c r="K12" t="str" cm="1">
        <f t="array" ref="K12">"BIOSYN-"&amp;_xlfn.IFS(IFERROR(MATCH(mets[[#This Row],[category]],{0,"0",""},0),0)&gt;0,mets[[#This Row],[name]],TRUE,mets[[#This Row],[category]]&amp;"-"&amp;mets[[#This Row],[name]])</f>
        <v>BIOSYN-CARB-oglycanSC_g</v>
      </c>
      <c r="L12" s="149" t="str" cm="1">
        <f t="array" ref="L12">IF(IsElementOfSet_DIY(mets[[#This Row],[category]],{"ignore","PROT"}),"",_xlfn.LET(_xlpm.mw,mets[[#This Row],[MW for biomass normalization (g/mol)]],"MET-"&amp;mets[[#This Row],[name]]&amp;" --&gt; "&amp;IF((mets[[#This Row],[category]]="DNA")+(mets[[#This Row],[category]]="RNA"),"MET-ppi_c + ","")&amp;ROUND(ABS(_xlpm.mw/1000),6)&amp;" BIO-"&amp;mets[[#This Row],[name]]))</f>
        <v>MET-oglycanSC_g --&gt; 0.810703 BIO-oglycanSC_g</v>
      </c>
      <c r="M12" s="149" cm="1">
        <f t="array" ref="M1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-6.63770896482275E-2</v>
      </c>
      <c r="N12" s="149"/>
      <c r="O12" s="162" t="str">
        <v>BIOSYN-PROT</v>
      </c>
      <c r="P12" s="158" t="str">
        <f t="shared" si="1"/>
        <v>BIOSYN-PROT</v>
      </c>
      <c r="Q12" s="158" t="s">
        <v>768</v>
      </c>
      <c r="R12" s="160" cm="1">
        <f t="array" ref="R12">SUM(_xlfn._xlws.FILTER(-mets[MW for biomass normalization (g/mol)]*mets[normalized coeffs]/1000,mets[category]=_xlfn.TEXTAFTER(O12,"BIOSYN-"),""))</f>
        <v>0.43229578841588345</v>
      </c>
      <c r="S12" s="160">
        <v>0.36899999999999999</v>
      </c>
      <c r="T12" s="160" cm="1">
        <f t="array" ref="T12">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0.35459916271188879</v>
      </c>
      <c r="U12" s="158"/>
      <c r="V12" s="158" t="str" cm="1">
        <f t="array" ref="V12">_xlfn.TEXTJOIN(" + ",TRUE,_xlfn._xlws.FILTER((-mets[normalized coeffs]*biomassComponents[[#This Row],[normalized coeffs]]/biomassComponents[[#This Row],[original coeffs from input]])&amp;" BIO-"&amp;mets[name],mets[category]=_xlfn.TEXTAFTER(P12,"BIOSYN-"),""))</f>
        <v>0.316242502727811 BIO-alatrna_c + 0.12494335563198 BIO-argtrna_c + 0.150190913085411 BIO-asntrna_c + 0.150190913085411 BIO-asptrna_c + 0.00453173883661641 BIO-cystrna_c + 0.250534336452716 BIO-glntrna_c + 0.250534336452716 BIO-glutrna_c + 0.287758456815275 BIO-glytrna_c + 0.0624716778159901 BIO-histrna_c + 0.190652340649412 BIO-iletrna_c + 0.259273592160402 BIO-leutrna_c + 0.212662590901401 BIO-lystrna_c + 0.0369007171393499 BIO-mettrna_c + 0.121706867172875 BIO-phetrna_c + 0.136596515317899 BIO-protrna_c + 0.172525385302947 BIO-sertrna_c + 0.180294431341005 BIO-thrtrna_c + 0.0210400405823611 BIO-trptrna_c + 0.0634427062279552 BIO-tyrtrna_c + 0.237263341908413 BIO-valtrna_c</v>
      </c>
      <c r="X12" s="154" t="s">
        <v>52</v>
      </c>
      <c r="Y12" s="152" t="s">
        <v>55</v>
      </c>
      <c r="Z12" s="152" t="s">
        <v>56</v>
      </c>
      <c r="AB12" t="str">
        <v>BIOSYN-PROTDUMMY</v>
      </c>
      <c r="AC12" t="str">
        <v>BIO-protdummy --&gt; BIO-prot</v>
      </c>
    </row>
    <row r="13" spans="1:33" ht="16" x14ac:dyDescent="0.2">
      <c r="A13" s="144" t="s">
        <v>958</v>
      </c>
      <c r="B13" t="str">
        <f>SUBSTITUTE(_xlfn.TEXTBEFORE(mets[[#This Row],[pasted JSON metabolite keys and values from GSM biomass rxn]],":"),CHAR(34),"")</f>
        <v>amet_c</v>
      </c>
      <c r="C13" t="str">
        <f>_xlfn.TEXTBEFORE(mets[[#This Row],[name]],"_",-1)</f>
        <v>amet</v>
      </c>
      <c r="D13" t="str">
        <f>_xlfn.XLOOKUP(mets[[#This Row],[name w/o location]],metaboliteInfo[name w/o location],metaboliteInfo[suggested category],"")</f>
        <v>COFACTOR</v>
      </c>
      <c r="E13" s="21">
        <f>_xlfn.XLOOKUP(mets[[#This Row],[name w/o location]],metaboliteInfo[name w/o location],metaboliteInfo[MW for biomass normalization (g/mol)],0)</f>
        <v>399.44531999999998</v>
      </c>
      <c r="F13" s="21">
        <f>_xlfn.NUMBERVALUE(SUBSTITUTE(_xlfn.TEXTAFTER(mets[[#This Row],[pasted JSON metabolite keys and values from GSM biomass rxn]],":"),",",""))</f>
        <v>-1E-4</v>
      </c>
      <c r="G13" s="21" cm="1">
        <f t="array" ref="G13">_xlfn.LET(_xlpm.id,mets[[#This Row],[name w/o location]],IF(IsElementOfSet_DIY(_xlpm.id,{"atp","adp","h","pi","h2o"}),SIGN(mets[[#This Row],[raw (GSM) coefficient]])*(ABS(mets[[#This Row],[raw (GSM) coefficient]])-$J$2),mets[[#This Row],[raw (GSM) coefficient]]))</f>
        <v>-1E-4</v>
      </c>
      <c r="H13" s="21">
        <f>mets[[#This Row],[coeff. w/o GAM]]</f>
        <v>-1E-4</v>
      </c>
      <c r="I13" s="161">
        <f t="shared" si="0"/>
        <v>-9.9813790162177443E-5</v>
      </c>
      <c r="J13" s="21" cm="1">
        <f t="array" ref="J13">_xlfn.LET(_xlpm.id,mets[[#This Row],[name w/o location]],_xlpm.oldcoeff,mets[[#This Row],[normalized coeffs]],_xlpm.gam,$J$2-$G$2,_xlfn.IFS(IFERROR(MATCH(_xlpm.id,{"atp","h2o"},0),0)&gt;0,_xlpm.oldcoeff-_xlpm.gam,IFERROR(MATCH(_xlpm.id,{"adp","h","pi"},0),0)&gt;0,_xlpm.oldcoeff+_xlpm.gam,TRUE,_xlpm.oldcoeff))</f>
        <v>-9.9813790162177443E-5</v>
      </c>
      <c r="K13" t="str" cm="1">
        <f t="array" ref="K13">"BIOSYN-"&amp;_xlfn.IFS(IFERROR(MATCH(mets[[#This Row],[category]],{0,"0",""},0),0)&gt;0,mets[[#This Row],[name]],TRUE,mets[[#This Row],[category]]&amp;"-"&amp;mets[[#This Row],[name]])</f>
        <v>BIOSYN-COFACTOR-amet_c</v>
      </c>
      <c r="L13" s="149" t="str" cm="1">
        <f t="array" ref="L13">IF(IsElementOfSet_DIY(mets[[#This Row],[category]],{"ignore","PROT"}),"",_xlfn.LET(_xlpm.mw,mets[[#This Row],[MW for biomass normalization (g/mol)]],"MET-"&amp;mets[[#This Row],[name]]&amp;" --&gt; "&amp;IF((mets[[#This Row],[category]]="DNA")+(mets[[#This Row],[category]]="RNA"),"MET-ppi_c + ","")&amp;ROUND(ABS(_xlpm.mw/1000),6)&amp;" BIO-"&amp;mets[[#This Row],[name]]))</f>
        <v>MET-amet_c --&gt; 0.399445 BIO-amet_c</v>
      </c>
      <c r="M13" s="149" cm="1">
        <f t="array" ref="M1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13" s="149"/>
      <c r="O13" s="162" t="str">
        <v>BIOSYN-RNA</v>
      </c>
      <c r="P13" s="158" t="str">
        <f t="shared" si="1"/>
        <v>BIOSYN-RNA</v>
      </c>
      <c r="Q13" s="158" t="str">
        <f>SUBSTITUTE(LOWER(biomassComponents[[#This Row],[rxn name]]),"biosyn-","BIO-")</f>
        <v>BIO-rna</v>
      </c>
      <c r="R13" s="160" cm="1">
        <f t="array" ref="R13">SUM(_xlfn._xlws.FILTER(-mets[MW for biomass normalization (g/mol)]*mets[normalized coeffs]/1000,mets[category]=_xlfn.TEXTAFTER(O13,"BIOSYN-"),""))</f>
        <v>6.7144232884920121E-2</v>
      </c>
      <c r="S13" s="160">
        <v>5.8000000000000003E-2</v>
      </c>
      <c r="T13" s="160" cm="1">
        <f t="array" ref="T13">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5.5736453759592276E-2</v>
      </c>
      <c r="U13" s="163" t="s">
        <v>81</v>
      </c>
      <c r="V13" s="158" t="str" cm="1">
        <f t="array" ref="V13">_xlfn.TEXTJOIN(" + ",TRUE,_xlfn._xlws.FILTER((-mets[normalized coeffs]*biomassComponents[[#This Row],[normalized coeffs]]/biomassComponents[[#This Row],[original coeffs from input]])&amp;" BIO-"&amp;mets[name],mets[category]=_xlfn.TEXTAFTER(P13,"BIOSYN-"),""))</f>
        <v>0.0334794081168286 BIO-atp_c + 0.0584396172271358 BIO-ctp_c + 0.0512055064971108 BIO-gtp_c + 0.0306333228622705 BIO-utp_c</v>
      </c>
      <c r="X13" s="154" t="s">
        <v>52</v>
      </c>
      <c r="Y13" s="152" t="s">
        <v>59</v>
      </c>
      <c r="Z13" s="152" t="s">
        <v>60</v>
      </c>
      <c r="AB13" t="str">
        <v>BIOSYN-PROTCYT</v>
      </c>
      <c r="AC13" t="str">
        <v>BIO-protcyt --&gt; BIO-protmodeled</v>
      </c>
    </row>
    <row r="14" spans="1:33" ht="16" x14ac:dyDescent="0.2">
      <c r="A14" s="144" t="s">
        <v>962</v>
      </c>
      <c r="B14" t="str">
        <f>SUBSTITUTE(_xlfn.TEXTBEFORE(mets[[#This Row],[pasted JSON metabolite keys and values from GSM biomass rxn]],":"),CHAR(34),"")</f>
        <v>btn_c</v>
      </c>
      <c r="C14" t="str">
        <f>_xlfn.TEXTBEFORE(mets[[#This Row],[name]],"_",-1)</f>
        <v>btn</v>
      </c>
      <c r="D14" t="str">
        <f>_xlfn.XLOOKUP(mets[[#This Row],[name w/o location]],metaboliteInfo[name w/o location],metaboliteInfo[suggested category],"")</f>
        <v>COFACTOR</v>
      </c>
      <c r="E14" s="21">
        <f>_xlfn.XLOOKUP(mets[[#This Row],[name w/o location]],metaboliteInfo[name w/o location],metaboliteInfo[MW for biomass normalization (g/mol)],0)</f>
        <v>243.30269999999999</v>
      </c>
      <c r="F14" s="21">
        <f>_xlfn.NUMBERVALUE(SUBSTITUTE(_xlfn.TEXTAFTER(mets[[#This Row],[pasted JSON metabolite keys and values from GSM biomass rxn]],":"),",",""))</f>
        <v>-1E-4</v>
      </c>
      <c r="G14" s="21" cm="1">
        <f t="array" ref="G14">_xlfn.LET(_xlpm.id,mets[[#This Row],[name w/o location]],IF(IsElementOfSet_DIY(_xlpm.id,{"atp","adp","h","pi","h2o"}),SIGN(mets[[#This Row],[raw (GSM) coefficient]])*(ABS(mets[[#This Row],[raw (GSM) coefficient]])-$J$2),mets[[#This Row],[raw (GSM) coefficient]]))</f>
        <v>-1E-4</v>
      </c>
      <c r="H14" s="21">
        <f>mets[[#This Row],[coeff. w/o GAM]]</f>
        <v>-1E-4</v>
      </c>
      <c r="I14" s="161">
        <f t="shared" si="0"/>
        <v>-9.9813790162177443E-5</v>
      </c>
      <c r="J14" s="21" cm="1">
        <f t="array" ref="J14">_xlfn.LET(_xlpm.id,mets[[#This Row],[name w/o location]],_xlpm.oldcoeff,mets[[#This Row],[normalized coeffs]],_xlpm.gam,$J$2-$G$2,_xlfn.IFS(IFERROR(MATCH(_xlpm.id,{"atp","h2o"},0),0)&gt;0,_xlpm.oldcoeff-_xlpm.gam,IFERROR(MATCH(_xlpm.id,{"adp","h","pi"},0),0)&gt;0,_xlpm.oldcoeff+_xlpm.gam,TRUE,_xlpm.oldcoeff))</f>
        <v>-9.9813790162177443E-5</v>
      </c>
      <c r="K14" t="str" cm="1">
        <f t="array" ref="K14">"BIOSYN-"&amp;_xlfn.IFS(IFERROR(MATCH(mets[[#This Row],[category]],{0,"0",""},0),0)&gt;0,mets[[#This Row],[name]],TRUE,mets[[#This Row],[category]]&amp;"-"&amp;mets[[#This Row],[name]])</f>
        <v>BIOSYN-COFACTOR-btn_c</v>
      </c>
      <c r="L14" s="149" t="str" cm="1">
        <f t="array" ref="L14">IF(IsElementOfSet_DIY(mets[[#This Row],[category]],{"ignore","PROT"}),"",_xlfn.LET(_xlpm.mw,mets[[#This Row],[MW for biomass normalization (g/mol)]],"MET-"&amp;mets[[#This Row],[name]]&amp;" --&gt; "&amp;IF((mets[[#This Row],[category]]="DNA")+(mets[[#This Row],[category]]="RNA"),"MET-ppi_c + ","")&amp;ROUND(ABS(_xlpm.mw/1000),6)&amp;" BIO-"&amp;mets[[#This Row],[name]]))</f>
        <v>MET-btn_c --&gt; 0.243303 BIO-btn_c</v>
      </c>
      <c r="M14" s="149" cm="1">
        <f t="array" ref="M1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14" s="149"/>
      <c r="O14" s="162" t="str">
        <v>BIOSYN-SO4</v>
      </c>
      <c r="P14" s="158" t="str">
        <f t="shared" si="1"/>
        <v>BIOSYN-SO4</v>
      </c>
      <c r="Q14" s="158" t="str">
        <f>SUBSTITUTE(LOWER(biomassComponents[[#This Row],[rxn name]]),"biosyn-","BIO-")</f>
        <v>BIO-so4</v>
      </c>
      <c r="R14" s="160" cm="1">
        <f t="array" ref="R14">SUM(_xlfn._xlws.FILTER(-mets[MW for biomass normalization (g/mol)]*mets[normalized coeffs]/1000,mets[category]=_xlfn.TEXTAFTER(O14,"BIOSYN-"),""))</f>
        <v>2.9937774516416858E-3</v>
      </c>
      <c r="S14" s="160"/>
      <c r="T14" s="160" cm="1">
        <f t="array" ref="T14">IF(biomassComponents[[#This Row],[pre-determined coeffs]]&lt;&gt;"",biomassComponents[[#This Row],[pre-determined coeffs]]*IF(SUM(biomassComponents[pre-determined coeffs])&gt;1,1/SUM(biomassComponents[pre-determined coeffs]),1)*(1-SUM(_xlfn._xlws.FILTER(biomassComponents[original coeffs from input],biomassComponents[pre-determined coeffs]=""))),biomassComponents[[#This Row],[original coeffs from input]])</f>
        <v>2.9937774516416858E-3</v>
      </c>
      <c r="U14" s="158"/>
      <c r="V14" s="158" t="str" cm="1">
        <f t="array" ref="V14">_xlfn.TEXTJOIN(" + ",TRUE,_xlfn._xlws.FILTER((-mets[normalized coeffs]*biomassComponents[[#This Row],[normalized coeffs]]/biomassComponents[[#This Row],[original coeffs from input]])&amp;" BIO-"&amp;mets[name],mets[category]=_xlfn.TEXTAFTER(P14,"BIOSYN-"),""))</f>
        <v>0.0311648597023367 BIO-so4_c</v>
      </c>
      <c r="X14" s="154" t="s">
        <v>52</v>
      </c>
      <c r="Y14" s="152" t="s">
        <v>61</v>
      </c>
      <c r="Z14" s="152" t="s">
        <v>62</v>
      </c>
      <c r="AB14" t="str">
        <v>BIOSYN-PROTMITO</v>
      </c>
      <c r="AC14" t="str">
        <v>BIO-protmito --&gt; BIO-protmodeled</v>
      </c>
    </row>
    <row r="15" spans="1:33" ht="16" x14ac:dyDescent="0.2">
      <c r="A15" s="144" t="s">
        <v>965</v>
      </c>
      <c r="B15" t="str">
        <f>SUBSTITUTE(_xlfn.TEXTBEFORE(mets[[#This Row],[pasted JSON metabolite keys and values from GSM biomass rxn]],":"),CHAR(34),"")</f>
        <v>coa_c</v>
      </c>
      <c r="C15" t="str">
        <f>_xlfn.TEXTBEFORE(mets[[#This Row],[name]],"_",-1)</f>
        <v>coa</v>
      </c>
      <c r="D15" t="str">
        <f>_xlfn.XLOOKUP(mets[[#This Row],[name w/o location]],metaboliteInfo[name w/o location],metaboliteInfo[suggested category],"")</f>
        <v>COFACTOR</v>
      </c>
      <c r="E15" s="21">
        <f>_xlfn.XLOOKUP(mets[[#This Row],[name w/o location]],metaboliteInfo[name w/o location],metaboliteInfo[MW for biomass normalization (g/mol)],0)</f>
        <v>763.50236299999995</v>
      </c>
      <c r="F15" s="21">
        <f>_xlfn.NUMBERVALUE(SUBSTITUTE(_xlfn.TEXTAFTER(mets[[#This Row],[pasted JSON metabolite keys and values from GSM biomass rxn]],":"),",",""))</f>
        <v>-1E-4</v>
      </c>
      <c r="G15" s="21" cm="1">
        <f t="array" ref="G15">_xlfn.LET(_xlpm.id,mets[[#This Row],[name w/o location]],IF(IsElementOfSet_DIY(_xlpm.id,{"atp","adp","h","pi","h2o"}),SIGN(mets[[#This Row],[raw (GSM) coefficient]])*(ABS(mets[[#This Row],[raw (GSM) coefficient]])-$J$2),mets[[#This Row],[raw (GSM) coefficient]]))</f>
        <v>-1E-4</v>
      </c>
      <c r="H15" s="21">
        <f>mets[[#This Row],[coeff. w/o GAM]]</f>
        <v>-1E-4</v>
      </c>
      <c r="I15" s="161">
        <f t="shared" si="0"/>
        <v>-9.9813790162177443E-5</v>
      </c>
      <c r="J15" s="21" cm="1">
        <f t="array" ref="J15">_xlfn.LET(_xlpm.id,mets[[#This Row],[name w/o location]],_xlpm.oldcoeff,mets[[#This Row],[normalized coeffs]],_xlpm.gam,$J$2-$G$2,_xlfn.IFS(IFERROR(MATCH(_xlpm.id,{"atp","h2o"},0),0)&gt;0,_xlpm.oldcoeff-_xlpm.gam,IFERROR(MATCH(_xlpm.id,{"adp","h","pi"},0),0)&gt;0,_xlpm.oldcoeff+_xlpm.gam,TRUE,_xlpm.oldcoeff))</f>
        <v>-9.9813790162177443E-5</v>
      </c>
      <c r="K15" t="str" cm="1">
        <f t="array" ref="K15">"BIOSYN-"&amp;_xlfn.IFS(IFERROR(MATCH(mets[[#This Row],[category]],{0,"0",""},0),0)&gt;0,mets[[#This Row],[name]],TRUE,mets[[#This Row],[category]]&amp;"-"&amp;mets[[#This Row],[name]])</f>
        <v>BIOSYN-COFACTOR-coa_c</v>
      </c>
      <c r="L15" s="149" t="str" cm="1">
        <f t="array" ref="L15">IF(IsElementOfSet_DIY(mets[[#This Row],[category]],{"ignore","PROT"}),"",_xlfn.LET(_xlpm.mw,mets[[#This Row],[MW for biomass normalization (g/mol)]],"MET-"&amp;mets[[#This Row],[name]]&amp;" --&gt; "&amp;IF((mets[[#This Row],[category]]="DNA")+(mets[[#This Row],[category]]="RNA"),"MET-ppi_c + ","")&amp;ROUND(ABS(_xlpm.mw/1000),6)&amp;" BIO-"&amp;mets[[#This Row],[name]]))</f>
        <v>MET-coa_c --&gt; 0.763502 BIO-coa_c</v>
      </c>
      <c r="M15" s="149" cm="1">
        <f t="array" ref="M1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15" s="149"/>
      <c r="O15" s="149"/>
      <c r="P15" s="149"/>
      <c r="Q15" s="149"/>
      <c r="R15" s="149"/>
      <c r="S15" s="149"/>
      <c r="T15" s="149"/>
      <c r="U15" s="149"/>
      <c r="V15" s="149"/>
      <c r="X15" s="154"/>
      <c r="Y15" s="152" t="s">
        <v>763</v>
      </c>
      <c r="Z15" s="152" t="str" cm="1">
        <f t="array" ref="Z15">_xlfn.LET(_xlpm.RNAmass,_xlfn.XLOOKUP("BIOSYN-RNA",biomassComponents[rxn name],biomassComponents[normalized coeffs],0),_xlpm.coeff,1/_xlpm.RNAmass,_xlfn.TEXTJOIN(" + ",TRUE,_xlfn._xlws.FILTER(ROUND(-mets[MW for biomass normalization (g/mol)]*mets[normalized coeffs]/(1000),6)*_xlpm.coeff&amp;" BIO-"&amp;mets[name],mets[category]="RNA",""))&amp;" --&gt; "&amp;SUBSTITUTE(LOWER(ExtraRxns[[#This Row],[name]]),"biosyn-","BIO-"))</f>
        <v>0.237492683999866 BIO-atp_c + 0.384200977198242 BIO-ctp_c + 0.380935609782062 BIO-gtp_c + 0.20204012348134 BIO-utp_c --&gt; BIO-trna</v>
      </c>
      <c r="AB15" t="str">
        <v>BIOSYN-TRNA</v>
      </c>
      <c r="AC15" t="str">
        <v>0.237492683999866 BIO-atp_c + 0.384200977198242 BIO-ctp_c + 0.380935609782062 BIO-gtp_c + 0.20204012348134 BIO-utp_c --&gt; BIO-trna</v>
      </c>
    </row>
    <row r="16" spans="1:33" ht="16" x14ac:dyDescent="0.2">
      <c r="A16" s="144" t="s">
        <v>974</v>
      </c>
      <c r="B16" t="str">
        <f>SUBSTITUTE(_xlfn.TEXTBEFORE(mets[[#This Row],[pasted JSON metabolite keys and values from GSM biomass rxn]],":"),CHAR(34),"")</f>
        <v>fad_c</v>
      </c>
      <c r="C16" t="str">
        <f>_xlfn.TEXTBEFORE(mets[[#This Row],[name]],"_",-1)</f>
        <v>fad</v>
      </c>
      <c r="D16" t="str">
        <f>_xlfn.XLOOKUP(mets[[#This Row],[name w/o location]],metaboliteInfo[name w/o location],metaboliteInfo[suggested category],"")</f>
        <v>COFACTOR</v>
      </c>
      <c r="E16" s="21">
        <f>_xlfn.XLOOKUP(mets[[#This Row],[name w/o location]],metaboliteInfo[name w/o location],metaboliteInfo[MW for biomass normalization (g/mol)],0)</f>
        <v>782.52592200000004</v>
      </c>
      <c r="F16" s="21">
        <f>_xlfn.NUMBERVALUE(SUBSTITUTE(_xlfn.TEXTAFTER(mets[[#This Row],[pasted JSON metabolite keys and values from GSM biomass rxn]],":"),",",""))</f>
        <v>-1E-4</v>
      </c>
      <c r="G16" s="21" cm="1">
        <f t="array" ref="G16">_xlfn.LET(_xlpm.id,mets[[#This Row],[name w/o location]],IF(IsElementOfSet_DIY(_xlpm.id,{"atp","adp","h","pi","h2o"}),SIGN(mets[[#This Row],[raw (GSM) coefficient]])*(ABS(mets[[#This Row],[raw (GSM) coefficient]])-$J$2),mets[[#This Row],[raw (GSM) coefficient]]))</f>
        <v>-1E-4</v>
      </c>
      <c r="H16" s="21">
        <f>mets[[#This Row],[coeff. w/o GAM]]</f>
        <v>-1E-4</v>
      </c>
      <c r="I16" s="161">
        <f t="shared" si="0"/>
        <v>-9.9813790162177443E-5</v>
      </c>
      <c r="J16" s="21" cm="1">
        <f t="array" ref="J16">_xlfn.LET(_xlpm.id,mets[[#This Row],[name w/o location]],_xlpm.oldcoeff,mets[[#This Row],[normalized coeffs]],_xlpm.gam,$J$2-$G$2,_xlfn.IFS(IFERROR(MATCH(_xlpm.id,{"atp","h2o"},0),0)&gt;0,_xlpm.oldcoeff-_xlpm.gam,IFERROR(MATCH(_xlpm.id,{"adp","h","pi"},0),0)&gt;0,_xlpm.oldcoeff+_xlpm.gam,TRUE,_xlpm.oldcoeff))</f>
        <v>-9.9813790162177443E-5</v>
      </c>
      <c r="K16" t="str" cm="1">
        <f t="array" ref="K16">"BIOSYN-"&amp;_xlfn.IFS(IFERROR(MATCH(mets[[#This Row],[category]],{0,"0",""},0),0)&gt;0,mets[[#This Row],[name]],TRUE,mets[[#This Row],[category]]&amp;"-"&amp;mets[[#This Row],[name]])</f>
        <v>BIOSYN-COFACTOR-fad_c</v>
      </c>
      <c r="L16" s="149" t="str" cm="1">
        <f t="array" ref="L16">IF(IsElementOfSet_DIY(mets[[#This Row],[category]],{"ignore","PROT"}),"",_xlfn.LET(_xlpm.mw,mets[[#This Row],[MW for biomass normalization (g/mol)]],"MET-"&amp;mets[[#This Row],[name]]&amp;" --&gt; "&amp;IF((mets[[#This Row],[category]]="DNA")+(mets[[#This Row],[category]]="RNA"),"MET-ppi_c + ","")&amp;ROUND(ABS(_xlpm.mw/1000),6)&amp;" BIO-"&amp;mets[[#This Row],[name]]))</f>
        <v>MET-fad_c --&gt; 0.782526 BIO-fad_c</v>
      </c>
      <c r="M16" s="149" cm="1">
        <f t="array" ref="M1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16" s="149"/>
      <c r="O16" s="149"/>
      <c r="P16" s="145"/>
      <c r="Q16" s="166"/>
      <c r="R16" s="95"/>
      <c r="S16" s="149"/>
      <c r="T16" s="149"/>
      <c r="U16" s="149"/>
      <c r="V16" s="149"/>
      <c r="X16" s="154"/>
      <c r="Y16" s="152" t="s">
        <v>765</v>
      </c>
      <c r="Z16" s="152" t="str" cm="1">
        <f t="array" ref="Z16">_xlfn.LET(_xlpm.RNAmass,_xlfn.XLOOKUP("BIOSYN-RNA",biomassComponents[rxn name],biomassComponents[normalized coeffs],0),_xlpm.coeff,1/_xlpm.RNAmass,_xlfn.TEXTJOIN(" + ",TRUE,_xlfn._xlws.FILTER(ROUND(-mets[MW for biomass normalization (g/mol)]*mets[normalized coeffs]/(1000),6)*_xlpm.coeff&amp;" BIO-"&amp;mets[name],mets[category]="RNA",""))&amp;" --&gt; "&amp;SUBSTITUTE(LOWER(ExtraRxns[[#This Row],[name]]),"biosyn-","BIO-"))</f>
        <v>0.237492683999866 BIO-atp_c + 0.384200977198242 BIO-ctp_c + 0.380935609782062 BIO-gtp_c + 0.20204012348134 BIO-utp_c --&gt; BIO-rrna</v>
      </c>
      <c r="AB16" t="str">
        <v>BIOSYN-RRNA</v>
      </c>
      <c r="AC16" t="str">
        <v>0.237492683999866 BIO-atp_c + 0.384200977198242 BIO-ctp_c + 0.380935609782062 BIO-gtp_c + 0.20204012348134 BIO-utp_c --&gt; BIO-rrna</v>
      </c>
    </row>
    <row r="17" spans="1:29" ht="16" x14ac:dyDescent="0.2">
      <c r="A17" s="144" t="s">
        <v>981</v>
      </c>
      <c r="B17" t="str">
        <f>SUBSTITUTE(_xlfn.TEXTBEFORE(mets[[#This Row],[pasted JSON metabolite keys and values from GSM biomass rxn]],":"),CHAR(34),"")</f>
        <v>hemeA_c</v>
      </c>
      <c r="C17" t="str">
        <f>_xlfn.TEXTBEFORE(mets[[#This Row],[name]],"_",-1)</f>
        <v>hemeA</v>
      </c>
      <c r="D17" t="str">
        <f>_xlfn.XLOOKUP(mets[[#This Row],[name w/o location]],metaboliteInfo[name w/o location],metaboliteInfo[suggested category],"")</f>
        <v>COFACTOR</v>
      </c>
      <c r="E17" s="21">
        <f>_xlfn.XLOOKUP(mets[[#This Row],[name w/o location]],metaboliteInfo[name w/o location],metaboliteInfo[MW for biomass normalization (g/mol)],0)</f>
        <v>850.82126000000005</v>
      </c>
      <c r="F17" s="21">
        <f>_xlfn.NUMBERVALUE(SUBSTITUTE(_xlfn.TEXTAFTER(mets[[#This Row],[pasted JSON metabolite keys and values from GSM biomass rxn]],":"),",",""))</f>
        <v>-1E-4</v>
      </c>
      <c r="G17" s="21" cm="1">
        <f t="array" ref="G17">_xlfn.LET(_xlpm.id,mets[[#This Row],[name w/o location]],IF(IsElementOfSet_DIY(_xlpm.id,{"atp","adp","h","pi","h2o"}),SIGN(mets[[#This Row],[raw (GSM) coefficient]])*(ABS(mets[[#This Row],[raw (GSM) coefficient]])-$J$2),mets[[#This Row],[raw (GSM) coefficient]]))</f>
        <v>-1E-4</v>
      </c>
      <c r="H17" s="21">
        <f>mets[[#This Row],[coeff. w/o GAM]]</f>
        <v>-1E-4</v>
      </c>
      <c r="I17" s="161">
        <f t="shared" si="0"/>
        <v>-9.9813790162177443E-5</v>
      </c>
      <c r="J17" s="21" cm="1">
        <f t="array" ref="J17">_xlfn.LET(_xlpm.id,mets[[#This Row],[name w/o location]],_xlpm.oldcoeff,mets[[#This Row],[normalized coeffs]],_xlpm.gam,$J$2-$G$2,_xlfn.IFS(IFERROR(MATCH(_xlpm.id,{"atp","h2o"},0),0)&gt;0,_xlpm.oldcoeff-_xlpm.gam,IFERROR(MATCH(_xlpm.id,{"adp","h","pi"},0),0)&gt;0,_xlpm.oldcoeff+_xlpm.gam,TRUE,_xlpm.oldcoeff))</f>
        <v>-9.9813790162177443E-5</v>
      </c>
      <c r="K17" t="str" cm="1">
        <f t="array" ref="K17">"BIOSYN-"&amp;_xlfn.IFS(IFERROR(MATCH(mets[[#This Row],[category]],{0,"0",""},0),0)&gt;0,mets[[#This Row],[name]],TRUE,mets[[#This Row],[category]]&amp;"-"&amp;mets[[#This Row],[name]])</f>
        <v>BIOSYN-COFACTOR-hemeA_c</v>
      </c>
      <c r="L17" s="149" t="str" cm="1">
        <f t="array" ref="L17">IF(IsElementOfSet_DIY(mets[[#This Row],[category]],{"ignore","PROT"}),"",_xlfn.LET(_xlpm.mw,mets[[#This Row],[MW for biomass normalization (g/mol)]],"MET-"&amp;mets[[#This Row],[name]]&amp;" --&gt; "&amp;IF((mets[[#This Row],[category]]="DNA")+(mets[[#This Row],[category]]="RNA"),"MET-ppi_c + ","")&amp;ROUND(ABS(_xlpm.mw/1000),6)&amp;" BIO-"&amp;mets[[#This Row],[name]]))</f>
        <v>MET-hemeA_c --&gt; 0.850821 BIO-hemeA_c</v>
      </c>
      <c r="M17" s="149" cm="1">
        <f t="array" ref="M1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17" s="149"/>
      <c r="O17" s="149"/>
      <c r="P17" s="149"/>
      <c r="Q17" s="167"/>
      <c r="R17" s="149"/>
      <c r="S17" s="149"/>
      <c r="T17" s="149"/>
      <c r="U17" s="149"/>
      <c r="V17" s="149"/>
      <c r="X17" s="154"/>
      <c r="Y17" s="152" t="s">
        <v>764</v>
      </c>
      <c r="Z17" s="152" t="str" cm="1">
        <f t="array" ref="Z17">_xlfn.LET(_xlpm.RNAmass,_xlfn.XLOOKUP("BIOSYN-RNA",biomassComponents[rxn name],biomassComponents[normalized coeffs],0),_xlpm.coeff,1/_xlpm.RNAmass,_xlfn.TEXTJOIN(" + ",TRUE,_xlfn._xlws.FILTER(ROUND(-mets[MW for biomass normalization (g/mol)]*mets[normalized coeffs]/(1000),6)*_xlpm.coeff&amp;" BIO-"&amp;mets[name],mets[category]="RNA",""))&amp;" --&gt; "&amp;SUBSTITUTE(LOWER(ExtraRxns[[#This Row],[name]]),"biosyn-","BIO-"))</f>
        <v>0.237492683999866 BIO-atp_c + 0.384200977198242 BIO-ctp_c + 0.380935609782062 BIO-gtp_c + 0.20204012348134 BIO-utp_c --&gt; BIO-mrna</v>
      </c>
      <c r="AB17" t="str">
        <v>BIOSYN-MRNA</v>
      </c>
      <c r="AC17" t="str">
        <v>0.237492683999866 BIO-atp_c + 0.384200977198242 BIO-ctp_c + 0.380935609782062 BIO-gtp_c + 0.20204012348134 BIO-utp_c --&gt; BIO-mrna</v>
      </c>
    </row>
    <row r="18" spans="1:29" ht="16" x14ac:dyDescent="0.2">
      <c r="A18" s="144" t="s">
        <v>993</v>
      </c>
      <c r="B18" t="str">
        <f>SUBSTITUTE(_xlfn.TEXTBEFORE(mets[[#This Row],[pasted JSON metabolite keys and values from GSM biomass rxn]],":"),CHAR(34),"")</f>
        <v>nad_c</v>
      </c>
      <c r="C18" t="str">
        <f>_xlfn.TEXTBEFORE(mets[[#This Row],[name]],"_",-1)</f>
        <v>nad</v>
      </c>
      <c r="D18" t="str">
        <f>_xlfn.XLOOKUP(mets[[#This Row],[name w/o location]],metaboliteInfo[name w/o location],metaboliteInfo[suggested category],"")</f>
        <v>COFACTOR</v>
      </c>
      <c r="E18" s="21">
        <f>_xlfn.XLOOKUP(mets[[#This Row],[name w/o location]],metaboliteInfo[name w/o location],metaboliteInfo[MW for biomass normalization (g/mol)],0)</f>
        <v>662.41716199999996</v>
      </c>
      <c r="F18" s="21">
        <f>_xlfn.NUMBERVALUE(SUBSTITUTE(_xlfn.TEXTAFTER(mets[[#This Row],[pasted JSON metabolite keys and values from GSM biomass rxn]],":"),",",""))</f>
        <v>-1E-4</v>
      </c>
      <c r="G18" s="21" cm="1">
        <f t="array" ref="G18">_xlfn.LET(_xlpm.id,mets[[#This Row],[name w/o location]],IF(IsElementOfSet_DIY(_xlpm.id,{"atp","adp","h","pi","h2o"}),SIGN(mets[[#This Row],[raw (GSM) coefficient]])*(ABS(mets[[#This Row],[raw (GSM) coefficient]])-$J$2),mets[[#This Row],[raw (GSM) coefficient]]))</f>
        <v>-1E-4</v>
      </c>
      <c r="H18" s="21">
        <f>mets[[#This Row],[coeff. w/o GAM]]</f>
        <v>-1E-4</v>
      </c>
      <c r="I18" s="161">
        <f t="shared" si="0"/>
        <v>-9.9813790162177443E-5</v>
      </c>
      <c r="J18" s="21" cm="1">
        <f t="array" ref="J18">_xlfn.LET(_xlpm.id,mets[[#This Row],[name w/o location]],_xlpm.oldcoeff,mets[[#This Row],[normalized coeffs]],_xlpm.gam,$J$2-$G$2,_xlfn.IFS(IFERROR(MATCH(_xlpm.id,{"atp","h2o"},0),0)&gt;0,_xlpm.oldcoeff-_xlpm.gam,IFERROR(MATCH(_xlpm.id,{"adp","h","pi"},0),0)&gt;0,_xlpm.oldcoeff+_xlpm.gam,TRUE,_xlpm.oldcoeff))</f>
        <v>-9.9813790162177443E-5</v>
      </c>
      <c r="K18" t="str" cm="1">
        <f t="array" ref="K18">"BIOSYN-"&amp;_xlfn.IFS(IFERROR(MATCH(mets[[#This Row],[category]],{0,"0",""},0),0)&gt;0,mets[[#This Row],[name]],TRUE,mets[[#This Row],[category]]&amp;"-"&amp;mets[[#This Row],[name]])</f>
        <v>BIOSYN-COFACTOR-nad_c</v>
      </c>
      <c r="L18" s="149" t="str" cm="1">
        <f t="array" ref="L18">IF(IsElementOfSet_DIY(mets[[#This Row],[category]],{"ignore","PROT"}),"",_xlfn.LET(_xlpm.mw,mets[[#This Row],[MW for biomass normalization (g/mol)]],"MET-"&amp;mets[[#This Row],[name]]&amp;" --&gt; "&amp;IF((mets[[#This Row],[category]]="DNA")+(mets[[#This Row],[category]]="RNA"),"MET-ppi_c + ","")&amp;ROUND(ABS(_xlpm.mw/1000),6)&amp;" BIO-"&amp;mets[[#This Row],[name]]))</f>
        <v>MET-nad_c --&gt; 0.662417 BIO-nad_c</v>
      </c>
      <c r="M18" s="149" cm="1">
        <f t="array" ref="M1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18" s="149"/>
      <c r="O18" s="149"/>
      <c r="P18" s="149"/>
      <c r="Q18" s="149"/>
      <c r="R18" s="167"/>
      <c r="S18" s="149"/>
      <c r="T18" s="149"/>
      <c r="U18" s="149"/>
      <c r="V18" s="149"/>
      <c r="AB18" t="str">
        <v>BIOSYN-CARB</v>
      </c>
      <c r="AC18" t="str">
        <v>0.494981 BIO-13BDglucan_c + 0.130259 BIO-16BDglucan_en + 0.123818 BIO-G00006_c + 0.014666 BIO-chtn_c + 0.118138 BIO-gpianchorSC_r + 0.118138 BIO-oglycanSC_g --&gt; BIO-carb</v>
      </c>
    </row>
    <row r="19" spans="1:29" ht="16" x14ac:dyDescent="0.2">
      <c r="A19" s="144" t="s">
        <v>994</v>
      </c>
      <c r="B19" t="str">
        <f>SUBSTITUTE(_xlfn.TEXTBEFORE(mets[[#This Row],[pasted JSON metabolite keys and values from GSM biomass rxn]],":"),CHAR(34),"")</f>
        <v>nadp_c</v>
      </c>
      <c r="C19" t="str">
        <f>_xlfn.TEXTBEFORE(mets[[#This Row],[name]],"_",-1)</f>
        <v>nadp</v>
      </c>
      <c r="D19" t="str">
        <f>_xlfn.XLOOKUP(mets[[#This Row],[name w/o location]],metaboliteInfo[name w/o location],metaboliteInfo[suggested category],"")</f>
        <v>COFACTOR</v>
      </c>
      <c r="E19" s="21">
        <f>_xlfn.XLOOKUP(mets[[#This Row],[name w/o location]],metaboliteInfo[name w/o location],metaboliteInfo[MW for biomass normalization (g/mol)],0)</f>
        <v>740.38118299999996</v>
      </c>
      <c r="F19" s="21">
        <f>_xlfn.NUMBERVALUE(SUBSTITUTE(_xlfn.TEXTAFTER(mets[[#This Row],[pasted JSON metabolite keys and values from GSM biomass rxn]],":"),",",""))</f>
        <v>-1E-4</v>
      </c>
      <c r="G19" s="21" cm="1">
        <f t="array" ref="G19">_xlfn.LET(_xlpm.id,mets[[#This Row],[name w/o location]],IF(IsElementOfSet_DIY(_xlpm.id,{"atp","adp","h","pi","h2o"}),SIGN(mets[[#This Row],[raw (GSM) coefficient]])*(ABS(mets[[#This Row],[raw (GSM) coefficient]])-$J$2),mets[[#This Row],[raw (GSM) coefficient]]))</f>
        <v>-1E-4</v>
      </c>
      <c r="H19" s="21">
        <f>mets[[#This Row],[coeff. w/o GAM]]</f>
        <v>-1E-4</v>
      </c>
      <c r="I19" s="161">
        <f t="shared" si="0"/>
        <v>-9.9813790162177443E-5</v>
      </c>
      <c r="J19" s="21" cm="1">
        <f t="array" ref="J19">_xlfn.LET(_xlpm.id,mets[[#This Row],[name w/o location]],_xlpm.oldcoeff,mets[[#This Row],[normalized coeffs]],_xlpm.gam,$J$2-$G$2,_xlfn.IFS(IFERROR(MATCH(_xlpm.id,{"atp","h2o"},0),0)&gt;0,_xlpm.oldcoeff-_xlpm.gam,IFERROR(MATCH(_xlpm.id,{"adp","h","pi"},0),0)&gt;0,_xlpm.oldcoeff+_xlpm.gam,TRUE,_xlpm.oldcoeff))</f>
        <v>-9.9813790162177443E-5</v>
      </c>
      <c r="K19" t="str" cm="1">
        <f t="array" ref="K19">"BIOSYN-"&amp;_xlfn.IFS(IFERROR(MATCH(mets[[#This Row],[category]],{0,"0",""},0),0)&gt;0,mets[[#This Row],[name]],TRUE,mets[[#This Row],[category]]&amp;"-"&amp;mets[[#This Row],[name]])</f>
        <v>BIOSYN-COFACTOR-nadp_c</v>
      </c>
      <c r="L19" s="149" t="str" cm="1">
        <f t="array" ref="L19">IF(IsElementOfSet_DIY(mets[[#This Row],[category]],{"ignore","PROT"}),"",_xlfn.LET(_xlpm.mw,mets[[#This Row],[MW for biomass normalization (g/mol)]],"MET-"&amp;mets[[#This Row],[name]]&amp;" --&gt; "&amp;IF((mets[[#This Row],[category]]="DNA")+(mets[[#This Row],[category]]="RNA"),"MET-ppi_c + ","")&amp;ROUND(ABS(_xlpm.mw/1000),6)&amp;" BIO-"&amp;mets[[#This Row],[name]]))</f>
        <v>MET-nadp_c --&gt; 0.740381 BIO-nadp_c</v>
      </c>
      <c r="M19" s="149" cm="1">
        <f t="array" ref="M1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19" s="149"/>
      <c r="O19" s="149"/>
      <c r="P19" s="149"/>
      <c r="Q19" s="149"/>
      <c r="R19" s="149"/>
      <c r="S19" s="149"/>
      <c r="T19" s="149"/>
      <c r="U19" s="149"/>
      <c r="V19" s="149"/>
      <c r="AB19" t="str">
        <v>BIOSYN-COFACTOR</v>
      </c>
      <c r="AC19" t="str">
        <v>0.065732 BIO-amet_c + 0.040038 BIO-btn_c + 0.125641 BIO-coa_c + 0.128772 BIO-fad_c + 0.14001 BIO-hemeA_c + 0.109007 BIO-nad_c + 0.121836 BIO-nadp_c + 0.040338 BIO-pydx5p_c + 0.061768 BIO-ribflv_c + 0.024399 BIO-spmd_c + 0.072968 BIO-thf_c + 0.069492 BIO-thmpp_c --&gt; BIO-cofactor</v>
      </c>
    </row>
    <row r="20" spans="1:29" ht="16" x14ac:dyDescent="0.2">
      <c r="A20" s="144" t="s">
        <v>1004</v>
      </c>
      <c r="B20" t="str">
        <f>SUBSTITUTE(_xlfn.TEXTBEFORE(mets[[#This Row],[pasted JSON metabolite keys and values from GSM biomass rxn]],":"),CHAR(34),"")</f>
        <v>pydx5p_c</v>
      </c>
      <c r="C20" t="str">
        <f>_xlfn.TEXTBEFORE(mets[[#This Row],[name]],"_",-1)</f>
        <v>pydx5p</v>
      </c>
      <c r="D20" t="str">
        <f>_xlfn.XLOOKUP(mets[[#This Row],[name w/o location]],metaboliteInfo[name w/o location],metaboliteInfo[suggested category],"")</f>
        <v>COFACTOR</v>
      </c>
      <c r="E20" s="21">
        <f>_xlfn.XLOOKUP(mets[[#This Row],[name w/o location]],metaboliteInfo[name w/o location],metaboliteInfo[MW for biomass normalization (g/mol)],0)</f>
        <v>245.126</v>
      </c>
      <c r="F20" s="21">
        <f>_xlfn.NUMBERVALUE(SUBSTITUTE(_xlfn.TEXTAFTER(mets[[#This Row],[pasted JSON metabolite keys and values from GSM biomass rxn]],":"),",",""))</f>
        <v>-1E-4</v>
      </c>
      <c r="G20" s="21" cm="1">
        <f t="array" ref="G20">_xlfn.LET(_xlpm.id,mets[[#This Row],[name w/o location]],IF(IsElementOfSet_DIY(_xlpm.id,{"atp","adp","h","pi","h2o"}),SIGN(mets[[#This Row],[raw (GSM) coefficient]])*(ABS(mets[[#This Row],[raw (GSM) coefficient]])-$J$2),mets[[#This Row],[raw (GSM) coefficient]]))</f>
        <v>-1E-4</v>
      </c>
      <c r="H20" s="21">
        <f>mets[[#This Row],[coeff. w/o GAM]]</f>
        <v>-1E-4</v>
      </c>
      <c r="I20" s="161">
        <f t="shared" si="0"/>
        <v>-9.9813790162177443E-5</v>
      </c>
      <c r="J20" s="21" cm="1">
        <f t="array" ref="J20">_xlfn.LET(_xlpm.id,mets[[#This Row],[name w/o location]],_xlpm.oldcoeff,mets[[#This Row],[normalized coeffs]],_xlpm.gam,$J$2-$G$2,_xlfn.IFS(IFERROR(MATCH(_xlpm.id,{"atp","h2o"},0),0)&gt;0,_xlpm.oldcoeff-_xlpm.gam,IFERROR(MATCH(_xlpm.id,{"adp","h","pi"},0),0)&gt;0,_xlpm.oldcoeff+_xlpm.gam,TRUE,_xlpm.oldcoeff))</f>
        <v>-9.9813790162177443E-5</v>
      </c>
      <c r="K20" t="str" cm="1">
        <f t="array" ref="K20">"BIOSYN-"&amp;_xlfn.IFS(IFERROR(MATCH(mets[[#This Row],[category]],{0,"0",""},0),0)&gt;0,mets[[#This Row],[name]],TRUE,mets[[#This Row],[category]]&amp;"-"&amp;mets[[#This Row],[name]])</f>
        <v>BIOSYN-COFACTOR-pydx5p_c</v>
      </c>
      <c r="L20" s="149" t="str" cm="1">
        <f t="array" ref="L20">IF(IsElementOfSet_DIY(mets[[#This Row],[category]],{"ignore","PROT"}),"",_xlfn.LET(_xlpm.mw,mets[[#This Row],[MW for biomass normalization (g/mol)]],"MET-"&amp;mets[[#This Row],[name]]&amp;" --&gt; "&amp;IF((mets[[#This Row],[category]]="DNA")+(mets[[#This Row],[category]]="RNA"),"MET-ppi_c + ","")&amp;ROUND(ABS(_xlpm.mw/1000),6)&amp;" BIO-"&amp;mets[[#This Row],[name]]))</f>
        <v>MET-pydx5p_c --&gt; 0.245126 BIO-pydx5p_c</v>
      </c>
      <c r="M20" s="149" cm="1">
        <f t="array" ref="M2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20" s="149"/>
      <c r="O20" s="149"/>
      <c r="P20" s="149"/>
      <c r="Q20" s="149"/>
      <c r="R20" s="149"/>
      <c r="S20" s="149"/>
      <c r="T20" s="149"/>
      <c r="U20" s="149"/>
      <c r="V20" s="149"/>
      <c r="AB20" t="str">
        <v>BIOSYN-DNA</v>
      </c>
      <c r="AC20" t="str">
        <v>0.197916 BIO-datp_c + 0.285139 BIO-dctp_c + 0.324742 BIO-dgtp_c + 0.192202 BIO-dttp_c --&gt; BIO-dna</v>
      </c>
    </row>
    <row r="21" spans="1:29" ht="16" x14ac:dyDescent="0.2">
      <c r="A21" s="144" t="s">
        <v>1005</v>
      </c>
      <c r="B21" t="str">
        <f>SUBSTITUTE(_xlfn.TEXTBEFORE(mets[[#This Row],[pasted JSON metabolite keys and values from GSM biomass rxn]],":"),CHAR(34),"")</f>
        <v>ribflv_c</v>
      </c>
      <c r="C21" t="str">
        <f>_xlfn.TEXTBEFORE(mets[[#This Row],[name]],"_",-1)</f>
        <v>ribflv</v>
      </c>
      <c r="D21" t="str">
        <f>_xlfn.XLOOKUP(mets[[#This Row],[name w/o location]],metaboliteInfo[name w/o location],metaboliteInfo[suggested category],"")</f>
        <v>COFACTOR</v>
      </c>
      <c r="E21" s="21">
        <f>_xlfn.XLOOKUP(mets[[#This Row],[name w/o location]],metaboliteInfo[name w/o location],metaboliteInfo[MW for biomass normalization (g/mol)],0)</f>
        <v>375.35595999999998</v>
      </c>
      <c r="F21" s="21">
        <f>_xlfn.NUMBERVALUE(SUBSTITUTE(_xlfn.TEXTAFTER(mets[[#This Row],[pasted JSON metabolite keys and values from GSM biomass rxn]],":"),",",""))</f>
        <v>-1E-4</v>
      </c>
      <c r="G21" s="21" cm="1">
        <f t="array" ref="G21">_xlfn.LET(_xlpm.id,mets[[#This Row],[name w/o location]],IF(IsElementOfSet_DIY(_xlpm.id,{"atp","adp","h","pi","h2o"}),SIGN(mets[[#This Row],[raw (GSM) coefficient]])*(ABS(mets[[#This Row],[raw (GSM) coefficient]])-$J$2),mets[[#This Row],[raw (GSM) coefficient]]))</f>
        <v>-1E-4</v>
      </c>
      <c r="H21" s="21">
        <f>mets[[#This Row],[coeff. w/o GAM]]</f>
        <v>-1E-4</v>
      </c>
      <c r="I21" s="161">
        <f t="shared" si="0"/>
        <v>-9.9813790162177443E-5</v>
      </c>
      <c r="J21" s="21" cm="1">
        <f t="array" ref="J21">_xlfn.LET(_xlpm.id,mets[[#This Row],[name w/o location]],_xlpm.oldcoeff,mets[[#This Row],[normalized coeffs]],_xlpm.gam,$J$2-$G$2,_xlfn.IFS(IFERROR(MATCH(_xlpm.id,{"atp","h2o"},0),0)&gt;0,_xlpm.oldcoeff-_xlpm.gam,IFERROR(MATCH(_xlpm.id,{"adp","h","pi"},0),0)&gt;0,_xlpm.oldcoeff+_xlpm.gam,TRUE,_xlpm.oldcoeff))</f>
        <v>-9.9813790162177443E-5</v>
      </c>
      <c r="K21" t="str" cm="1">
        <f t="array" ref="K21">"BIOSYN-"&amp;_xlfn.IFS(IFERROR(MATCH(mets[[#This Row],[category]],{0,"0",""},0),0)&gt;0,mets[[#This Row],[name]],TRUE,mets[[#This Row],[category]]&amp;"-"&amp;mets[[#This Row],[name]])</f>
        <v>BIOSYN-COFACTOR-ribflv_c</v>
      </c>
      <c r="L21" s="149" t="str" cm="1">
        <f t="array" ref="L21">IF(IsElementOfSet_DIY(mets[[#This Row],[category]],{"ignore","PROT"}),"",_xlfn.LET(_xlpm.mw,mets[[#This Row],[MW for biomass normalization (g/mol)]],"MET-"&amp;mets[[#This Row],[name]]&amp;" --&gt; "&amp;IF((mets[[#This Row],[category]]="DNA")+(mets[[#This Row],[category]]="RNA"),"MET-ppi_c + ","")&amp;ROUND(ABS(_xlpm.mw/1000),6)&amp;" BIO-"&amp;mets[[#This Row],[name]]))</f>
        <v>MET-ribflv_c --&gt; 0.375356 BIO-ribflv_c</v>
      </c>
      <c r="M21" s="149" cm="1">
        <f t="array" ref="M2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21" s="149"/>
      <c r="O21" s="149"/>
      <c r="P21" s="149"/>
      <c r="Q21" s="149"/>
      <c r="R21" s="149"/>
      <c r="S21" s="149"/>
      <c r="T21" s="149"/>
      <c r="U21" s="149"/>
      <c r="V21" s="149"/>
      <c r="AB21" t="str">
        <v>BIOSYN-LIPID</v>
      </c>
      <c r="AC21" t="str">
        <v>0.000113 BIO-docosa_c + 0.331734 BIO-epist_c + 0.00099 BIO-hdca_c + 0.060003 BIO-ipc_g + 0.002763 BIO-linoea_c + 0.000736 BIO-linolen_c + 0.000731 BIO-ocdca_c + 0.001333 BIO-ocdcea_c + 0.153426 BIO-pail_c + 0.262549 BIO-pc_c + 0.06002 BIO-pe_c + 0.034003 BIO-ps_c + 0.090846 BIO-tag_c + 0.000752 BIO-ttcosa_c --&gt; BIO-lipid</v>
      </c>
    </row>
    <row r="22" spans="1:29" ht="16" x14ac:dyDescent="0.2">
      <c r="A22" s="144" t="s">
        <v>1008</v>
      </c>
      <c r="B22" t="str">
        <f>SUBSTITUTE(_xlfn.TEXTBEFORE(mets[[#This Row],[pasted JSON metabolite keys and values from GSM biomass rxn]],":"),CHAR(34),"")</f>
        <v>spmd_c</v>
      </c>
      <c r="C22" t="str">
        <f>_xlfn.TEXTBEFORE(mets[[#This Row],[name]],"_",-1)</f>
        <v>spmd</v>
      </c>
      <c r="D22" t="str">
        <f>_xlfn.XLOOKUP(mets[[#This Row],[name w/o location]],metaboliteInfo[name w/o location],metaboliteInfo[suggested category],"")</f>
        <v>COFACTOR</v>
      </c>
      <c r="E22" s="21">
        <f>_xlfn.XLOOKUP(mets[[#This Row],[name w/o location]],metaboliteInfo[name w/o location],metaboliteInfo[MW for biomass normalization (g/mol)],0)</f>
        <v>148.26967999999999</v>
      </c>
      <c r="F22" s="21">
        <f>_xlfn.NUMBERVALUE(SUBSTITUTE(_xlfn.TEXTAFTER(mets[[#This Row],[pasted JSON metabolite keys and values from GSM biomass rxn]],":"),",",""))</f>
        <v>-1E-4</v>
      </c>
      <c r="G22" s="21" cm="1">
        <f t="array" ref="G22">_xlfn.LET(_xlpm.id,mets[[#This Row],[name w/o location]],IF(IsElementOfSet_DIY(_xlpm.id,{"atp","adp","h","pi","h2o"}),SIGN(mets[[#This Row],[raw (GSM) coefficient]])*(ABS(mets[[#This Row],[raw (GSM) coefficient]])-$J$2),mets[[#This Row],[raw (GSM) coefficient]]))</f>
        <v>-1E-4</v>
      </c>
      <c r="H22" s="21">
        <f>mets[[#This Row],[coeff. w/o GAM]]</f>
        <v>-1E-4</v>
      </c>
      <c r="I22" s="161">
        <f t="shared" si="0"/>
        <v>-9.9813790162177443E-5</v>
      </c>
      <c r="J22" s="21" cm="1">
        <f t="array" ref="J22">_xlfn.LET(_xlpm.id,mets[[#This Row],[name w/o location]],_xlpm.oldcoeff,mets[[#This Row],[normalized coeffs]],_xlpm.gam,$J$2-$G$2,_xlfn.IFS(IFERROR(MATCH(_xlpm.id,{"atp","h2o"},0),0)&gt;0,_xlpm.oldcoeff-_xlpm.gam,IFERROR(MATCH(_xlpm.id,{"adp","h","pi"},0),0)&gt;0,_xlpm.oldcoeff+_xlpm.gam,TRUE,_xlpm.oldcoeff))</f>
        <v>-9.9813790162177443E-5</v>
      </c>
      <c r="K22" t="str" cm="1">
        <f t="array" ref="K22">"BIOSYN-"&amp;_xlfn.IFS(IFERROR(MATCH(mets[[#This Row],[category]],{0,"0",""},0),0)&gt;0,mets[[#This Row],[name]],TRUE,mets[[#This Row],[category]]&amp;"-"&amp;mets[[#This Row],[name]])</f>
        <v>BIOSYN-COFACTOR-spmd_c</v>
      </c>
      <c r="L22" s="149" t="str" cm="1">
        <f t="array" ref="L22">IF(IsElementOfSet_DIY(mets[[#This Row],[category]],{"ignore","PROT"}),"",_xlfn.LET(_xlpm.mw,mets[[#This Row],[MW for biomass normalization (g/mol)]],"MET-"&amp;mets[[#This Row],[name]]&amp;" --&gt; "&amp;IF((mets[[#This Row],[category]]="DNA")+(mets[[#This Row],[category]]="RNA"),"MET-ppi_c + ","")&amp;ROUND(ABS(_xlpm.mw/1000),6)&amp;" BIO-"&amp;mets[[#This Row],[name]]))</f>
        <v>MET-spmd_c --&gt; 0.14827 BIO-spmd_c</v>
      </c>
      <c r="M22" s="149" cm="1">
        <f t="array" ref="M2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22" s="149"/>
      <c r="O22" s="149"/>
      <c r="P22" s="149"/>
      <c r="Q22" s="149"/>
      <c r="R22" s="149"/>
      <c r="S22" s="149"/>
      <c r="T22" s="149"/>
      <c r="U22" s="149"/>
      <c r="V22" s="149"/>
      <c r="AB22" t="str">
        <v>BIOSYN-METAL</v>
      </c>
      <c r="AC22" t="str">
        <v>0.002033 BIO-ca2_c + 0.000286 BIO-cu2_c + 0.001463 BIO-fe2_c + 0.93097 BIO-k_c + 0.060981 BIO-mg2_c + 0.000204 BIO-mn2_c + 0.004064 BIO-zn2_c --&gt; BIO-metal</v>
      </c>
    </row>
    <row r="23" spans="1:29" ht="16" x14ac:dyDescent="0.2">
      <c r="A23" s="144" t="s">
        <v>1010</v>
      </c>
      <c r="B23" t="str">
        <f>SUBSTITUTE(_xlfn.TEXTBEFORE(mets[[#This Row],[pasted JSON metabolite keys and values from GSM biomass rxn]],":"),CHAR(34),"")</f>
        <v>thf_c</v>
      </c>
      <c r="C23" t="str">
        <f>_xlfn.TEXTBEFORE(mets[[#This Row],[name]],"_",-1)</f>
        <v>thf</v>
      </c>
      <c r="D23" t="str">
        <f>_xlfn.XLOOKUP(mets[[#This Row],[name w/o location]],metaboliteInfo[name w/o location],metaboliteInfo[suggested category],"")</f>
        <v>COFACTOR</v>
      </c>
      <c r="E23" s="21">
        <f>_xlfn.XLOOKUP(mets[[#This Row],[name w/o location]],metaboliteInfo[name w/o location],metaboliteInfo[MW for biomass normalization (g/mol)],0)</f>
        <v>443.41334000000001</v>
      </c>
      <c r="F23" s="21">
        <f>_xlfn.NUMBERVALUE(SUBSTITUTE(_xlfn.TEXTAFTER(mets[[#This Row],[pasted JSON metabolite keys and values from GSM biomass rxn]],":"),",",""))</f>
        <v>-1E-4</v>
      </c>
      <c r="G23" s="21" cm="1">
        <f t="array" ref="G23">_xlfn.LET(_xlpm.id,mets[[#This Row],[name w/o location]],IF(IsElementOfSet_DIY(_xlpm.id,{"atp","adp","h","pi","h2o"}),SIGN(mets[[#This Row],[raw (GSM) coefficient]])*(ABS(mets[[#This Row],[raw (GSM) coefficient]])-$J$2),mets[[#This Row],[raw (GSM) coefficient]]))</f>
        <v>-1E-4</v>
      </c>
      <c r="H23" s="21">
        <f>mets[[#This Row],[coeff. w/o GAM]]</f>
        <v>-1E-4</v>
      </c>
      <c r="I23" s="161">
        <f t="shared" si="0"/>
        <v>-9.9813790162177443E-5</v>
      </c>
      <c r="J23" s="21" cm="1">
        <f t="array" ref="J23">_xlfn.LET(_xlpm.id,mets[[#This Row],[name w/o location]],_xlpm.oldcoeff,mets[[#This Row],[normalized coeffs]],_xlpm.gam,$J$2-$G$2,_xlfn.IFS(IFERROR(MATCH(_xlpm.id,{"atp","h2o"},0),0)&gt;0,_xlpm.oldcoeff-_xlpm.gam,IFERROR(MATCH(_xlpm.id,{"adp","h","pi"},0),0)&gt;0,_xlpm.oldcoeff+_xlpm.gam,TRUE,_xlpm.oldcoeff))</f>
        <v>-9.9813790162177443E-5</v>
      </c>
      <c r="K23" t="str" cm="1">
        <f t="array" ref="K23">"BIOSYN-"&amp;_xlfn.IFS(IFERROR(MATCH(mets[[#This Row],[category]],{0,"0",""},0),0)&gt;0,mets[[#This Row],[name]],TRUE,mets[[#This Row],[category]]&amp;"-"&amp;mets[[#This Row],[name]])</f>
        <v>BIOSYN-COFACTOR-thf_c</v>
      </c>
      <c r="L23" s="149" t="str" cm="1">
        <f t="array" ref="L23">IF(IsElementOfSet_DIY(mets[[#This Row],[category]],{"ignore","PROT"}),"",_xlfn.LET(_xlpm.mw,mets[[#This Row],[MW for biomass normalization (g/mol)]],"MET-"&amp;mets[[#This Row],[name]]&amp;" --&gt; "&amp;IF((mets[[#This Row],[category]]="DNA")+(mets[[#This Row],[category]]="RNA"),"MET-ppi_c + ","")&amp;ROUND(ABS(_xlpm.mw/1000),6)&amp;" BIO-"&amp;mets[[#This Row],[name]]))</f>
        <v>MET-thf_c --&gt; 0.443413 BIO-thf_c</v>
      </c>
      <c r="M23" s="149" cm="1">
        <f t="array" ref="M2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23" s="149"/>
      <c r="O23" s="149"/>
      <c r="P23" s="149"/>
      <c r="Q23" s="149"/>
      <c r="R23" s="149"/>
      <c r="S23" s="149"/>
      <c r="T23" s="149"/>
      <c r="U23" s="149"/>
      <c r="V23" s="149"/>
      <c r="AB23" t="str">
        <v>BIOSYN-RNA</v>
      </c>
      <c r="AC23" t="str">
        <v>0.15 BIO-trna + 0.05 BIO-mrna + 0.80 BIO-rrna --&gt; BIO-rna</v>
      </c>
    </row>
    <row r="24" spans="1:29" ht="16" x14ac:dyDescent="0.2">
      <c r="A24" s="144" t="s">
        <v>1011</v>
      </c>
      <c r="B24" t="str">
        <f>SUBSTITUTE(_xlfn.TEXTBEFORE(mets[[#This Row],[pasted JSON metabolite keys and values from GSM biomass rxn]],":"),CHAR(34),"")</f>
        <v>thmpp_c</v>
      </c>
      <c r="C24" t="str">
        <f>_xlfn.TEXTBEFORE(mets[[#This Row],[name]],"_",-1)</f>
        <v>thmpp</v>
      </c>
      <c r="D24" t="str">
        <f>_xlfn.XLOOKUP(mets[[#This Row],[name w/o location]],metaboliteInfo[name w/o location],metaboliteInfo[suggested category],"")</f>
        <v>COFACTOR</v>
      </c>
      <c r="E24" s="21">
        <f>_xlfn.XLOOKUP(mets[[#This Row],[name w/o location]],metaboliteInfo[name w/o location],metaboliteInfo[MW for biomass normalization (g/mol)],0)</f>
        <v>422.29056200000002</v>
      </c>
      <c r="F24" s="21">
        <f>_xlfn.NUMBERVALUE(SUBSTITUTE(_xlfn.TEXTAFTER(mets[[#This Row],[pasted JSON metabolite keys and values from GSM biomass rxn]],":"),",",""))</f>
        <v>-1E-4</v>
      </c>
      <c r="G24" s="21" cm="1">
        <f t="array" ref="G24">_xlfn.LET(_xlpm.id,mets[[#This Row],[name w/o location]],IF(IsElementOfSet_DIY(_xlpm.id,{"atp","adp","h","pi","h2o"}),SIGN(mets[[#This Row],[raw (GSM) coefficient]])*(ABS(mets[[#This Row],[raw (GSM) coefficient]])-$J$2),mets[[#This Row],[raw (GSM) coefficient]]))</f>
        <v>-1E-4</v>
      </c>
      <c r="H24" s="21">
        <f>mets[[#This Row],[coeff. w/o GAM]]</f>
        <v>-1E-4</v>
      </c>
      <c r="I24" s="161">
        <f t="shared" si="0"/>
        <v>-9.9813790162177443E-5</v>
      </c>
      <c r="J24" s="21" cm="1">
        <f t="array" ref="J24">_xlfn.LET(_xlpm.id,mets[[#This Row],[name w/o location]],_xlpm.oldcoeff,mets[[#This Row],[normalized coeffs]],_xlpm.gam,$J$2-$G$2,_xlfn.IFS(IFERROR(MATCH(_xlpm.id,{"atp","h2o"},0),0)&gt;0,_xlpm.oldcoeff-_xlpm.gam,IFERROR(MATCH(_xlpm.id,{"adp","h","pi"},0),0)&gt;0,_xlpm.oldcoeff+_xlpm.gam,TRUE,_xlpm.oldcoeff))</f>
        <v>-9.9813790162177443E-5</v>
      </c>
      <c r="K24" t="str" cm="1">
        <f t="array" ref="K24">"BIOSYN-"&amp;_xlfn.IFS(IFERROR(MATCH(mets[[#This Row],[category]],{0,"0",""},0),0)&gt;0,mets[[#This Row],[name]],TRUE,mets[[#This Row],[category]]&amp;"-"&amp;mets[[#This Row],[name]])</f>
        <v>BIOSYN-COFACTOR-thmpp_c</v>
      </c>
      <c r="L24" s="149" t="str" cm="1">
        <f t="array" ref="L24">IF(IsElementOfSet_DIY(mets[[#This Row],[category]],{"ignore","PROT"}),"",_xlfn.LET(_xlpm.mw,mets[[#This Row],[MW for biomass normalization (g/mol)]],"MET-"&amp;mets[[#This Row],[name]]&amp;" --&gt; "&amp;IF((mets[[#This Row],[category]]="DNA")+(mets[[#This Row],[category]]="RNA"),"MET-ppi_c + ","")&amp;ROUND(ABS(_xlpm.mw/1000),6)&amp;" BIO-"&amp;mets[[#This Row],[name]]))</f>
        <v>MET-thmpp_c --&gt; 0.422291 BIO-thmpp_c</v>
      </c>
      <c r="M24" s="149" cm="1">
        <f t="array" ref="M2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-9.9813790162177443E-5</v>
      </c>
      <c r="N24" s="149"/>
      <c r="O24" s="149"/>
      <c r="P24" s="149"/>
      <c r="Q24" s="149"/>
      <c r="R24" s="149"/>
      <c r="S24" s="149"/>
      <c r="T24" s="149"/>
      <c r="U24" s="149"/>
      <c r="V24" s="149"/>
      <c r="AB24" t="str">
        <v>BIOSYN-CARB-13BDglucan_c</v>
      </c>
      <c r="AC24" t="str">
        <v>MET-13BDglucan_c --&gt; 0.162141 BIO-13BDglucan_c</v>
      </c>
    </row>
    <row r="25" spans="1:29" ht="16" x14ac:dyDescent="0.2">
      <c r="A25" s="144" t="s">
        <v>968</v>
      </c>
      <c r="B25" t="str">
        <f>SUBSTITUTE(_xlfn.TEXTBEFORE(mets[[#This Row],[pasted JSON metabolite keys and values from GSM biomass rxn]],":"),CHAR(34),"")</f>
        <v>datp_c</v>
      </c>
      <c r="C25" t="str">
        <f>_xlfn.TEXTBEFORE(mets[[#This Row],[name]],"_",-1)</f>
        <v>datp</v>
      </c>
      <c r="D25" t="str">
        <f>_xlfn.XLOOKUP(mets[[#This Row],[name w/o location]],metaboliteInfo[name w/o location],metaboliteInfo[suggested category],"")</f>
        <v>DNA</v>
      </c>
      <c r="E25" s="21">
        <f>_xlfn.XLOOKUP(mets[[#This Row],[name w/o location]],metaboliteInfo[name w/o location],metaboliteInfo[MW for biomass normalization (g/mol)],0)</f>
        <v>312.19860099999994</v>
      </c>
      <c r="F25" s="21">
        <f>_xlfn.NUMBERVALUE(SUBSTITUTE(_xlfn.TEXTAFTER(mets[[#This Row],[pasted JSON metabolite keys and values from GSM biomass rxn]],":"),",",""))</f>
        <v>-7.0949999999999997E-3</v>
      </c>
      <c r="G25" s="21" cm="1">
        <f t="array" ref="G25">_xlfn.LET(_xlpm.id,mets[[#This Row],[name w/o location]],IF(IsElementOfSet_DIY(_xlpm.id,{"atp","adp","h","pi","h2o"}),SIGN(mets[[#This Row],[raw (GSM) coefficient]])*(ABS(mets[[#This Row],[raw (GSM) coefficient]])-$J$2),mets[[#This Row],[raw (GSM) coefficient]]))</f>
        <v>-7.0949999999999997E-3</v>
      </c>
      <c r="H25" s="21">
        <f>mets[[#This Row],[coeff. w/o GAM]]</f>
        <v>-7.0949999999999997E-3</v>
      </c>
      <c r="I25" s="161">
        <f t="shared" si="0"/>
        <v>-7.0817884120064883E-3</v>
      </c>
      <c r="J25" s="21" cm="1">
        <f t="array" ref="J25">_xlfn.LET(_xlpm.id,mets[[#This Row],[name w/o location]],_xlpm.oldcoeff,mets[[#This Row],[normalized coeffs]],_xlpm.gam,$J$2-$G$2,_xlfn.IFS(IFERROR(MATCH(_xlpm.id,{"atp","h2o"},0),0)&gt;0,_xlpm.oldcoeff-_xlpm.gam,IFERROR(MATCH(_xlpm.id,{"adp","h","pi"},0),0)&gt;0,_xlpm.oldcoeff+_xlpm.gam,TRUE,_xlpm.oldcoeff))</f>
        <v>-7.0817884120064883E-3</v>
      </c>
      <c r="K25" t="str" cm="1">
        <f t="array" ref="K25">"BIOSYN-"&amp;_xlfn.IFS(IFERROR(MATCH(mets[[#This Row],[category]],{0,"0",""},0),0)&gt;0,mets[[#This Row],[name]],TRUE,mets[[#This Row],[category]]&amp;"-"&amp;mets[[#This Row],[name]])</f>
        <v>BIOSYN-DNA-datp_c</v>
      </c>
      <c r="L25" s="149" t="str" cm="1">
        <f t="array" ref="L25">IF(IsElementOfSet_DIY(mets[[#This Row],[category]],{"ignore","PROT"}),"",_xlfn.LET(_xlpm.mw,mets[[#This Row],[MW for biomass normalization (g/mol)]],"MET-"&amp;mets[[#This Row],[name]]&amp;" --&gt; "&amp;IF((mets[[#This Row],[category]]="DNA")+(mets[[#This Row],[category]]="RNA"),"MET-ppi_c + ","")&amp;ROUND(ABS(_xlpm.mw/1000),6)&amp;" BIO-"&amp;mets[[#This Row],[name]]))</f>
        <v>MET-datp_c --&gt; MET-ppi_c + 0.312199 BIO-datp_c</v>
      </c>
      <c r="M25" s="149" cm="1">
        <f t="array" ref="M2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-4.8736216898705859E-3</v>
      </c>
      <c r="N25" s="149"/>
      <c r="O25" s="149"/>
      <c r="P25" s="149"/>
      <c r="Q25" s="149"/>
      <c r="R25" s="149"/>
      <c r="S25" s="149"/>
      <c r="T25" s="149"/>
      <c r="U25" s="149"/>
      <c r="V25" s="149"/>
      <c r="AB25" t="str">
        <v>BIOSYN-CARB-16BDglucan_en</v>
      </c>
      <c r="AC25" t="str">
        <v>MET-16BDglucan_en --&gt; 0.162141 BIO-16BDglucan_en</v>
      </c>
    </row>
    <row r="26" spans="1:29" ht="16" x14ac:dyDescent="0.2">
      <c r="A26" s="144" t="s">
        <v>969</v>
      </c>
      <c r="B26" t="str">
        <f>SUBSTITUTE(_xlfn.TEXTBEFORE(mets[[#This Row],[pasted JSON metabolite keys and values from GSM biomass rxn]],":"),CHAR(34),"")</f>
        <v>dctp_c</v>
      </c>
      <c r="C26" t="str">
        <f>_xlfn.TEXTBEFORE(mets[[#This Row],[name]],"_",-1)</f>
        <v>dctp</v>
      </c>
      <c r="D26" t="str">
        <f>_xlfn.XLOOKUP(mets[[#This Row],[name w/o location]],metaboliteInfo[name w/o location],metaboliteInfo[suggested category],"")</f>
        <v>DNA</v>
      </c>
      <c r="E26" s="21">
        <f>_xlfn.XLOOKUP(mets[[#This Row],[name w/o location]],metaboliteInfo[name w/o location],metaboliteInfo[MW for biomass normalization (g/mol)],0)</f>
        <v>288.173901</v>
      </c>
      <c r="F26" s="21">
        <f>_xlfn.NUMBERVALUE(SUBSTITUTE(_xlfn.TEXTAFTER(mets[[#This Row],[pasted JSON metabolite keys and values from GSM biomass rxn]],":"),",",""))</f>
        <v>-1.1074000000000001E-2</v>
      </c>
      <c r="G26" s="21" cm="1">
        <f t="array" ref="G26">_xlfn.LET(_xlpm.id,mets[[#This Row],[name w/o location]],IF(IsElementOfSet_DIY(_xlpm.id,{"atp","adp","h","pi","h2o"}),SIGN(mets[[#This Row],[raw (GSM) coefficient]])*(ABS(mets[[#This Row],[raw (GSM) coefficient]])-$J$2),mets[[#This Row],[raw (GSM) coefficient]]))</f>
        <v>-1.1074000000000001E-2</v>
      </c>
      <c r="H26" s="21">
        <f>mets[[#This Row],[coeff. w/o GAM]]</f>
        <v>-1.1074000000000001E-2</v>
      </c>
      <c r="I26" s="161">
        <f t="shared" si="0"/>
        <v>-1.1053379122559529E-2</v>
      </c>
      <c r="J26" s="21" cm="1">
        <f t="array" ref="J26">_xlfn.LET(_xlpm.id,mets[[#This Row],[name w/o location]],_xlpm.oldcoeff,mets[[#This Row],[normalized coeffs]],_xlpm.gam,$J$2-$G$2,_xlfn.IFS(IFERROR(MATCH(_xlpm.id,{"atp","h2o"},0),0)&gt;0,_xlpm.oldcoeff-_xlpm.gam,IFERROR(MATCH(_xlpm.id,{"adp","h","pi"},0),0)&gt;0,_xlpm.oldcoeff+_xlpm.gam,TRUE,_xlpm.oldcoeff))</f>
        <v>-1.1053379122559529E-2</v>
      </c>
      <c r="K26" t="str" cm="1">
        <f t="array" ref="K26">"BIOSYN-"&amp;_xlfn.IFS(IFERROR(MATCH(mets[[#This Row],[category]],{0,"0",""},0),0)&gt;0,mets[[#This Row],[name]],TRUE,mets[[#This Row],[category]]&amp;"-"&amp;mets[[#This Row],[name]])</f>
        <v>BIOSYN-DNA-dctp_c</v>
      </c>
      <c r="L26" s="149" t="str" cm="1">
        <f t="array" ref="L26">IF(IsElementOfSet_DIY(mets[[#This Row],[category]],{"ignore","PROT"}),"",_xlfn.LET(_xlpm.mw,mets[[#This Row],[MW for biomass normalization (g/mol)]],"MET-"&amp;mets[[#This Row],[name]]&amp;" --&gt; "&amp;IF((mets[[#This Row],[category]]="DNA")+(mets[[#This Row],[category]]="RNA"),"MET-ppi_c + ","")&amp;ROUND(ABS(_xlpm.mw/1000),6)&amp;" BIO-"&amp;mets[[#This Row],[name]]))</f>
        <v>MET-dctp_c --&gt; MET-ppi_c + 0.288174 BIO-dctp_c</v>
      </c>
      <c r="M26" s="149" cm="1">
        <f t="array" ref="M2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-7.6068339103068172E-3</v>
      </c>
      <c r="N26" s="149"/>
      <c r="O26" s="149"/>
      <c r="P26" s="149"/>
      <c r="Q26" s="149"/>
      <c r="R26" s="149"/>
      <c r="S26" s="149"/>
      <c r="T26" s="149"/>
      <c r="U26" s="149"/>
      <c r="V26" s="149"/>
      <c r="AB26" t="str">
        <v>BIOSYN-CARB-chtn_c</v>
      </c>
      <c r="AC26" t="str">
        <v>MET-chtn_c --&gt; 0.203193 BIO-chtn_c</v>
      </c>
    </row>
    <row r="27" spans="1:29" ht="16" x14ac:dyDescent="0.2">
      <c r="A27" s="144" t="s">
        <v>970</v>
      </c>
      <c r="B27" t="str">
        <f>SUBSTITUTE(_xlfn.TEXTBEFORE(mets[[#This Row],[pasted JSON metabolite keys and values from GSM biomass rxn]],":"),CHAR(34),"")</f>
        <v>dgtp_c</v>
      </c>
      <c r="C27" t="str">
        <f>_xlfn.TEXTBEFORE(mets[[#This Row],[name]],"_",-1)</f>
        <v>dgtp</v>
      </c>
      <c r="D27" t="str">
        <f>_xlfn.XLOOKUP(mets[[#This Row],[name w/o location]],metaboliteInfo[name w/o location],metaboliteInfo[suggested category],"")</f>
        <v>DNA</v>
      </c>
      <c r="E27" s="21">
        <f>_xlfn.XLOOKUP(mets[[#This Row],[name w/o location]],metaboliteInfo[name w/o location],metaboliteInfo[MW for biomass normalization (g/mol)],0)</f>
        <v>328.19800099999998</v>
      </c>
      <c r="F27" s="21">
        <f>_xlfn.NUMBERVALUE(SUBSTITUTE(_xlfn.TEXTAFTER(mets[[#This Row],[pasted JSON metabolite keys and values from GSM biomass rxn]],":"),",",""))</f>
        <v>-1.1074000000000001E-2</v>
      </c>
      <c r="G27" s="21" cm="1">
        <f t="array" ref="G27">_xlfn.LET(_xlpm.id,mets[[#This Row],[name w/o location]],IF(IsElementOfSet_DIY(_xlpm.id,{"atp","adp","h","pi","h2o"}),SIGN(mets[[#This Row],[raw (GSM) coefficient]])*(ABS(mets[[#This Row],[raw (GSM) coefficient]])-$J$2),mets[[#This Row],[raw (GSM) coefficient]]))</f>
        <v>-1.1074000000000001E-2</v>
      </c>
      <c r="H27" s="21">
        <f>mets[[#This Row],[coeff. w/o GAM]]</f>
        <v>-1.1074000000000001E-2</v>
      </c>
      <c r="I27" s="161">
        <f t="shared" si="0"/>
        <v>-1.1053379122559529E-2</v>
      </c>
      <c r="J27" s="21" cm="1">
        <f t="array" ref="J27">_xlfn.LET(_xlpm.id,mets[[#This Row],[name w/o location]],_xlpm.oldcoeff,mets[[#This Row],[normalized coeffs]],_xlpm.gam,$J$2-$G$2,_xlfn.IFS(IFERROR(MATCH(_xlpm.id,{"atp","h2o"},0),0)&gt;0,_xlpm.oldcoeff-_xlpm.gam,IFERROR(MATCH(_xlpm.id,{"adp","h","pi"},0),0)&gt;0,_xlpm.oldcoeff+_xlpm.gam,TRUE,_xlpm.oldcoeff))</f>
        <v>-1.1053379122559529E-2</v>
      </c>
      <c r="K27" t="str" cm="1">
        <f t="array" ref="K27">"BIOSYN-"&amp;_xlfn.IFS(IFERROR(MATCH(mets[[#This Row],[category]],{0,"0",""},0),0)&gt;0,mets[[#This Row],[name]],TRUE,mets[[#This Row],[category]]&amp;"-"&amp;mets[[#This Row],[name]])</f>
        <v>BIOSYN-DNA-dgtp_c</v>
      </c>
      <c r="L27" s="149" t="str" cm="1">
        <f t="array" ref="L27">IF(IsElementOfSet_DIY(mets[[#This Row],[category]],{"ignore","PROT"}),"",_xlfn.LET(_xlpm.mw,mets[[#This Row],[MW for biomass normalization (g/mol)]],"MET-"&amp;mets[[#This Row],[name]]&amp;" --&gt; "&amp;IF((mets[[#This Row],[category]]="DNA")+(mets[[#This Row],[category]]="RNA"),"MET-ppi_c + ","")&amp;ROUND(ABS(_xlpm.mw/1000),6)&amp;" BIO-"&amp;mets[[#This Row],[name]]))</f>
        <v>MET-dgtp_c --&gt; MET-ppi_c + 0.328198 BIO-dgtp_c</v>
      </c>
      <c r="M27" s="149" cm="1">
        <f t="array" ref="M2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-7.6068339103068172E-3</v>
      </c>
      <c r="N27" s="149"/>
      <c r="O27" s="149"/>
      <c r="P27" s="149"/>
      <c r="Q27" s="149"/>
      <c r="R27" s="149"/>
      <c r="S27" s="149"/>
      <c r="T27" s="149"/>
      <c r="U27" s="149"/>
      <c r="V27" s="149"/>
      <c r="AB27" t="str">
        <v>BIOSYN-CARB-G00006_c</v>
      </c>
      <c r="AC27" t="str">
        <v>MET-G00006_c --&gt; 2.619137 BIO-G00006_c</v>
      </c>
    </row>
    <row r="28" spans="1:29" ht="16" x14ac:dyDescent="0.2">
      <c r="A28" s="144" t="s">
        <v>972</v>
      </c>
      <c r="B28" t="str">
        <f>SUBSTITUTE(_xlfn.TEXTBEFORE(mets[[#This Row],[pasted JSON metabolite keys and values from GSM biomass rxn]],":"),CHAR(34),"")</f>
        <v>dttp_c</v>
      </c>
      <c r="C28" t="str">
        <f>_xlfn.TEXTBEFORE(mets[[#This Row],[name]],"_",-1)</f>
        <v>dttp</v>
      </c>
      <c r="D28" t="str">
        <f>_xlfn.XLOOKUP(mets[[#This Row],[name w/o location]],metaboliteInfo[name w/o location],metaboliteInfo[suggested category],"")</f>
        <v>DNA</v>
      </c>
      <c r="E28" s="21">
        <f>_xlfn.XLOOKUP(mets[[#This Row],[name w/o location]],metaboliteInfo[name w/o location],metaboliteInfo[MW for biomass normalization (g/mol)],0)</f>
        <v>303.18524100000002</v>
      </c>
      <c r="F28" s="21">
        <f>_xlfn.NUMBERVALUE(SUBSTITUTE(_xlfn.TEXTAFTER(mets[[#This Row],[pasted JSON metabolite keys and values from GSM biomass rxn]],":"),",",""))</f>
        <v>-7.0949999999999997E-3</v>
      </c>
      <c r="G28" s="21" cm="1">
        <f t="array" ref="G28">_xlfn.LET(_xlpm.id,mets[[#This Row],[name w/o location]],IF(IsElementOfSet_DIY(_xlpm.id,{"atp","adp","h","pi","h2o"}),SIGN(mets[[#This Row],[raw (GSM) coefficient]])*(ABS(mets[[#This Row],[raw (GSM) coefficient]])-$J$2),mets[[#This Row],[raw (GSM) coefficient]]))</f>
        <v>-7.0949999999999997E-3</v>
      </c>
      <c r="H28" s="21">
        <f>mets[[#This Row],[coeff. w/o GAM]]</f>
        <v>-7.0949999999999997E-3</v>
      </c>
      <c r="I28" s="161">
        <f t="shared" si="0"/>
        <v>-7.0817884120064883E-3</v>
      </c>
      <c r="J28" s="21" cm="1">
        <f t="array" ref="J28">_xlfn.LET(_xlpm.id,mets[[#This Row],[name w/o location]],_xlpm.oldcoeff,mets[[#This Row],[normalized coeffs]],_xlpm.gam,$J$2-$G$2,_xlfn.IFS(IFERROR(MATCH(_xlpm.id,{"atp","h2o"},0),0)&gt;0,_xlpm.oldcoeff-_xlpm.gam,IFERROR(MATCH(_xlpm.id,{"adp","h","pi"},0),0)&gt;0,_xlpm.oldcoeff+_xlpm.gam,TRUE,_xlpm.oldcoeff))</f>
        <v>-7.0817884120064883E-3</v>
      </c>
      <c r="K28" t="str" cm="1">
        <f t="array" ref="K28">"BIOSYN-"&amp;_xlfn.IFS(IFERROR(MATCH(mets[[#This Row],[category]],{0,"0",""},0),0)&gt;0,mets[[#This Row],[name]],TRUE,mets[[#This Row],[category]]&amp;"-"&amp;mets[[#This Row],[name]])</f>
        <v>BIOSYN-DNA-dttp_c</v>
      </c>
      <c r="L28" s="149" t="str" cm="1">
        <f t="array" ref="L28">IF(IsElementOfSet_DIY(mets[[#This Row],[category]],{"ignore","PROT"}),"",_xlfn.LET(_xlpm.mw,mets[[#This Row],[MW for biomass normalization (g/mol)]],"MET-"&amp;mets[[#This Row],[name]]&amp;" --&gt; "&amp;IF((mets[[#This Row],[category]]="DNA")+(mets[[#This Row],[category]]="RNA"),"MET-ppi_c + ","")&amp;ROUND(ABS(_xlpm.mw/1000),6)&amp;" BIO-"&amp;mets[[#This Row],[name]]))</f>
        <v>MET-dttp_c --&gt; MET-ppi_c + 0.303185 BIO-dttp_c</v>
      </c>
      <c r="M28" s="149" cm="1">
        <f t="array" ref="M2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-4.8736216898705859E-3</v>
      </c>
      <c r="N28" s="149"/>
      <c r="O28" s="149"/>
      <c r="P28" s="149"/>
      <c r="Q28" s="149"/>
      <c r="R28" s="149"/>
      <c r="S28" s="149"/>
      <c r="T28" s="149"/>
      <c r="U28" s="149"/>
      <c r="V28" s="149"/>
      <c r="AB28" t="str">
        <v>BIOSYN-CARB-gpianchorSC_r</v>
      </c>
      <c r="AC28" t="str">
        <v>MET-gpianchorSC_r --&gt; 2.280413 BIO-gpianchorSC_r</v>
      </c>
    </row>
    <row r="29" spans="1:29" ht="16" x14ac:dyDescent="0.2">
      <c r="A29" s="144" t="s">
        <v>759</v>
      </c>
      <c r="B29" t="str">
        <f>SUBSTITUTE(_xlfn.TEXTBEFORE(mets[[#This Row],[pasted JSON metabolite keys and values from GSM biomass rxn]],":"),CHAR(34),"")</f>
        <v>adp_c</v>
      </c>
      <c r="C29" t="str">
        <f>_xlfn.TEXTBEFORE(mets[[#This Row],[name]],"_",-1)</f>
        <v>adp</v>
      </c>
      <c r="D29" t="str">
        <f>_xlfn.XLOOKUP(mets[[#This Row],[name w/o location]],metaboliteInfo[name w/o location],metaboliteInfo[suggested category],"")</f>
        <v>GAM</v>
      </c>
      <c r="E29" s="21">
        <f>_xlfn.XLOOKUP(mets[[#This Row],[name w/o location]],metaboliteInfo[name w/o location],metaboliteInfo[MW for biomass normalization (g/mol)],0)</f>
        <v>424.177302</v>
      </c>
      <c r="F29" s="21">
        <f>_xlfn.NUMBERVALUE(SUBSTITUTE(_xlfn.TEXTAFTER(mets[[#This Row],[pasted JSON metabolite keys and values from GSM biomass rxn]],":"),",",""))</f>
        <v>187.14109500000001</v>
      </c>
      <c r="G29" s="21" cm="1">
        <f t="array" ref="G29">_xlfn.LET(_xlpm.id,mets[[#This Row],[name w/o location]],IF(IsElementOfSet_DIY(_xlpm.id,{"atp","adp","h","pi","h2o"}),SIGN(mets[[#This Row],[raw (GSM) coefficient]])*(ABS(mets[[#This Row],[raw (GSM) coefficient]])-$J$2),mets[[#This Row],[raw (GSM) coefficient]]))</f>
        <v>0</v>
      </c>
      <c r="H29" s="21">
        <f>mets[[#This Row],[coeff. w/o GAM]]</f>
        <v>0</v>
      </c>
      <c r="I29" s="161">
        <f t="shared" si="0"/>
        <v>0</v>
      </c>
      <c r="J29" s="21" cm="1">
        <f t="array" ref="J29">_xlfn.LET(_xlpm.id,mets[[#This Row],[name w/o location]],_xlpm.oldcoeff,mets[[#This Row],[normalized coeffs]],_xlpm.gam,$J$2-$G$2,_xlfn.IFS(IFERROR(MATCH(_xlpm.id,{"atp","h2o"},0),0)&gt;0,_xlpm.oldcoeff-_xlpm.gam,IFERROR(MATCH(_xlpm.id,{"adp","h","pi"},0),0)&gt;0,_xlpm.oldcoeff+_xlpm.gam,TRUE,_xlpm.oldcoeff))</f>
        <v>180.45109500000001</v>
      </c>
      <c r="K29" t="str" cm="1">
        <f t="array" ref="K29">"BIOSYN-"&amp;_xlfn.IFS(IFERROR(MATCH(mets[[#This Row],[category]],{0,"0",""},0),0)&gt;0,mets[[#This Row],[name]],TRUE,mets[[#This Row],[category]]&amp;"-"&amp;mets[[#This Row],[name]])</f>
        <v>BIOSYN-GAM-adp_c</v>
      </c>
      <c r="L29" s="149" t="str" cm="1">
        <f t="array" ref="L29">IF(IsElementOfSet_DIY(mets[[#This Row],[category]],{"ignore","PROT"}),"",_xlfn.LET(_xlpm.mw,mets[[#This Row],[MW for biomass normalization (g/mol)]],"MET-"&amp;mets[[#This Row],[name]]&amp;" --&gt; "&amp;IF((mets[[#This Row],[category]]="DNA")+(mets[[#This Row],[category]]="RNA"),"MET-ppi_c + ","")&amp;ROUND(ABS(_xlpm.mw/1000),6)&amp;" BIO-"&amp;mets[[#This Row],[name]]))</f>
        <v>MET-adp_c --&gt; 0.424177 BIO-adp_c</v>
      </c>
      <c r="M29" s="149" cm="1">
        <f t="array" ref="M2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187.14109500000001</v>
      </c>
      <c r="N29" s="149"/>
      <c r="O29" s="149"/>
      <c r="P29" s="149"/>
      <c r="Q29" s="149"/>
      <c r="R29" s="149"/>
      <c r="S29" s="149"/>
      <c r="T29" s="149"/>
      <c r="U29" s="149"/>
      <c r="V29" s="149"/>
      <c r="AB29" t="str">
        <v>BIOSYN-CARB-oglycanSC_g</v>
      </c>
      <c r="AC29" t="str">
        <v>MET-oglycanSC_g --&gt; 0.810703 BIO-oglycanSC_g</v>
      </c>
    </row>
    <row r="30" spans="1:29" ht="16" x14ac:dyDescent="0.2">
      <c r="A30" s="144" t="s">
        <v>761</v>
      </c>
      <c r="B30" t="str">
        <f>SUBSTITUTE(_xlfn.TEXTBEFORE(mets[[#This Row],[pasted JSON metabolite keys and values from GSM biomass rxn]],":"),CHAR(34),"")</f>
        <v>h2o_c</v>
      </c>
      <c r="C30" t="str">
        <f>_xlfn.TEXTBEFORE(mets[[#This Row],[name]],"_",-1)</f>
        <v>h2o</v>
      </c>
      <c r="D30" t="str">
        <f>_xlfn.XLOOKUP(mets[[#This Row],[name w/o location]],metaboliteInfo[name w/o location],metaboliteInfo[suggested category],"")</f>
        <v>GAM</v>
      </c>
      <c r="E30" s="21">
        <f>_xlfn.XLOOKUP(mets[[#This Row],[name w/o location]],metaboliteInfo[name w/o location],metaboliteInfo[MW for biomass normalization (g/mol)],0)</f>
        <v>18.015280000000001</v>
      </c>
      <c r="F30" s="21">
        <f>_xlfn.NUMBERVALUE(SUBSTITUTE(_xlfn.TEXTAFTER(mets[[#This Row],[pasted JSON metabolite keys and values from GSM biomass rxn]],":"),",",""))</f>
        <v>-187.14109500000001</v>
      </c>
      <c r="G30" s="21" cm="1">
        <f t="array" ref="G30">_xlfn.LET(_xlpm.id,mets[[#This Row],[name w/o location]],IF(IsElementOfSet_DIY(_xlpm.id,{"atp","adp","h","pi","h2o"}),SIGN(mets[[#This Row],[raw (GSM) coefficient]])*(ABS(mets[[#This Row],[raw (GSM) coefficient]])-$J$2),mets[[#This Row],[raw (GSM) coefficient]]))</f>
        <v>0</v>
      </c>
      <c r="H30" s="21">
        <f>mets[[#This Row],[coeff. w/o GAM]]</f>
        <v>0</v>
      </c>
      <c r="I30" s="161">
        <f t="shared" si="0"/>
        <v>0</v>
      </c>
      <c r="J30" s="21" cm="1">
        <f t="array" ref="J30">_xlfn.LET(_xlpm.id,mets[[#This Row],[name w/o location]],_xlpm.oldcoeff,mets[[#This Row],[normalized coeffs]],_xlpm.gam,$J$2-$G$2,_xlfn.IFS(IFERROR(MATCH(_xlpm.id,{"atp","h2o"},0),0)&gt;0,_xlpm.oldcoeff-_xlpm.gam,IFERROR(MATCH(_xlpm.id,{"adp","h","pi"},0),0)&gt;0,_xlpm.oldcoeff+_xlpm.gam,TRUE,_xlpm.oldcoeff))</f>
        <v>-180.45109500000001</v>
      </c>
      <c r="K30" t="str" cm="1">
        <f t="array" ref="K30">"BIOSYN-"&amp;_xlfn.IFS(IFERROR(MATCH(mets[[#This Row],[category]],{0,"0",""},0),0)&gt;0,mets[[#This Row],[name]],TRUE,mets[[#This Row],[category]]&amp;"-"&amp;mets[[#This Row],[name]])</f>
        <v>BIOSYN-GAM-h2o_c</v>
      </c>
      <c r="L30" s="149" t="str" cm="1">
        <f t="array" ref="L30">IF(IsElementOfSet_DIY(mets[[#This Row],[category]],{"ignore","PROT"}),"",_xlfn.LET(_xlpm.mw,mets[[#This Row],[MW for biomass normalization (g/mol)]],"MET-"&amp;mets[[#This Row],[name]]&amp;" --&gt; "&amp;IF((mets[[#This Row],[category]]="DNA")+(mets[[#This Row],[category]]="RNA"),"MET-ppi_c + ","")&amp;ROUND(ABS(_xlpm.mw/1000),6)&amp;" BIO-"&amp;mets[[#This Row],[name]]))</f>
        <v>MET-h2o_c --&gt; 0.018015 BIO-h2o_c</v>
      </c>
      <c r="M30" s="149" cm="1">
        <f t="array" ref="M3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-187.14109500000001</v>
      </c>
      <c r="N30" s="149"/>
      <c r="O30" s="149"/>
      <c r="P30" s="149"/>
      <c r="Q30" s="149"/>
      <c r="R30" s="149"/>
      <c r="S30" s="149"/>
      <c r="T30" s="149"/>
      <c r="U30" s="149"/>
      <c r="V30" s="149"/>
      <c r="AB30" t="str">
        <v>BIOSYN-COFACTOR-amet_c</v>
      </c>
      <c r="AC30" t="str">
        <v>MET-amet_c --&gt; 0.399445 BIO-amet_c</v>
      </c>
    </row>
    <row r="31" spans="1:29" ht="16" x14ac:dyDescent="0.2">
      <c r="A31" s="144" t="s">
        <v>760</v>
      </c>
      <c r="B31" t="str">
        <f>SUBSTITUTE(_xlfn.TEXTBEFORE(mets[[#This Row],[pasted JSON metabolite keys and values from GSM biomass rxn]],":"),CHAR(34),"")</f>
        <v>h_c</v>
      </c>
      <c r="C31" t="str">
        <f>_xlfn.TEXTBEFORE(mets[[#This Row],[name]],"_",-1)</f>
        <v>h</v>
      </c>
      <c r="D31" t="str">
        <f>_xlfn.XLOOKUP(mets[[#This Row],[name w/o location]],metaboliteInfo[name w/o location],metaboliteInfo[suggested category],"")</f>
        <v>GAM</v>
      </c>
      <c r="E31" s="21">
        <f>_xlfn.XLOOKUP(mets[[#This Row],[name w/o location]],metaboliteInfo[name w/o location],metaboliteInfo[MW for biomass normalization (g/mol)],0)</f>
        <v>1.0079400000000001</v>
      </c>
      <c r="F31" s="21">
        <f>_xlfn.NUMBERVALUE(SUBSTITUTE(_xlfn.TEXTAFTER(mets[[#This Row],[pasted JSON metabolite keys and values from GSM biomass rxn]],":"),",",""))</f>
        <v>187.14109500000001</v>
      </c>
      <c r="G31" s="21" cm="1">
        <f t="array" ref="G31">_xlfn.LET(_xlpm.id,mets[[#This Row],[name w/o location]],IF(IsElementOfSet_DIY(_xlpm.id,{"atp","adp","h","pi","h2o"}),SIGN(mets[[#This Row],[raw (GSM) coefficient]])*(ABS(mets[[#This Row],[raw (GSM) coefficient]])-$J$2),mets[[#This Row],[raw (GSM) coefficient]]))</f>
        <v>0</v>
      </c>
      <c r="H31" s="21">
        <f>mets[[#This Row],[coeff. w/o GAM]]</f>
        <v>0</v>
      </c>
      <c r="I31" s="161">
        <f t="shared" si="0"/>
        <v>0</v>
      </c>
      <c r="J31" s="21" cm="1">
        <f t="array" ref="J31">_xlfn.LET(_xlpm.id,mets[[#This Row],[name w/o location]],_xlpm.oldcoeff,mets[[#This Row],[normalized coeffs]],_xlpm.gam,$J$2-$G$2,_xlfn.IFS(IFERROR(MATCH(_xlpm.id,{"atp","h2o"},0),0)&gt;0,_xlpm.oldcoeff-_xlpm.gam,IFERROR(MATCH(_xlpm.id,{"adp","h","pi"},0),0)&gt;0,_xlpm.oldcoeff+_xlpm.gam,TRUE,_xlpm.oldcoeff))</f>
        <v>180.45109500000001</v>
      </c>
      <c r="K31" t="str" cm="1">
        <f t="array" ref="K31">"BIOSYN-"&amp;_xlfn.IFS(IFERROR(MATCH(mets[[#This Row],[category]],{0,"0",""},0),0)&gt;0,mets[[#This Row],[name]],TRUE,mets[[#This Row],[category]]&amp;"-"&amp;mets[[#This Row],[name]])</f>
        <v>BIOSYN-GAM-h_c</v>
      </c>
      <c r="L31" s="149" t="str" cm="1">
        <f t="array" ref="L31">IF(IsElementOfSet_DIY(mets[[#This Row],[category]],{"ignore","PROT"}),"",_xlfn.LET(_xlpm.mw,mets[[#This Row],[MW for biomass normalization (g/mol)]],"MET-"&amp;mets[[#This Row],[name]]&amp;" --&gt; "&amp;IF((mets[[#This Row],[category]]="DNA")+(mets[[#This Row],[category]]="RNA"),"MET-ppi_c + ","")&amp;ROUND(ABS(_xlpm.mw/1000),6)&amp;" BIO-"&amp;mets[[#This Row],[name]]))</f>
        <v>MET-h_c --&gt; 0.001008 BIO-h_c</v>
      </c>
      <c r="M31" s="149" cm="1">
        <f t="array" ref="M3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187.14109500000001</v>
      </c>
      <c r="N31" s="149"/>
      <c r="O31" s="149"/>
      <c r="P31" s="149"/>
      <c r="Q31" s="149"/>
      <c r="R31" s="149"/>
      <c r="S31" s="149"/>
      <c r="T31" s="149"/>
      <c r="U31" s="149"/>
      <c r="V31" s="149"/>
      <c r="AB31" t="str">
        <v>BIOSYN-COFACTOR-btn_c</v>
      </c>
      <c r="AC31" t="str">
        <v>MET-btn_c --&gt; 0.243303 BIO-btn_c</v>
      </c>
    </row>
    <row r="32" spans="1:29" ht="16" x14ac:dyDescent="0.2">
      <c r="A32" s="144" t="s">
        <v>1013</v>
      </c>
      <c r="B32" t="str">
        <f>SUBSTITUTE(_xlfn.TEXTBEFORE(mets[[#This Row],[pasted JSON metabolite keys and values from GSM biomass rxn]],":"),CHAR(34),"")</f>
        <v>trnaala_c</v>
      </c>
      <c r="C32" t="str">
        <f>_xlfn.TEXTBEFORE(mets[[#This Row],[name]],"_",-1)</f>
        <v>trnaala</v>
      </c>
      <c r="D32" t="str">
        <f>_xlfn.XLOOKUP(mets[[#This Row],[name w/o location]],metaboliteInfo[name w/o location],metaboliteInfo[suggested category],"")</f>
        <v>ignore</v>
      </c>
      <c r="E32" s="21">
        <f>_xlfn.XLOOKUP(mets[[#This Row],[name w/o location]],metaboliteInfo[name w/o location],metaboliteInfo[MW for biomass normalization (g/mol)],0)</f>
        <v>0</v>
      </c>
      <c r="F32" s="21">
        <f>_xlfn.NUMBERVALUE(SUBSTITUTE(_xlfn.TEXTAFTER(mets[[#This Row],[pasted JSON metabolite keys and values from GSM biomass rxn]],":"),",",""))</f>
        <v>0.38625399999999999</v>
      </c>
      <c r="G32" s="21" cm="1">
        <f t="array" ref="G32">_xlfn.LET(_xlpm.id,mets[[#This Row],[name w/o location]],IF(IsElementOfSet_DIY(_xlpm.id,{"atp","adp","h","pi","h2o"}),SIGN(mets[[#This Row],[raw (GSM) coefficient]])*(ABS(mets[[#This Row],[raw (GSM) coefficient]])-$J$2),mets[[#This Row],[raw (GSM) coefficient]]))</f>
        <v>0.38625399999999999</v>
      </c>
      <c r="H32" s="21">
        <f>mets[[#This Row],[coeff. w/o GAM]]</f>
        <v>0.38625399999999999</v>
      </c>
      <c r="I32" s="161">
        <f t="shared" si="0"/>
        <v>0.38553475705301682</v>
      </c>
      <c r="J32" s="21" cm="1">
        <f t="array" ref="J32">_xlfn.LET(_xlpm.id,mets[[#This Row],[name w/o location]],_xlpm.oldcoeff,mets[[#This Row],[normalized coeffs]],_xlpm.gam,$J$2-$G$2,_xlfn.IFS(IFERROR(MATCH(_xlpm.id,{"atp","h2o"},0),0)&gt;0,_xlpm.oldcoeff-_xlpm.gam,IFERROR(MATCH(_xlpm.id,{"adp","h","pi"},0),0)&gt;0,_xlpm.oldcoeff+_xlpm.gam,TRUE,_xlpm.oldcoeff))</f>
        <v>0.38553475705301682</v>
      </c>
      <c r="K32" t="str" cm="1">
        <f t="array" ref="K32">"BIOSYN-"&amp;_xlfn.IFS(IFERROR(MATCH(mets[[#This Row],[category]],{0,"0",""},0),0)&gt;0,mets[[#This Row],[name]],TRUE,mets[[#This Row],[category]]&amp;"-"&amp;mets[[#This Row],[name]])</f>
        <v>BIOSYN-ignore-trnaala_c</v>
      </c>
      <c r="L32" s="149" t="str" cm="1">
        <f t="array" ref="L32">IF(IsElementOfSet_DIY(mets[[#This Row],[category]],{"ignore","PROT"}),"",_xlfn.LET(_xlpm.mw,mets[[#This Row],[MW for biomass normalization (g/mol)]],"MET-"&amp;mets[[#This Row],[name]]&amp;" --&gt; "&amp;IF((mets[[#This Row],[category]]="DNA")+(mets[[#This Row],[category]]="RNA"),"MET-ppi_c + ","")&amp;ROUND(ABS(_xlpm.mw/1000),6)&amp;" BIO-"&amp;mets[[#This Row],[name]]))</f>
        <v/>
      </c>
      <c r="M32" s="149" cm="1">
        <f t="array" ref="M3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0.31624250272781101</v>
      </c>
      <c r="N32" s="149"/>
      <c r="O32" s="149"/>
      <c r="P32" s="149"/>
      <c r="Q32" s="149"/>
      <c r="R32" s="149"/>
      <c r="S32" s="149"/>
      <c r="T32" s="149"/>
      <c r="U32" s="149"/>
      <c r="V32" s="149"/>
      <c r="AB32" t="str">
        <v>BIOSYN-COFACTOR-coa_c</v>
      </c>
      <c r="AC32" t="str">
        <v>MET-coa_c --&gt; 0.763502 BIO-coa_c</v>
      </c>
    </row>
    <row r="33" spans="1:29" ht="16" x14ac:dyDescent="0.2">
      <c r="A33" s="144" t="s">
        <v>1014</v>
      </c>
      <c r="B33" t="str">
        <f>SUBSTITUTE(_xlfn.TEXTBEFORE(mets[[#This Row],[pasted JSON metabolite keys and values from GSM biomass rxn]],":"),CHAR(34),"")</f>
        <v>trnaarg_c</v>
      </c>
      <c r="C33" t="str">
        <f>_xlfn.TEXTBEFORE(mets[[#This Row],[name]],"_",-1)</f>
        <v>trnaarg</v>
      </c>
      <c r="D33" t="str">
        <f>_xlfn.XLOOKUP(mets[[#This Row],[name w/o location]],metaboliteInfo[name w/o location],metaboliteInfo[suggested category],"")</f>
        <v>ignore</v>
      </c>
      <c r="E33" s="21">
        <f>_xlfn.XLOOKUP(mets[[#This Row],[name w/o location]],metaboliteInfo[name w/o location],metaboliteInfo[MW for biomass normalization (g/mol)],0)</f>
        <v>0</v>
      </c>
      <c r="F33" s="21">
        <f>_xlfn.NUMBERVALUE(SUBSTITUTE(_xlfn.TEXTAFTER(mets[[#This Row],[pasted JSON metabolite keys and values from GSM biomass rxn]],":"),",",""))</f>
        <v>0.15260399999999999</v>
      </c>
      <c r="G33" s="21" cm="1">
        <f t="array" ref="G33">_xlfn.LET(_xlpm.id,mets[[#This Row],[name w/o location]],IF(IsElementOfSet_DIY(_xlpm.id,{"atp","adp","h","pi","h2o"}),SIGN(mets[[#This Row],[raw (GSM) coefficient]])*(ABS(mets[[#This Row],[raw (GSM) coefficient]])-$J$2),mets[[#This Row],[raw (GSM) coefficient]]))</f>
        <v>0.15260399999999999</v>
      </c>
      <c r="H33" s="21">
        <f>mets[[#This Row],[coeff. w/o GAM]]</f>
        <v>0.15260399999999999</v>
      </c>
      <c r="I33" s="161">
        <f t="shared" si="0"/>
        <v>0.15231983633908924</v>
      </c>
      <c r="J33" s="21" cm="1">
        <f t="array" ref="J33">_xlfn.LET(_xlpm.id,mets[[#This Row],[name w/o location]],_xlpm.oldcoeff,mets[[#This Row],[normalized coeffs]],_xlpm.gam,$J$2-$G$2,_xlfn.IFS(IFERROR(MATCH(_xlpm.id,{"atp","h2o"},0),0)&gt;0,_xlpm.oldcoeff-_xlpm.gam,IFERROR(MATCH(_xlpm.id,{"adp","h","pi"},0),0)&gt;0,_xlpm.oldcoeff+_xlpm.gam,TRUE,_xlpm.oldcoeff))</f>
        <v>0.15231983633908924</v>
      </c>
      <c r="K33" t="str" cm="1">
        <f t="array" ref="K33">"BIOSYN-"&amp;_xlfn.IFS(IFERROR(MATCH(mets[[#This Row],[category]],{0,"0",""},0),0)&gt;0,mets[[#This Row],[name]],TRUE,mets[[#This Row],[category]]&amp;"-"&amp;mets[[#This Row],[name]])</f>
        <v>BIOSYN-ignore-trnaarg_c</v>
      </c>
      <c r="L33" s="149" t="str" cm="1">
        <f t="array" ref="L33">IF(IsElementOfSet_DIY(mets[[#This Row],[category]],{"ignore","PROT"}),"",_xlfn.LET(_xlpm.mw,mets[[#This Row],[MW for biomass normalization (g/mol)]],"MET-"&amp;mets[[#This Row],[name]]&amp;" --&gt; "&amp;IF((mets[[#This Row],[category]]="DNA")+(mets[[#This Row],[category]]="RNA"),"MET-ppi_c + ","")&amp;ROUND(ABS(_xlpm.mw/1000),6)&amp;" BIO-"&amp;mets[[#This Row],[name]]))</f>
        <v/>
      </c>
      <c r="M33" s="149" cm="1">
        <f t="array" ref="M3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0.12494335563198017</v>
      </c>
      <c r="N33" s="149"/>
      <c r="O33" s="149"/>
      <c r="P33" s="149"/>
      <c r="Q33" s="149"/>
      <c r="R33" s="149"/>
      <c r="S33" s="149"/>
      <c r="T33" s="149"/>
      <c r="U33" s="149"/>
      <c r="V33" s="149"/>
      <c r="AB33" t="str">
        <v>BIOSYN-COFACTOR-fad_c</v>
      </c>
      <c r="AC33" t="str">
        <v>MET-fad_c --&gt; 0.782526 BIO-fad_c</v>
      </c>
    </row>
    <row r="34" spans="1:29" ht="16" x14ac:dyDescent="0.2">
      <c r="A34" s="144" t="s">
        <v>1015</v>
      </c>
      <c r="B34" t="str">
        <f>SUBSTITUTE(_xlfn.TEXTBEFORE(mets[[#This Row],[pasted JSON metabolite keys and values from GSM biomass rxn]],":"),CHAR(34),"")</f>
        <v>trnaasn_c</v>
      </c>
      <c r="C34" t="str">
        <f>_xlfn.TEXTBEFORE(mets[[#This Row],[name]],"_",-1)</f>
        <v>trnaasn</v>
      </c>
      <c r="D34" t="str">
        <f>_xlfn.XLOOKUP(mets[[#This Row],[name w/o location]],metaboliteInfo[name w/o location],metaboliteInfo[suggested category],"")</f>
        <v>ignore</v>
      </c>
      <c r="E34" s="21">
        <f>_xlfn.XLOOKUP(mets[[#This Row],[name w/o location]],metaboliteInfo[name w/o location],metaboliteInfo[MW for biomass normalization (g/mol)],0)</f>
        <v>0</v>
      </c>
      <c r="F34" s="21">
        <f>_xlfn.NUMBERVALUE(SUBSTITUTE(_xlfn.TEXTAFTER(mets[[#This Row],[pasted JSON metabolite keys and values from GSM biomass rxn]],":"),",",""))</f>
        <v>0.18344099999999999</v>
      </c>
      <c r="G34" s="21" cm="1">
        <f t="array" ref="G34">_xlfn.LET(_xlpm.id,mets[[#This Row],[name w/o location]],IF(IsElementOfSet_DIY(_xlpm.id,{"atp","adp","h","pi","h2o"}),SIGN(mets[[#This Row],[raw (GSM) coefficient]])*(ABS(mets[[#This Row],[raw (GSM) coefficient]])-$J$2),mets[[#This Row],[raw (GSM) coefficient]]))</f>
        <v>0.18344099999999999</v>
      </c>
      <c r="H34" s="21">
        <f>mets[[#This Row],[coeff. w/o GAM]]</f>
        <v>0.18344099999999999</v>
      </c>
      <c r="I34" s="161">
        <f t="shared" si="0"/>
        <v>0.18309941481139991</v>
      </c>
      <c r="J34" s="21" cm="1">
        <f t="array" ref="J34">_xlfn.LET(_xlpm.id,mets[[#This Row],[name w/o location]],_xlpm.oldcoeff,mets[[#This Row],[normalized coeffs]],_xlpm.gam,$J$2-$G$2,_xlfn.IFS(IFERROR(MATCH(_xlpm.id,{"atp","h2o"},0),0)&gt;0,_xlpm.oldcoeff-_xlpm.gam,IFERROR(MATCH(_xlpm.id,{"adp","h","pi"},0),0)&gt;0,_xlpm.oldcoeff+_xlpm.gam,TRUE,_xlpm.oldcoeff))</f>
        <v>0.18309941481139991</v>
      </c>
      <c r="K34" t="str" cm="1">
        <f t="array" ref="K34">"BIOSYN-"&amp;_xlfn.IFS(IFERROR(MATCH(mets[[#This Row],[category]],{0,"0",""},0),0)&gt;0,mets[[#This Row],[name]],TRUE,mets[[#This Row],[category]]&amp;"-"&amp;mets[[#This Row],[name]])</f>
        <v>BIOSYN-ignore-trnaasn_c</v>
      </c>
      <c r="L34" s="149" t="str" cm="1">
        <f t="array" ref="L34">IF(IsElementOfSet_DIY(mets[[#This Row],[category]],{"ignore","PROT"}),"",_xlfn.LET(_xlpm.mw,mets[[#This Row],[MW for biomass normalization (g/mol)]],"MET-"&amp;mets[[#This Row],[name]]&amp;" --&gt; "&amp;IF((mets[[#This Row],[category]]="DNA")+(mets[[#This Row],[category]]="RNA"),"MET-ppi_c + ","")&amp;ROUND(ABS(_xlpm.mw/1000),6)&amp;" BIO-"&amp;mets[[#This Row],[name]]))</f>
        <v/>
      </c>
      <c r="M34" s="149" cm="1">
        <f t="array" ref="M3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0.1501909130854111</v>
      </c>
      <c r="N34" s="149"/>
      <c r="O34" s="149"/>
      <c r="P34" s="149"/>
      <c r="Q34" s="149"/>
      <c r="R34" s="149"/>
      <c r="S34" s="149"/>
      <c r="T34" s="149"/>
      <c r="U34" s="149"/>
      <c r="V34" s="149"/>
      <c r="AB34" t="str">
        <v>BIOSYN-COFACTOR-hemeA_c</v>
      </c>
      <c r="AC34" t="str">
        <v>MET-hemeA_c --&gt; 0.850821 BIO-hemeA_c</v>
      </c>
    </row>
    <row r="35" spans="1:29" ht="16" x14ac:dyDescent="0.2">
      <c r="A35" s="144" t="s">
        <v>1016</v>
      </c>
      <c r="B35" t="str">
        <f>SUBSTITUTE(_xlfn.TEXTBEFORE(mets[[#This Row],[pasted JSON metabolite keys and values from GSM biomass rxn]],":"),CHAR(34),"")</f>
        <v>trnaasp_c</v>
      </c>
      <c r="C35" t="str">
        <f>_xlfn.TEXTBEFORE(mets[[#This Row],[name]],"_",-1)</f>
        <v>trnaasp</v>
      </c>
      <c r="D35" t="str">
        <f>_xlfn.XLOOKUP(mets[[#This Row],[name w/o location]],metaboliteInfo[name w/o location],metaboliteInfo[suggested category],"")</f>
        <v>ignore</v>
      </c>
      <c r="E35" s="21">
        <f>_xlfn.XLOOKUP(mets[[#This Row],[name w/o location]],metaboliteInfo[name w/o location],metaboliteInfo[MW for biomass normalization (g/mol)],0)</f>
        <v>0</v>
      </c>
      <c r="F35" s="21">
        <f>_xlfn.NUMBERVALUE(SUBSTITUTE(_xlfn.TEXTAFTER(mets[[#This Row],[pasted JSON metabolite keys and values from GSM biomass rxn]],":"),",",""))</f>
        <v>0.18344099999999999</v>
      </c>
      <c r="G35" s="21" cm="1">
        <f t="array" ref="G35">_xlfn.LET(_xlpm.id,mets[[#This Row],[name w/o location]],IF(IsElementOfSet_DIY(_xlpm.id,{"atp","adp","h","pi","h2o"}),SIGN(mets[[#This Row],[raw (GSM) coefficient]])*(ABS(mets[[#This Row],[raw (GSM) coefficient]])-$J$2),mets[[#This Row],[raw (GSM) coefficient]]))</f>
        <v>0.18344099999999999</v>
      </c>
      <c r="H35" s="21">
        <f>mets[[#This Row],[coeff. w/o GAM]]</f>
        <v>0.18344099999999999</v>
      </c>
      <c r="I35" s="161">
        <f t="shared" si="0"/>
        <v>0.18309941481139991</v>
      </c>
      <c r="J35" s="21" cm="1">
        <f t="array" ref="J35">_xlfn.LET(_xlpm.id,mets[[#This Row],[name w/o location]],_xlpm.oldcoeff,mets[[#This Row],[normalized coeffs]],_xlpm.gam,$J$2-$G$2,_xlfn.IFS(IFERROR(MATCH(_xlpm.id,{"atp","h2o"},0),0)&gt;0,_xlpm.oldcoeff-_xlpm.gam,IFERROR(MATCH(_xlpm.id,{"adp","h","pi"},0),0)&gt;0,_xlpm.oldcoeff+_xlpm.gam,TRUE,_xlpm.oldcoeff))</f>
        <v>0.18309941481139991</v>
      </c>
      <c r="K35" t="str" cm="1">
        <f t="array" ref="K35">"BIOSYN-"&amp;_xlfn.IFS(IFERROR(MATCH(mets[[#This Row],[category]],{0,"0",""},0),0)&gt;0,mets[[#This Row],[name]],TRUE,mets[[#This Row],[category]]&amp;"-"&amp;mets[[#This Row],[name]])</f>
        <v>BIOSYN-ignore-trnaasp_c</v>
      </c>
      <c r="L35" s="149" t="str" cm="1">
        <f t="array" ref="L35">IF(IsElementOfSet_DIY(mets[[#This Row],[category]],{"ignore","PROT"}),"",_xlfn.LET(_xlpm.mw,mets[[#This Row],[MW for biomass normalization (g/mol)]],"MET-"&amp;mets[[#This Row],[name]]&amp;" --&gt; "&amp;IF((mets[[#This Row],[category]]="DNA")+(mets[[#This Row],[category]]="RNA"),"MET-ppi_c + ","")&amp;ROUND(ABS(_xlpm.mw/1000),6)&amp;" BIO-"&amp;mets[[#This Row],[name]]))</f>
        <v/>
      </c>
      <c r="M35" s="149" cm="1">
        <f t="array" ref="M3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0.1501909130854111</v>
      </c>
      <c r="N35" s="149"/>
      <c r="O35" s="149"/>
      <c r="P35" s="149"/>
      <c r="Q35" s="149"/>
      <c r="R35" s="149"/>
      <c r="S35" s="149"/>
      <c r="T35" s="149"/>
      <c r="U35" s="149"/>
      <c r="V35" s="149"/>
      <c r="AB35" t="str">
        <v>BIOSYN-COFACTOR-nad_c</v>
      </c>
      <c r="AC35" t="str">
        <v>MET-nad_c --&gt; 0.662417 BIO-nad_c</v>
      </c>
    </row>
    <row r="36" spans="1:29" ht="16" x14ac:dyDescent="0.2">
      <c r="A36" s="144" t="s">
        <v>1017</v>
      </c>
      <c r="B36" t="str">
        <f>SUBSTITUTE(_xlfn.TEXTBEFORE(mets[[#This Row],[pasted JSON metabolite keys and values from GSM biomass rxn]],":"),CHAR(34),"")</f>
        <v>trnacys_c</v>
      </c>
      <c r="C36" t="str">
        <f>_xlfn.TEXTBEFORE(mets[[#This Row],[name]],"_",-1)</f>
        <v>trnacys</v>
      </c>
      <c r="D36" t="str">
        <f>_xlfn.XLOOKUP(mets[[#This Row],[name w/o location]],metaboliteInfo[name w/o location],metaboliteInfo[suggested category],"")</f>
        <v>ignore</v>
      </c>
      <c r="E36" s="21">
        <f>_xlfn.XLOOKUP(mets[[#This Row],[name w/o location]],metaboliteInfo[name w/o location],metaboliteInfo[MW for biomass normalization (g/mol)],0)</f>
        <v>0</v>
      </c>
      <c r="F36" s="21">
        <f>_xlfn.NUMBERVALUE(SUBSTITUTE(_xlfn.TEXTAFTER(mets[[#This Row],[pasted JSON metabolite keys and values from GSM biomass rxn]],":"),",",""))</f>
        <v>5.535E-3</v>
      </c>
      <c r="G36" s="21" cm="1">
        <f t="array" ref="G36">_xlfn.LET(_xlpm.id,mets[[#This Row],[name w/o location]],IF(IsElementOfSet_DIY(_xlpm.id,{"atp","adp","h","pi","h2o"}),SIGN(mets[[#This Row],[raw (GSM) coefficient]])*(ABS(mets[[#This Row],[raw (GSM) coefficient]])-$J$2),mets[[#This Row],[raw (GSM) coefficient]]))</f>
        <v>5.535E-3</v>
      </c>
      <c r="H36" s="21">
        <f>mets[[#This Row],[coeff. w/o GAM]]</f>
        <v>5.535E-3</v>
      </c>
      <c r="I36" s="161">
        <f t="shared" si="0"/>
        <v>5.5246932854765207E-3</v>
      </c>
      <c r="J36" s="21" cm="1">
        <f t="array" ref="J36">_xlfn.LET(_xlpm.id,mets[[#This Row],[name w/o location]],_xlpm.oldcoeff,mets[[#This Row],[normalized coeffs]],_xlpm.gam,$J$2-$G$2,_xlfn.IFS(IFERROR(MATCH(_xlpm.id,{"atp","h2o"},0),0)&gt;0,_xlpm.oldcoeff-_xlpm.gam,IFERROR(MATCH(_xlpm.id,{"adp","h","pi"},0),0)&gt;0,_xlpm.oldcoeff+_xlpm.gam,TRUE,_xlpm.oldcoeff))</f>
        <v>5.5246932854765207E-3</v>
      </c>
      <c r="K36" t="str" cm="1">
        <f t="array" ref="K36">"BIOSYN-"&amp;_xlfn.IFS(IFERROR(MATCH(mets[[#This Row],[category]],{0,"0",""},0),0)&gt;0,mets[[#This Row],[name]],TRUE,mets[[#This Row],[category]]&amp;"-"&amp;mets[[#This Row],[name]])</f>
        <v>BIOSYN-ignore-trnacys_c</v>
      </c>
      <c r="L36" s="149" t="str" cm="1">
        <f t="array" ref="L36">IF(IsElementOfSet_DIY(mets[[#This Row],[category]],{"ignore","PROT"}),"",_xlfn.LET(_xlpm.mw,mets[[#This Row],[MW for biomass normalization (g/mol)]],"MET-"&amp;mets[[#This Row],[name]]&amp;" --&gt; "&amp;IF((mets[[#This Row],[category]]="DNA")+(mets[[#This Row],[category]]="RNA"),"MET-ppi_c + ","")&amp;ROUND(ABS(_xlpm.mw/1000),6)&amp;" BIO-"&amp;mets[[#This Row],[name]]))</f>
        <v/>
      </c>
      <c r="M36" s="149" cm="1">
        <f t="array" ref="M3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4.5317388366164077E-3</v>
      </c>
      <c r="N36" s="149"/>
      <c r="O36" s="149"/>
      <c r="P36" s="149"/>
      <c r="Q36" s="149"/>
      <c r="R36" s="149"/>
      <c r="S36" s="149"/>
      <c r="T36" s="149"/>
      <c r="U36" s="149"/>
      <c r="V36" s="149"/>
      <c r="AB36" t="str">
        <v>BIOSYN-COFACTOR-nadp_c</v>
      </c>
      <c r="AC36" t="str">
        <v>MET-nadp_c --&gt; 0.740381 BIO-nadp_c</v>
      </c>
    </row>
    <row r="37" spans="1:29" ht="16" x14ac:dyDescent="0.2">
      <c r="A37" s="144" t="s">
        <v>1018</v>
      </c>
      <c r="B37" t="str">
        <f>SUBSTITUTE(_xlfn.TEXTBEFORE(mets[[#This Row],[pasted JSON metabolite keys and values from GSM biomass rxn]],":"),CHAR(34),"")</f>
        <v>trnagln_c</v>
      </c>
      <c r="C37" t="str">
        <f>_xlfn.TEXTBEFORE(mets[[#This Row],[name]],"_",-1)</f>
        <v>trnagln</v>
      </c>
      <c r="D37" t="str">
        <f>_xlfn.XLOOKUP(mets[[#This Row],[name w/o location]],metaboliteInfo[name w/o location],metaboliteInfo[suggested category],"")</f>
        <v>ignore</v>
      </c>
      <c r="E37" s="21">
        <f>_xlfn.XLOOKUP(mets[[#This Row],[name w/o location]],metaboliteInfo[name w/o location],metaboliteInfo[MW for biomass normalization (g/mol)],0)</f>
        <v>0</v>
      </c>
      <c r="F37" s="21">
        <f>_xlfn.NUMBERVALUE(SUBSTITUTE(_xlfn.TEXTAFTER(mets[[#This Row],[pasted JSON metabolite keys and values from GSM biomass rxn]],":"),",",""))</f>
        <v>0.30599900000000002</v>
      </c>
      <c r="G37" s="21" cm="1">
        <f t="array" ref="G37">_xlfn.LET(_xlpm.id,mets[[#This Row],[name w/o location]],IF(IsElementOfSet_DIY(_xlpm.id,{"atp","adp","h","pi","h2o"}),SIGN(mets[[#This Row],[raw (GSM) coefficient]])*(ABS(mets[[#This Row],[raw (GSM) coefficient]])-$J$2),mets[[#This Row],[raw (GSM) coefficient]]))</f>
        <v>0.30599900000000002</v>
      </c>
      <c r="H37" s="21">
        <f>mets[[#This Row],[coeff. w/o GAM]]</f>
        <v>0.30599900000000002</v>
      </c>
      <c r="I37" s="161">
        <f t="shared" si="0"/>
        <v>0.30542919975836136</v>
      </c>
      <c r="J37" s="21" cm="1">
        <f t="array" ref="J37">_xlfn.LET(_xlpm.id,mets[[#This Row],[name w/o location]],_xlpm.oldcoeff,mets[[#This Row],[normalized coeffs]],_xlpm.gam,$J$2-$G$2,_xlfn.IFS(IFERROR(MATCH(_xlpm.id,{"atp","h2o"},0),0)&gt;0,_xlpm.oldcoeff-_xlpm.gam,IFERROR(MATCH(_xlpm.id,{"adp","h","pi"},0),0)&gt;0,_xlpm.oldcoeff+_xlpm.gam,TRUE,_xlpm.oldcoeff))</f>
        <v>0.30542919975836136</v>
      </c>
      <c r="K37" t="str" cm="1">
        <f t="array" ref="K37">"BIOSYN-"&amp;_xlfn.IFS(IFERROR(MATCH(mets[[#This Row],[category]],{0,"0",""},0),0)&gt;0,mets[[#This Row],[name]],TRUE,mets[[#This Row],[category]]&amp;"-"&amp;mets[[#This Row],[name]])</f>
        <v>BIOSYN-ignore-trnagln_c</v>
      </c>
      <c r="L37" s="149" t="str" cm="1">
        <f t="array" ref="L37">IF(IsElementOfSet_DIY(mets[[#This Row],[category]],{"ignore","PROT"}),"",_xlfn.LET(_xlpm.mw,mets[[#This Row],[MW for biomass normalization (g/mol)]],"MET-"&amp;mets[[#This Row],[name]]&amp;" --&gt; "&amp;IF((mets[[#This Row],[category]]="DNA")+(mets[[#This Row],[category]]="RNA"),"MET-ppi_c + ","")&amp;ROUND(ABS(_xlpm.mw/1000),6)&amp;" BIO-"&amp;mets[[#This Row],[name]]))</f>
        <v/>
      </c>
      <c r="M37" s="149" cm="1">
        <f t="array" ref="M3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0.25053433645271622</v>
      </c>
      <c r="N37" s="149"/>
      <c r="O37" s="149"/>
      <c r="P37" s="149"/>
      <c r="Q37" s="149"/>
      <c r="R37" s="149"/>
      <c r="S37" s="149"/>
      <c r="T37" s="149"/>
      <c r="U37" s="149"/>
      <c r="V37" s="149"/>
      <c r="AB37" t="str">
        <v>BIOSYN-COFACTOR-pydx5p_c</v>
      </c>
      <c r="AC37" t="str">
        <v>MET-pydx5p_c --&gt; 0.245126 BIO-pydx5p_c</v>
      </c>
    </row>
    <row r="38" spans="1:29" ht="16" x14ac:dyDescent="0.2">
      <c r="A38" s="144" t="s">
        <v>1019</v>
      </c>
      <c r="B38" t="str">
        <f>SUBSTITUTE(_xlfn.TEXTBEFORE(mets[[#This Row],[pasted JSON metabolite keys and values from GSM biomass rxn]],":"),CHAR(34),"")</f>
        <v>trnaglu_c</v>
      </c>
      <c r="C38" t="str">
        <f>_xlfn.TEXTBEFORE(mets[[#This Row],[name]],"_",-1)</f>
        <v>trnaglu</v>
      </c>
      <c r="D38" t="str">
        <f>_xlfn.XLOOKUP(mets[[#This Row],[name w/o location]],metaboliteInfo[name w/o location],metaboliteInfo[suggested category],"")</f>
        <v>ignore</v>
      </c>
      <c r="E38" s="21">
        <f>_xlfn.XLOOKUP(mets[[#This Row],[name w/o location]],metaboliteInfo[name w/o location],metaboliteInfo[MW for biomass normalization (g/mol)],0)</f>
        <v>0</v>
      </c>
      <c r="F38" s="21">
        <f>_xlfn.NUMBERVALUE(SUBSTITUTE(_xlfn.TEXTAFTER(mets[[#This Row],[pasted JSON metabolite keys and values from GSM biomass rxn]],":"),",",""))</f>
        <v>0.30599900000000002</v>
      </c>
      <c r="G38" s="21" cm="1">
        <f t="array" ref="G38">_xlfn.LET(_xlpm.id,mets[[#This Row],[name w/o location]],IF(IsElementOfSet_DIY(_xlpm.id,{"atp","adp","h","pi","h2o"}),SIGN(mets[[#This Row],[raw (GSM) coefficient]])*(ABS(mets[[#This Row],[raw (GSM) coefficient]])-$J$2),mets[[#This Row],[raw (GSM) coefficient]]))</f>
        <v>0.30599900000000002</v>
      </c>
      <c r="H38" s="21">
        <f>mets[[#This Row],[coeff. w/o GAM]]</f>
        <v>0.30599900000000002</v>
      </c>
      <c r="I38" s="161">
        <f t="shared" ref="I38:I69" si="2">H38/($H$3)</f>
        <v>0.30542919975836136</v>
      </c>
      <c r="J38" s="21" cm="1">
        <f t="array" ref="J38">_xlfn.LET(_xlpm.id,mets[[#This Row],[name w/o location]],_xlpm.oldcoeff,mets[[#This Row],[normalized coeffs]],_xlpm.gam,$J$2-$G$2,_xlfn.IFS(IFERROR(MATCH(_xlpm.id,{"atp","h2o"},0),0)&gt;0,_xlpm.oldcoeff-_xlpm.gam,IFERROR(MATCH(_xlpm.id,{"adp","h","pi"},0),0)&gt;0,_xlpm.oldcoeff+_xlpm.gam,TRUE,_xlpm.oldcoeff))</f>
        <v>0.30542919975836136</v>
      </c>
      <c r="K38" t="str" cm="1">
        <f t="array" ref="K38">"BIOSYN-"&amp;_xlfn.IFS(IFERROR(MATCH(mets[[#This Row],[category]],{0,"0",""},0),0)&gt;0,mets[[#This Row],[name]],TRUE,mets[[#This Row],[category]]&amp;"-"&amp;mets[[#This Row],[name]])</f>
        <v>BIOSYN-ignore-trnaglu_c</v>
      </c>
      <c r="L38" s="149" t="str" cm="1">
        <f t="array" ref="L38">IF(IsElementOfSet_DIY(mets[[#This Row],[category]],{"ignore","PROT"}),"",_xlfn.LET(_xlpm.mw,mets[[#This Row],[MW for biomass normalization (g/mol)]],"MET-"&amp;mets[[#This Row],[name]]&amp;" --&gt; "&amp;IF((mets[[#This Row],[category]]="DNA")+(mets[[#This Row],[category]]="RNA"),"MET-ppi_c + ","")&amp;ROUND(ABS(_xlpm.mw/1000),6)&amp;" BIO-"&amp;mets[[#This Row],[name]]))</f>
        <v/>
      </c>
      <c r="M38" s="149" cm="1">
        <f t="array" ref="M3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0.25053433645271622</v>
      </c>
      <c r="N38" s="149"/>
      <c r="O38" s="149"/>
      <c r="P38" s="149"/>
      <c r="Q38" s="149"/>
      <c r="R38" s="149"/>
      <c r="S38" s="149"/>
      <c r="T38" s="149"/>
      <c r="U38" s="149"/>
      <c r="V38" s="149"/>
      <c r="AB38" t="str">
        <v>BIOSYN-COFACTOR-ribflv_c</v>
      </c>
      <c r="AC38" t="str">
        <v>MET-ribflv_c --&gt; 0.375356 BIO-ribflv_c</v>
      </c>
    </row>
    <row r="39" spans="1:29" ht="16" x14ac:dyDescent="0.2">
      <c r="A39" s="144" t="s">
        <v>1020</v>
      </c>
      <c r="B39" t="str">
        <f>SUBSTITUTE(_xlfn.TEXTBEFORE(mets[[#This Row],[pasted JSON metabolite keys and values from GSM biomass rxn]],":"),CHAR(34),"")</f>
        <v>trnagly_c</v>
      </c>
      <c r="C39" t="str">
        <f>_xlfn.TEXTBEFORE(mets[[#This Row],[name]],"_",-1)</f>
        <v>trnagly</v>
      </c>
      <c r="D39" t="str">
        <f>_xlfn.XLOOKUP(mets[[#This Row],[name w/o location]],metaboliteInfo[name w/o location],metaboliteInfo[suggested category],"")</f>
        <v>ignore</v>
      </c>
      <c r="E39" s="21">
        <f>_xlfn.XLOOKUP(mets[[#This Row],[name w/o location]],metaboliteInfo[name w/o location],metaboliteInfo[MW for biomass normalization (g/mol)],0)</f>
        <v>0</v>
      </c>
      <c r="F39" s="21">
        <f>_xlfn.NUMBERVALUE(SUBSTITUTE(_xlfn.TEXTAFTER(mets[[#This Row],[pasted JSON metabolite keys and values from GSM biomass rxn]],":"),",",""))</f>
        <v>0.351464</v>
      </c>
      <c r="G39" s="21" cm="1">
        <f t="array" ref="G39">_xlfn.LET(_xlpm.id,mets[[#This Row],[name w/o location]],IF(IsElementOfSet_DIY(_xlpm.id,{"atp","adp","h","pi","h2o"}),SIGN(mets[[#This Row],[raw (GSM) coefficient]])*(ABS(mets[[#This Row],[raw (GSM) coefficient]])-$J$2),mets[[#This Row],[raw (GSM) coefficient]]))</f>
        <v>0.351464</v>
      </c>
      <c r="H39" s="21">
        <f>mets[[#This Row],[coeff. w/o GAM]]</f>
        <v>0.351464</v>
      </c>
      <c r="I39" s="161">
        <f t="shared" si="2"/>
        <v>0.35080953945559529</v>
      </c>
      <c r="J39" s="21" cm="1">
        <f t="array" ref="J39">_xlfn.LET(_xlpm.id,mets[[#This Row],[name w/o location]],_xlpm.oldcoeff,mets[[#This Row],[normalized coeffs]],_xlpm.gam,$J$2-$G$2,_xlfn.IFS(IFERROR(MATCH(_xlpm.id,{"atp","h2o"},0),0)&gt;0,_xlpm.oldcoeff-_xlpm.gam,IFERROR(MATCH(_xlpm.id,{"adp","h","pi"},0),0)&gt;0,_xlpm.oldcoeff+_xlpm.gam,TRUE,_xlpm.oldcoeff))</f>
        <v>0.35080953945559529</v>
      </c>
      <c r="K39" t="str" cm="1">
        <f t="array" ref="K39">"BIOSYN-"&amp;_xlfn.IFS(IFERROR(MATCH(mets[[#This Row],[category]],{0,"0",""},0),0)&gt;0,mets[[#This Row],[name]],TRUE,mets[[#This Row],[category]]&amp;"-"&amp;mets[[#This Row],[name]])</f>
        <v>BIOSYN-ignore-trnagly_c</v>
      </c>
      <c r="L39" s="149" t="str" cm="1">
        <f t="array" ref="L39">IF(IsElementOfSet_DIY(mets[[#This Row],[category]],{"ignore","PROT"}),"",_xlfn.LET(_xlpm.mw,mets[[#This Row],[MW for biomass normalization (g/mol)]],"MET-"&amp;mets[[#This Row],[name]]&amp;" --&gt; "&amp;IF((mets[[#This Row],[category]]="DNA")+(mets[[#This Row],[category]]="RNA"),"MET-ppi_c + ","")&amp;ROUND(ABS(_xlpm.mw/1000),6)&amp;" BIO-"&amp;mets[[#This Row],[name]]))</f>
        <v/>
      </c>
      <c r="M39" s="149" cm="1">
        <f t="array" ref="M3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0.28775845681527534</v>
      </c>
      <c r="N39" s="149"/>
      <c r="O39" s="149"/>
      <c r="P39" s="149"/>
      <c r="Q39" s="149"/>
      <c r="R39" s="149"/>
      <c r="S39" s="149"/>
      <c r="T39" s="149"/>
      <c r="U39" s="149"/>
      <c r="V39" s="149"/>
      <c r="AB39" t="str">
        <v>BIOSYN-COFACTOR-spmd_c</v>
      </c>
      <c r="AC39" t="str">
        <v>MET-spmd_c --&gt; 0.14827 BIO-spmd_c</v>
      </c>
    </row>
    <row r="40" spans="1:29" ht="16" x14ac:dyDescent="0.2">
      <c r="A40" s="144" t="s">
        <v>1021</v>
      </c>
      <c r="B40" t="str">
        <f>SUBSTITUTE(_xlfn.TEXTBEFORE(mets[[#This Row],[pasted JSON metabolite keys and values from GSM biomass rxn]],":"),CHAR(34),"")</f>
        <v>trnahis_c</v>
      </c>
      <c r="C40" t="str">
        <f>_xlfn.TEXTBEFORE(mets[[#This Row],[name]],"_",-1)</f>
        <v>trnahis</v>
      </c>
      <c r="D40" t="str">
        <f>_xlfn.XLOOKUP(mets[[#This Row],[name w/o location]],metaboliteInfo[name w/o location],metaboliteInfo[suggested category],"")</f>
        <v>ignore</v>
      </c>
      <c r="E40" s="21">
        <f>_xlfn.XLOOKUP(mets[[#This Row],[name w/o location]],metaboliteInfo[name w/o location],metaboliteInfo[MW for biomass normalization (g/mol)],0)</f>
        <v>0</v>
      </c>
      <c r="F40" s="21">
        <f>_xlfn.NUMBERVALUE(SUBSTITUTE(_xlfn.TEXTAFTER(mets[[#This Row],[pasted JSON metabolite keys and values from GSM biomass rxn]],":"),",",""))</f>
        <v>7.6301999999999995E-2</v>
      </c>
      <c r="G40" s="21" cm="1">
        <f t="array" ref="G40">_xlfn.LET(_xlpm.id,mets[[#This Row],[name w/o location]],IF(IsElementOfSet_DIY(_xlpm.id,{"atp","adp","h","pi","h2o"}),SIGN(mets[[#This Row],[raw (GSM) coefficient]])*(ABS(mets[[#This Row],[raw (GSM) coefficient]])-$J$2),mets[[#This Row],[raw (GSM) coefficient]]))</f>
        <v>7.6301999999999995E-2</v>
      </c>
      <c r="H40" s="21">
        <f>mets[[#This Row],[coeff. w/o GAM]]</f>
        <v>7.6301999999999995E-2</v>
      </c>
      <c r="I40" s="161">
        <f t="shared" si="2"/>
        <v>7.6159918169544621E-2</v>
      </c>
      <c r="J40" s="21" cm="1">
        <f t="array" ref="J40">_xlfn.LET(_xlpm.id,mets[[#This Row],[name w/o location]],_xlpm.oldcoeff,mets[[#This Row],[normalized coeffs]],_xlpm.gam,$J$2-$G$2,_xlfn.IFS(IFERROR(MATCH(_xlpm.id,{"atp","h2o"},0),0)&gt;0,_xlpm.oldcoeff-_xlpm.gam,IFERROR(MATCH(_xlpm.id,{"adp","h","pi"},0),0)&gt;0,_xlpm.oldcoeff+_xlpm.gam,TRUE,_xlpm.oldcoeff))</f>
        <v>7.6159918169544621E-2</v>
      </c>
      <c r="K40" t="str" cm="1">
        <f t="array" ref="K40">"BIOSYN-"&amp;_xlfn.IFS(IFERROR(MATCH(mets[[#This Row],[category]],{0,"0",""},0),0)&gt;0,mets[[#This Row],[name]],TRUE,mets[[#This Row],[category]]&amp;"-"&amp;mets[[#This Row],[name]])</f>
        <v>BIOSYN-ignore-trnahis_c</v>
      </c>
      <c r="L40" s="149" t="str" cm="1">
        <f t="array" ref="L40">IF(IsElementOfSet_DIY(mets[[#This Row],[category]],{"ignore","PROT"}),"",_xlfn.LET(_xlpm.mw,mets[[#This Row],[MW for biomass normalization (g/mol)]],"MET-"&amp;mets[[#This Row],[name]]&amp;" --&gt; "&amp;IF((mets[[#This Row],[category]]="DNA")+(mets[[#This Row],[category]]="RNA"),"MET-ppi_c + ","")&amp;ROUND(ABS(_xlpm.mw/1000),6)&amp;" BIO-"&amp;mets[[#This Row],[name]]))</f>
        <v/>
      </c>
      <c r="M40" s="149" cm="1">
        <f t="array" ref="M4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6.2471677815990084E-2</v>
      </c>
      <c r="N40" s="149"/>
      <c r="O40" s="149"/>
      <c r="P40" s="149"/>
      <c r="Q40" s="149"/>
      <c r="R40" s="149"/>
      <c r="S40" s="149"/>
      <c r="T40" s="149"/>
      <c r="U40" s="149"/>
      <c r="V40" s="149"/>
      <c r="AB40" t="str">
        <v>BIOSYN-COFACTOR-thf_c</v>
      </c>
      <c r="AC40" t="str">
        <v>MET-thf_c --&gt; 0.443413 BIO-thf_c</v>
      </c>
    </row>
    <row r="41" spans="1:29" ht="16" x14ac:dyDescent="0.2">
      <c r="A41" s="144" t="s">
        <v>1022</v>
      </c>
      <c r="B41" t="str">
        <f>SUBSTITUTE(_xlfn.TEXTBEFORE(mets[[#This Row],[pasted JSON metabolite keys and values from GSM biomass rxn]],":"),CHAR(34),"")</f>
        <v>trnaile_c</v>
      </c>
      <c r="C41" t="str">
        <f>_xlfn.TEXTBEFORE(mets[[#This Row],[name]],"_",-1)</f>
        <v>trnaile</v>
      </c>
      <c r="D41" t="str">
        <f>_xlfn.XLOOKUP(mets[[#This Row],[name w/o location]],metaboliteInfo[name w/o location],metaboliteInfo[suggested category],"")</f>
        <v>ignore</v>
      </c>
      <c r="E41" s="21">
        <f>_xlfn.XLOOKUP(mets[[#This Row],[name w/o location]],metaboliteInfo[name w/o location],metaboliteInfo[MW for biomass normalization (g/mol)],0)</f>
        <v>0</v>
      </c>
      <c r="F41" s="21">
        <f>_xlfn.NUMBERVALUE(SUBSTITUTE(_xlfn.TEXTAFTER(mets[[#This Row],[pasted JSON metabolite keys and values from GSM biomass rxn]],":"),",",""))</f>
        <v>0.23286000000000001</v>
      </c>
      <c r="G41" s="21" cm="1">
        <f t="array" ref="G41">_xlfn.LET(_xlpm.id,mets[[#This Row],[name w/o location]],IF(IsElementOfSet_DIY(_xlpm.id,{"atp","adp","h","pi","h2o"}),SIGN(mets[[#This Row],[raw (GSM) coefficient]])*(ABS(mets[[#This Row],[raw (GSM) coefficient]])-$J$2),mets[[#This Row],[raw (GSM) coefficient]]))</f>
        <v>0.23286000000000001</v>
      </c>
      <c r="H41" s="21">
        <f>mets[[#This Row],[coeff. w/o GAM]]</f>
        <v>0.23286000000000001</v>
      </c>
      <c r="I41" s="161">
        <f t="shared" si="2"/>
        <v>0.2324263917716464</v>
      </c>
      <c r="J41" s="21" cm="1">
        <f t="array" ref="J41">_xlfn.LET(_xlpm.id,mets[[#This Row],[name w/o location]],_xlpm.oldcoeff,mets[[#This Row],[normalized coeffs]],_xlpm.gam,$J$2-$G$2,_xlfn.IFS(IFERROR(MATCH(_xlpm.id,{"atp","h2o"},0),0)&gt;0,_xlpm.oldcoeff-_xlpm.gam,IFERROR(MATCH(_xlpm.id,{"adp","h","pi"},0),0)&gt;0,_xlpm.oldcoeff+_xlpm.gam,TRUE,_xlpm.oldcoeff))</f>
        <v>0.2324263917716464</v>
      </c>
      <c r="K41" t="str" cm="1">
        <f t="array" ref="K41">"BIOSYN-"&amp;_xlfn.IFS(IFERROR(MATCH(mets[[#This Row],[category]],{0,"0",""},0),0)&gt;0,mets[[#This Row],[name]],TRUE,mets[[#This Row],[category]]&amp;"-"&amp;mets[[#This Row],[name]])</f>
        <v>BIOSYN-ignore-trnaile_c</v>
      </c>
      <c r="L41" s="149" t="str" cm="1">
        <f t="array" ref="L41">IF(IsElementOfSet_DIY(mets[[#This Row],[category]],{"ignore","PROT"}),"",_xlfn.LET(_xlpm.mw,mets[[#This Row],[MW for biomass normalization (g/mol)]],"MET-"&amp;mets[[#This Row],[name]]&amp;" --&gt; "&amp;IF((mets[[#This Row],[category]]="DNA")+(mets[[#This Row],[category]]="RNA"),"MET-ppi_c + ","")&amp;ROUND(ABS(_xlpm.mw/1000),6)&amp;" BIO-"&amp;mets[[#This Row],[name]]))</f>
        <v/>
      </c>
      <c r="M41" s="149" cm="1">
        <f t="array" ref="M4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0.19065234064941225</v>
      </c>
      <c r="N41" s="149"/>
      <c r="O41" s="149"/>
      <c r="P41" s="149"/>
      <c r="Q41" s="149"/>
      <c r="R41" s="149"/>
      <c r="S41" s="149"/>
      <c r="T41" s="149"/>
      <c r="U41" s="149"/>
      <c r="V41" s="149"/>
      <c r="AB41" t="str">
        <v>BIOSYN-COFACTOR-thmpp_c</v>
      </c>
      <c r="AC41" t="str">
        <v>MET-thmpp_c --&gt; 0.422291 BIO-thmpp_c</v>
      </c>
    </row>
    <row r="42" spans="1:29" ht="16" x14ac:dyDescent="0.2">
      <c r="A42" s="144" t="s">
        <v>1023</v>
      </c>
      <c r="B42" t="str">
        <f>SUBSTITUTE(_xlfn.TEXTBEFORE(mets[[#This Row],[pasted JSON metabolite keys and values from GSM biomass rxn]],":"),CHAR(34),"")</f>
        <v>trnaleu_c</v>
      </c>
      <c r="C42" t="str">
        <f>_xlfn.TEXTBEFORE(mets[[#This Row],[name]],"_",-1)</f>
        <v>trnaleu</v>
      </c>
      <c r="D42" t="str">
        <f>_xlfn.XLOOKUP(mets[[#This Row],[name w/o location]],metaboliteInfo[name w/o location],metaboliteInfo[suggested category],"")</f>
        <v>ignore</v>
      </c>
      <c r="E42" s="21">
        <f>_xlfn.XLOOKUP(mets[[#This Row],[name w/o location]],metaboliteInfo[name w/o location],metaboliteInfo[MW for biomass normalization (g/mol)],0)</f>
        <v>0</v>
      </c>
      <c r="F42" s="21">
        <f>_xlfn.NUMBERVALUE(SUBSTITUTE(_xlfn.TEXTAFTER(mets[[#This Row],[pasted JSON metabolite keys and values from GSM biomass rxn]],":"),",",""))</f>
        <v>0.31667299999999998</v>
      </c>
      <c r="G42" s="21" cm="1">
        <f t="array" ref="G42">_xlfn.LET(_xlpm.id,mets[[#This Row],[name w/o location]],IF(IsElementOfSet_DIY(_xlpm.id,{"atp","adp","h","pi","h2o"}),SIGN(mets[[#This Row],[raw (GSM) coefficient]])*(ABS(mets[[#This Row],[raw (GSM) coefficient]])-$J$2),mets[[#This Row],[raw (GSM) coefficient]]))</f>
        <v>0.31667299999999998</v>
      </c>
      <c r="H42" s="21">
        <f>mets[[#This Row],[coeff. w/o GAM]]</f>
        <v>0.31667299999999998</v>
      </c>
      <c r="I42" s="161">
        <f t="shared" si="2"/>
        <v>0.31608332372027215</v>
      </c>
      <c r="J42" s="21" cm="1">
        <f t="array" ref="J42">_xlfn.LET(_xlpm.id,mets[[#This Row],[name w/o location]],_xlpm.oldcoeff,mets[[#This Row],[normalized coeffs]],_xlpm.gam,$J$2-$G$2,_xlfn.IFS(IFERROR(MATCH(_xlpm.id,{"atp","h2o"},0),0)&gt;0,_xlpm.oldcoeff-_xlpm.gam,IFERROR(MATCH(_xlpm.id,{"adp","h","pi"},0),0)&gt;0,_xlpm.oldcoeff+_xlpm.gam,TRUE,_xlpm.oldcoeff))</f>
        <v>0.31608332372027215</v>
      </c>
      <c r="K42" t="str" cm="1">
        <f t="array" ref="K42">"BIOSYN-"&amp;_xlfn.IFS(IFERROR(MATCH(mets[[#This Row],[category]],{0,"0",""},0),0)&gt;0,mets[[#This Row],[name]],TRUE,mets[[#This Row],[category]]&amp;"-"&amp;mets[[#This Row],[name]])</f>
        <v>BIOSYN-ignore-trnaleu_c</v>
      </c>
      <c r="L42" s="149" t="str" cm="1">
        <f t="array" ref="L42">IF(IsElementOfSet_DIY(mets[[#This Row],[category]],{"ignore","PROT"}),"",_xlfn.LET(_xlpm.mw,mets[[#This Row],[MW for biomass normalization (g/mol)]],"MET-"&amp;mets[[#This Row],[name]]&amp;" --&gt; "&amp;IF((mets[[#This Row],[category]]="DNA")+(mets[[#This Row],[category]]="RNA"),"MET-ppi_c + ","")&amp;ROUND(ABS(_xlpm.mw/1000),6)&amp;" BIO-"&amp;mets[[#This Row],[name]]))</f>
        <v/>
      </c>
      <c r="M42" s="149" cm="1">
        <f t="array" ref="M4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0.25927359216040247</v>
      </c>
      <c r="N42" s="149"/>
      <c r="O42" s="149"/>
      <c r="P42" s="149"/>
      <c r="Q42" s="149"/>
      <c r="R42" s="149"/>
      <c r="S42" s="149"/>
      <c r="T42" s="149"/>
      <c r="U42" s="149"/>
      <c r="V42" s="149"/>
      <c r="AB42" t="str">
        <v>BIOSYN-DNA-datp_c</v>
      </c>
      <c r="AC42" t="str">
        <v>MET-datp_c --&gt; MET-ppi_c + 0.312199 BIO-datp_c</v>
      </c>
    </row>
    <row r="43" spans="1:29" ht="16" x14ac:dyDescent="0.2">
      <c r="A43" s="144" t="s">
        <v>1024</v>
      </c>
      <c r="B43" t="str">
        <f>SUBSTITUTE(_xlfn.TEXTBEFORE(mets[[#This Row],[pasted JSON metabolite keys and values from GSM biomass rxn]],":"),CHAR(34),"")</f>
        <v>trnalys_c</v>
      </c>
      <c r="C43" t="str">
        <f>_xlfn.TEXTBEFORE(mets[[#This Row],[name]],"_",-1)</f>
        <v>trnalys</v>
      </c>
      <c r="D43" t="str">
        <f>_xlfn.XLOOKUP(mets[[#This Row],[name w/o location]],metaboliteInfo[name w/o location],metaboliteInfo[suggested category],"")</f>
        <v>ignore</v>
      </c>
      <c r="E43" s="21">
        <f>_xlfn.XLOOKUP(mets[[#This Row],[name w/o location]],metaboliteInfo[name w/o location],metaboliteInfo[MW for biomass normalization (g/mol)],0)</f>
        <v>0</v>
      </c>
      <c r="F43" s="21">
        <f>_xlfn.NUMBERVALUE(SUBSTITUTE(_xlfn.TEXTAFTER(mets[[#This Row],[pasted JSON metabolite keys and values from GSM biomass rxn]],":"),",",""))</f>
        <v>0.259743</v>
      </c>
      <c r="G43" s="21" cm="1">
        <f t="array" ref="G43">_xlfn.LET(_xlpm.id,mets[[#This Row],[name w/o location]],IF(IsElementOfSet_DIY(_xlpm.id,{"atp","adp","h","pi","h2o"}),SIGN(mets[[#This Row],[raw (GSM) coefficient]])*(ABS(mets[[#This Row],[raw (GSM) coefficient]])-$J$2),mets[[#This Row],[raw (GSM) coefficient]]))</f>
        <v>0.259743</v>
      </c>
      <c r="H43" s="21">
        <f>mets[[#This Row],[coeff. w/o GAM]]</f>
        <v>0.259743</v>
      </c>
      <c r="I43" s="161">
        <f t="shared" si="2"/>
        <v>0.25925933298094456</v>
      </c>
      <c r="J43" s="21" cm="1">
        <f t="array" ref="J43">_xlfn.LET(_xlpm.id,mets[[#This Row],[name w/o location]],_xlpm.oldcoeff,mets[[#This Row],[normalized coeffs]],_xlpm.gam,$J$2-$G$2,_xlfn.IFS(IFERROR(MATCH(_xlpm.id,{"atp","h2o"},0),0)&gt;0,_xlpm.oldcoeff-_xlpm.gam,IFERROR(MATCH(_xlpm.id,{"adp","h","pi"},0),0)&gt;0,_xlpm.oldcoeff+_xlpm.gam,TRUE,_xlpm.oldcoeff))</f>
        <v>0.25925933298094456</v>
      </c>
      <c r="K43" t="str" cm="1">
        <f t="array" ref="K43">"BIOSYN-"&amp;_xlfn.IFS(IFERROR(MATCH(mets[[#This Row],[category]],{0,"0",""},0),0)&gt;0,mets[[#This Row],[name]],TRUE,mets[[#This Row],[category]]&amp;"-"&amp;mets[[#This Row],[name]])</f>
        <v>BIOSYN-ignore-trnalys_c</v>
      </c>
      <c r="L43" s="149" t="str" cm="1">
        <f t="array" ref="L43">IF(IsElementOfSet_DIY(mets[[#This Row],[category]],{"ignore","PROT"}),"",_xlfn.LET(_xlpm.mw,mets[[#This Row],[MW for biomass normalization (g/mol)]],"MET-"&amp;mets[[#This Row],[name]]&amp;" --&gt; "&amp;IF((mets[[#This Row],[category]]="DNA")+(mets[[#This Row],[category]]="RNA"),"MET-ppi_c + ","")&amp;ROUND(ABS(_xlpm.mw/1000),6)&amp;" BIO-"&amp;mets[[#This Row],[name]]))</f>
        <v/>
      </c>
      <c r="M43" s="149" cm="1">
        <f t="array" ref="M4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0.21266259090140119</v>
      </c>
      <c r="N43" s="149"/>
      <c r="O43" s="149"/>
      <c r="P43" s="149"/>
      <c r="Q43" s="149"/>
      <c r="R43" s="149"/>
      <c r="S43" s="149"/>
      <c r="T43" s="149"/>
      <c r="U43" s="149"/>
      <c r="V43" s="149"/>
      <c r="AB43" t="str">
        <v>BIOSYN-DNA-dctp_c</v>
      </c>
      <c r="AC43" t="str">
        <v>MET-dctp_c --&gt; MET-ppi_c + 0.288174 BIO-dctp_c</v>
      </c>
    </row>
    <row r="44" spans="1:29" ht="16" x14ac:dyDescent="0.2">
      <c r="A44" s="144" t="s">
        <v>1025</v>
      </c>
      <c r="B44" t="str">
        <f>SUBSTITUTE(_xlfn.TEXTBEFORE(mets[[#This Row],[pasted JSON metabolite keys and values from GSM biomass rxn]],":"),CHAR(34),"")</f>
        <v>trnamet_c</v>
      </c>
      <c r="C44" t="str">
        <f>_xlfn.TEXTBEFORE(mets[[#This Row],[name]],"_",-1)</f>
        <v>trnamet</v>
      </c>
      <c r="D44" t="str">
        <f>_xlfn.XLOOKUP(mets[[#This Row],[name w/o location]],metaboliteInfo[name w/o location],metaboliteInfo[suggested category],"")</f>
        <v>ignore</v>
      </c>
      <c r="E44" s="21">
        <f>_xlfn.XLOOKUP(mets[[#This Row],[name w/o location]],metaboliteInfo[name w/o location],metaboliteInfo[MW for biomass normalization (g/mol)],0)</f>
        <v>0</v>
      </c>
      <c r="F44" s="21">
        <f>_xlfn.NUMBERVALUE(SUBSTITUTE(_xlfn.TEXTAFTER(mets[[#This Row],[pasted JSON metabolite keys and values from GSM biomass rxn]],":"),",",""))</f>
        <v>4.5069999999999999E-2</v>
      </c>
      <c r="G44" s="21" cm="1">
        <f t="array" ref="G44">_xlfn.LET(_xlpm.id,mets[[#This Row],[name w/o location]],IF(IsElementOfSet_DIY(_xlpm.id,{"atp","adp","h","pi","h2o"}),SIGN(mets[[#This Row],[raw (GSM) coefficient]])*(ABS(mets[[#This Row],[raw (GSM) coefficient]])-$J$2),mets[[#This Row],[raw (GSM) coefficient]]))</f>
        <v>4.5069999999999999E-2</v>
      </c>
      <c r="H44" s="21">
        <f>mets[[#This Row],[coeff. w/o GAM]]</f>
        <v>4.5069999999999999E-2</v>
      </c>
      <c r="I44" s="161">
        <f t="shared" si="2"/>
        <v>4.4986075226093367E-2</v>
      </c>
      <c r="J44" s="21" cm="1">
        <f t="array" ref="J44">_xlfn.LET(_xlpm.id,mets[[#This Row],[name w/o location]],_xlpm.oldcoeff,mets[[#This Row],[normalized coeffs]],_xlpm.gam,$J$2-$G$2,_xlfn.IFS(IFERROR(MATCH(_xlpm.id,{"atp","h2o"},0),0)&gt;0,_xlpm.oldcoeff-_xlpm.gam,IFERROR(MATCH(_xlpm.id,{"adp","h","pi"},0),0)&gt;0,_xlpm.oldcoeff+_xlpm.gam,TRUE,_xlpm.oldcoeff))</f>
        <v>4.4986075226093367E-2</v>
      </c>
      <c r="K44" t="str" cm="1">
        <f t="array" ref="K44">"BIOSYN-"&amp;_xlfn.IFS(IFERROR(MATCH(mets[[#This Row],[category]],{0,"0",""},0),0)&gt;0,mets[[#This Row],[name]],TRUE,mets[[#This Row],[category]]&amp;"-"&amp;mets[[#This Row],[name]])</f>
        <v>BIOSYN-ignore-trnamet_c</v>
      </c>
      <c r="L44" s="149" t="str" cm="1">
        <f t="array" ref="L44">IF(IsElementOfSet_DIY(mets[[#This Row],[category]],{"ignore","PROT"}),"",_xlfn.LET(_xlpm.mw,mets[[#This Row],[MW for biomass normalization (g/mol)]],"MET-"&amp;mets[[#This Row],[name]]&amp;" --&gt; "&amp;IF((mets[[#This Row],[category]]="DNA")+(mets[[#This Row],[category]]="RNA"),"MET-ppi_c + ","")&amp;ROUND(ABS(_xlpm.mw/1000),6)&amp;" BIO-"&amp;mets[[#This Row],[name]]))</f>
        <v/>
      </c>
      <c r="M44" s="149" cm="1">
        <f t="array" ref="M4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3.6900717139349858E-2</v>
      </c>
      <c r="N44" s="149"/>
      <c r="O44" s="149"/>
      <c r="P44" s="149"/>
      <c r="Q44" s="149"/>
      <c r="R44" s="149"/>
      <c r="S44" s="149"/>
      <c r="T44" s="149"/>
      <c r="U44" s="149"/>
      <c r="V44" s="149"/>
      <c r="AB44" t="str">
        <v>BIOSYN-DNA-dgtp_c</v>
      </c>
      <c r="AC44" t="str">
        <v>MET-dgtp_c --&gt; MET-ppi_c + 0.328198 BIO-dgtp_c</v>
      </c>
    </row>
    <row r="45" spans="1:29" ht="16" x14ac:dyDescent="0.2">
      <c r="A45" s="144" t="s">
        <v>1026</v>
      </c>
      <c r="B45" t="str">
        <f>SUBSTITUTE(_xlfn.TEXTBEFORE(mets[[#This Row],[pasted JSON metabolite keys and values from GSM biomass rxn]],":"),CHAR(34),"")</f>
        <v>trnaphe_c</v>
      </c>
      <c r="C45" t="str">
        <f>_xlfn.TEXTBEFORE(mets[[#This Row],[name]],"_",-1)</f>
        <v>trnaphe</v>
      </c>
      <c r="D45" t="str">
        <f>_xlfn.XLOOKUP(mets[[#This Row],[name w/o location]],metaboliteInfo[name w/o location],metaboliteInfo[suggested category],"")</f>
        <v>ignore</v>
      </c>
      <c r="E45" s="21">
        <f>_xlfn.XLOOKUP(mets[[#This Row],[name w/o location]],metaboliteInfo[name w/o location],metaboliteInfo[MW for biomass normalization (g/mol)],0)</f>
        <v>0</v>
      </c>
      <c r="F45" s="21">
        <f>_xlfn.NUMBERVALUE(SUBSTITUTE(_xlfn.TEXTAFTER(mets[[#This Row],[pasted JSON metabolite keys and values from GSM biomass rxn]],":"),",",""))</f>
        <v>0.14865100000000001</v>
      </c>
      <c r="G45" s="21" cm="1">
        <f t="array" ref="G45">_xlfn.LET(_xlpm.id,mets[[#This Row],[name w/o location]],IF(IsElementOfSet_DIY(_xlpm.id,{"atp","adp","h","pi","h2o"}),SIGN(mets[[#This Row],[raw (GSM) coefficient]])*(ABS(mets[[#This Row],[raw (GSM) coefficient]])-$J$2),mets[[#This Row],[raw (GSM) coefficient]]))</f>
        <v>0.14865100000000001</v>
      </c>
      <c r="H45" s="21">
        <f>mets[[#This Row],[coeff. w/o GAM]]</f>
        <v>0.14865100000000001</v>
      </c>
      <c r="I45" s="161">
        <f t="shared" si="2"/>
        <v>0.14837419721397838</v>
      </c>
      <c r="J45" s="21" cm="1">
        <f t="array" ref="J45">_xlfn.LET(_xlpm.id,mets[[#This Row],[name w/o location]],_xlpm.oldcoeff,mets[[#This Row],[normalized coeffs]],_xlpm.gam,$J$2-$G$2,_xlfn.IFS(IFERROR(MATCH(_xlpm.id,{"atp","h2o"},0),0)&gt;0,_xlpm.oldcoeff-_xlpm.gam,IFERROR(MATCH(_xlpm.id,{"adp","h","pi"},0),0)&gt;0,_xlpm.oldcoeff+_xlpm.gam,TRUE,_xlpm.oldcoeff))</f>
        <v>0.14837419721397838</v>
      </c>
      <c r="K45" t="str" cm="1">
        <f t="array" ref="K45">"BIOSYN-"&amp;_xlfn.IFS(IFERROR(MATCH(mets[[#This Row],[category]],{0,"0",""},0),0)&gt;0,mets[[#This Row],[name]],TRUE,mets[[#This Row],[category]]&amp;"-"&amp;mets[[#This Row],[name]])</f>
        <v>BIOSYN-ignore-trnaphe_c</v>
      </c>
      <c r="L45" s="149" t="str" cm="1">
        <f t="array" ref="L45">IF(IsElementOfSet_DIY(mets[[#This Row],[category]],{"ignore","PROT"}),"",_xlfn.LET(_xlpm.mw,mets[[#This Row],[MW for biomass normalization (g/mol)]],"MET-"&amp;mets[[#This Row],[name]]&amp;" --&gt; "&amp;IF((mets[[#This Row],[category]]="DNA")+(mets[[#This Row],[category]]="RNA"),"MET-ppi_c + ","")&amp;ROUND(ABS(_xlpm.mw/1000),6)&amp;" BIO-"&amp;mets[[#This Row],[name]]))</f>
        <v/>
      </c>
      <c r="M45" s="149" cm="1">
        <f t="array" ref="M4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0.12170686717287545</v>
      </c>
      <c r="N45" s="149"/>
      <c r="O45" s="149"/>
      <c r="P45" s="149"/>
      <c r="Q45" s="149"/>
      <c r="R45" s="149"/>
      <c r="S45" s="149"/>
      <c r="T45" s="149"/>
      <c r="U45" s="149"/>
      <c r="V45" s="149"/>
      <c r="AB45" t="str">
        <v>BIOSYN-DNA-dttp_c</v>
      </c>
      <c r="AC45" t="str">
        <v>MET-dttp_c --&gt; MET-ppi_c + 0.303185 BIO-dttp_c</v>
      </c>
    </row>
    <row r="46" spans="1:29" ht="16" x14ac:dyDescent="0.2">
      <c r="A46" s="144" t="s">
        <v>1027</v>
      </c>
      <c r="B46" t="str">
        <f>SUBSTITUTE(_xlfn.TEXTBEFORE(mets[[#This Row],[pasted JSON metabolite keys and values from GSM biomass rxn]],":"),CHAR(34),"")</f>
        <v>trnapro_c</v>
      </c>
      <c r="C46" t="str">
        <f>_xlfn.TEXTBEFORE(mets[[#This Row],[name]],"_",-1)</f>
        <v>trnapro</v>
      </c>
      <c r="D46" t="str">
        <f>_xlfn.XLOOKUP(mets[[#This Row],[name w/o location]],metaboliteInfo[name w/o location],metaboliteInfo[suggested category],"")</f>
        <v>ignore</v>
      </c>
      <c r="E46" s="21">
        <f>_xlfn.XLOOKUP(mets[[#This Row],[name w/o location]],metaboliteInfo[name w/o location],metaboliteInfo[MW for biomass normalization (g/mol)],0)</f>
        <v>0</v>
      </c>
      <c r="F46" s="21">
        <f>_xlfn.NUMBERVALUE(SUBSTITUTE(_xlfn.TEXTAFTER(mets[[#This Row],[pasted JSON metabolite keys and values from GSM biomass rxn]],":"),",",""))</f>
        <v>0.16683700000000001</v>
      </c>
      <c r="G46" s="21" cm="1">
        <f t="array" ref="G46">_xlfn.LET(_xlpm.id,mets[[#This Row],[name w/o location]],IF(IsElementOfSet_DIY(_xlpm.id,{"atp","adp","h","pi","h2o"}),SIGN(mets[[#This Row],[raw (GSM) coefficient]])*(ABS(mets[[#This Row],[raw (GSM) coefficient]])-$J$2),mets[[#This Row],[raw (GSM) coefficient]]))</f>
        <v>0.16683700000000001</v>
      </c>
      <c r="H46" s="21">
        <f>mets[[#This Row],[coeff. w/o GAM]]</f>
        <v>0.16683700000000001</v>
      </c>
      <c r="I46" s="161">
        <f t="shared" si="2"/>
        <v>0.16652633309287199</v>
      </c>
      <c r="J46" s="21" cm="1">
        <f t="array" ref="J46">_xlfn.LET(_xlpm.id,mets[[#This Row],[name w/o location]],_xlpm.oldcoeff,mets[[#This Row],[normalized coeffs]],_xlpm.gam,$J$2-$G$2,_xlfn.IFS(IFERROR(MATCH(_xlpm.id,{"atp","h2o"},0),0)&gt;0,_xlpm.oldcoeff-_xlpm.gam,IFERROR(MATCH(_xlpm.id,{"adp","h","pi"},0),0)&gt;0,_xlpm.oldcoeff+_xlpm.gam,TRUE,_xlpm.oldcoeff))</f>
        <v>0.16652633309287199</v>
      </c>
      <c r="K46" t="str" cm="1">
        <f t="array" ref="K46">"BIOSYN-"&amp;_xlfn.IFS(IFERROR(MATCH(mets[[#This Row],[category]],{0,"0",""},0),0)&gt;0,mets[[#This Row],[name]],TRUE,mets[[#This Row],[category]]&amp;"-"&amp;mets[[#This Row],[name]])</f>
        <v>BIOSYN-ignore-trnapro_c</v>
      </c>
      <c r="L46" s="149" t="str" cm="1">
        <f t="array" ref="L46">IF(IsElementOfSet_DIY(mets[[#This Row],[category]],{"ignore","PROT"}),"",_xlfn.LET(_xlpm.mw,mets[[#This Row],[MW for biomass normalization (g/mol)]],"MET-"&amp;mets[[#This Row],[name]]&amp;" --&gt; "&amp;IF((mets[[#This Row],[category]]="DNA")+(mets[[#This Row],[category]]="RNA"),"MET-ppi_c + ","")&amp;ROUND(ABS(_xlpm.mw/1000),6)&amp;" BIO-"&amp;mets[[#This Row],[name]]))</f>
        <v/>
      </c>
      <c r="M46" s="149" cm="1">
        <f t="array" ref="M4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0.13659651531789913</v>
      </c>
      <c r="N46" s="149"/>
      <c r="O46" s="149"/>
      <c r="P46" s="149"/>
      <c r="Q46" s="149"/>
      <c r="R46" s="149"/>
      <c r="S46" s="149"/>
      <c r="T46" s="149"/>
      <c r="U46" s="149"/>
      <c r="V46" s="149"/>
      <c r="AB46" t="str">
        <v>BIOSYN-LIPID-docosa_c</v>
      </c>
      <c r="AC46" t="str">
        <v>MET-docosa_c --&gt; 0.339575 BIO-docosa_c</v>
      </c>
    </row>
    <row r="47" spans="1:29" ht="16" x14ac:dyDescent="0.2">
      <c r="A47" s="144" t="s">
        <v>1028</v>
      </c>
      <c r="B47" t="str">
        <f>SUBSTITUTE(_xlfn.TEXTBEFORE(mets[[#This Row],[pasted JSON metabolite keys and values from GSM biomass rxn]],":"),CHAR(34),"")</f>
        <v>trnaser_c</v>
      </c>
      <c r="C47" t="str">
        <f>_xlfn.TEXTBEFORE(mets[[#This Row],[name]],"_",-1)</f>
        <v>trnaser</v>
      </c>
      <c r="D47" t="str">
        <f>_xlfn.XLOOKUP(mets[[#This Row],[name w/o location]],metaboliteInfo[name w/o location],metaboliteInfo[suggested category],"")</f>
        <v>ignore</v>
      </c>
      <c r="E47" s="21">
        <f>_xlfn.XLOOKUP(mets[[#This Row],[name w/o location]],metaboliteInfo[name w/o location],metaboliteInfo[MW for biomass normalization (g/mol)],0)</f>
        <v>0</v>
      </c>
      <c r="F47" s="21">
        <f>_xlfn.NUMBERVALUE(SUBSTITUTE(_xlfn.TEXTAFTER(mets[[#This Row],[pasted JSON metabolite keys and values from GSM biomass rxn]],":"),",",""))</f>
        <v>0.21071999999999999</v>
      </c>
      <c r="G47" s="21" cm="1">
        <f t="array" ref="G47">_xlfn.LET(_xlpm.id,mets[[#This Row],[name w/o location]],IF(IsElementOfSet_DIY(_xlpm.id,{"atp","adp","h","pi","h2o"}),SIGN(mets[[#This Row],[raw (GSM) coefficient]])*(ABS(mets[[#This Row],[raw (GSM) coefficient]])-$J$2),mets[[#This Row],[raw (GSM) coefficient]]))</f>
        <v>0.21071999999999999</v>
      </c>
      <c r="H47" s="21">
        <f>mets[[#This Row],[coeff. w/o GAM]]</f>
        <v>0.21071999999999999</v>
      </c>
      <c r="I47" s="161">
        <f t="shared" si="2"/>
        <v>0.21032761862974028</v>
      </c>
      <c r="J47" s="21" cm="1">
        <f t="array" ref="J47">_xlfn.LET(_xlpm.id,mets[[#This Row],[name w/o location]],_xlpm.oldcoeff,mets[[#This Row],[normalized coeffs]],_xlpm.gam,$J$2-$G$2,_xlfn.IFS(IFERROR(MATCH(_xlpm.id,{"atp","h2o"},0),0)&gt;0,_xlpm.oldcoeff-_xlpm.gam,IFERROR(MATCH(_xlpm.id,{"adp","h","pi"},0),0)&gt;0,_xlpm.oldcoeff+_xlpm.gam,TRUE,_xlpm.oldcoeff))</f>
        <v>0.21032761862974028</v>
      </c>
      <c r="K47" t="str" cm="1">
        <f t="array" ref="K47">"BIOSYN-"&amp;_xlfn.IFS(IFERROR(MATCH(mets[[#This Row],[category]],{0,"0",""},0),0)&gt;0,mets[[#This Row],[name]],TRUE,mets[[#This Row],[category]]&amp;"-"&amp;mets[[#This Row],[name]])</f>
        <v>BIOSYN-ignore-trnaser_c</v>
      </c>
      <c r="L47" s="149" t="str" cm="1">
        <f t="array" ref="L47">IF(IsElementOfSet_DIY(mets[[#This Row],[category]],{"ignore","PROT"}),"",_xlfn.LET(_xlpm.mw,mets[[#This Row],[MW for biomass normalization (g/mol)]],"MET-"&amp;mets[[#This Row],[name]]&amp;" --&gt; "&amp;IF((mets[[#This Row],[category]]="DNA")+(mets[[#This Row],[category]]="RNA"),"MET-ppi_c + ","")&amp;ROUND(ABS(_xlpm.mw/1000),6)&amp;" BIO-"&amp;mets[[#This Row],[name]]))</f>
        <v/>
      </c>
      <c r="M47" s="149" cm="1">
        <f t="array" ref="M4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0.17252538530294659</v>
      </c>
      <c r="N47" s="149"/>
      <c r="O47" s="149"/>
      <c r="P47" s="149"/>
      <c r="Q47" s="149"/>
      <c r="R47" s="149"/>
      <c r="S47" s="149"/>
      <c r="T47" s="149"/>
      <c r="U47" s="149"/>
      <c r="V47" s="149"/>
      <c r="AB47" t="str">
        <v>BIOSYN-LIPID-epist_c</v>
      </c>
      <c r="AC47" t="str">
        <v>MET-epist_c --&gt; 0.398664 BIO-epist_c</v>
      </c>
    </row>
    <row r="48" spans="1:29" ht="16" x14ac:dyDescent="0.2">
      <c r="A48" s="144" t="s">
        <v>1029</v>
      </c>
      <c r="B48" t="str">
        <f>SUBSTITUTE(_xlfn.TEXTBEFORE(mets[[#This Row],[pasted JSON metabolite keys and values from GSM biomass rxn]],":"),CHAR(34),"")</f>
        <v>trnathr_c</v>
      </c>
      <c r="C48" t="str">
        <f>_xlfn.TEXTBEFORE(mets[[#This Row],[name]],"_",-1)</f>
        <v>trnathr</v>
      </c>
      <c r="D48" t="str">
        <f>_xlfn.XLOOKUP(mets[[#This Row],[name w/o location]],metaboliteInfo[name w/o location],metaboliteInfo[suggested category],"")</f>
        <v>ignore</v>
      </c>
      <c r="E48" s="21">
        <f>_xlfn.XLOOKUP(mets[[#This Row],[name w/o location]],metaboliteInfo[name w/o location],metaboliteInfo[MW for biomass normalization (g/mol)],0)</f>
        <v>0</v>
      </c>
      <c r="F48" s="21">
        <f>_xlfn.NUMBERVALUE(SUBSTITUTE(_xlfn.TEXTAFTER(mets[[#This Row],[pasted JSON metabolite keys and values from GSM biomass rxn]],":"),",",""))</f>
        <v>0.22020899999999999</v>
      </c>
      <c r="G48" s="21" cm="1">
        <f t="array" ref="G48">_xlfn.LET(_xlpm.id,mets[[#This Row],[name w/o location]],IF(IsElementOfSet_DIY(_xlpm.id,{"atp","adp","h","pi","h2o"}),SIGN(mets[[#This Row],[raw (GSM) coefficient]])*(ABS(mets[[#This Row],[raw (GSM) coefficient]])-$J$2),mets[[#This Row],[raw (GSM) coefficient]]))</f>
        <v>0.22020899999999999</v>
      </c>
      <c r="H48" s="21">
        <f>mets[[#This Row],[coeff. w/o GAM]]</f>
        <v>0.22020899999999999</v>
      </c>
      <c r="I48" s="161">
        <f t="shared" si="2"/>
        <v>0.21979894917822929</v>
      </c>
      <c r="J48" s="21" cm="1">
        <f t="array" ref="J48">_xlfn.LET(_xlpm.id,mets[[#This Row],[name w/o location]],_xlpm.oldcoeff,mets[[#This Row],[normalized coeffs]],_xlpm.gam,$J$2-$G$2,_xlfn.IFS(IFERROR(MATCH(_xlpm.id,{"atp","h2o"},0),0)&gt;0,_xlpm.oldcoeff-_xlpm.gam,IFERROR(MATCH(_xlpm.id,{"adp","h","pi"},0),0)&gt;0,_xlpm.oldcoeff+_xlpm.gam,TRUE,_xlpm.oldcoeff))</f>
        <v>0.21979894917822929</v>
      </c>
      <c r="K48" t="str" cm="1">
        <f t="array" ref="K48">"BIOSYN-"&amp;_xlfn.IFS(IFERROR(MATCH(mets[[#This Row],[category]],{0,"0",""},0),0)&gt;0,mets[[#This Row],[name]],TRUE,mets[[#This Row],[category]]&amp;"-"&amp;mets[[#This Row],[name]])</f>
        <v>BIOSYN-ignore-trnathr_c</v>
      </c>
      <c r="L48" s="149" t="str" cm="1">
        <f t="array" ref="L48">IF(IsElementOfSet_DIY(mets[[#This Row],[category]],{"ignore","PROT"}),"",_xlfn.LET(_xlpm.mw,mets[[#This Row],[MW for biomass normalization (g/mol)]],"MET-"&amp;mets[[#This Row],[name]]&amp;" --&gt; "&amp;IF((mets[[#This Row],[category]]="DNA")+(mets[[#This Row],[category]]="RNA"),"MET-ppi_c + ","")&amp;ROUND(ABS(_xlpm.mw/1000),6)&amp;" BIO-"&amp;mets[[#This Row],[name]]))</f>
        <v/>
      </c>
      <c r="M48" s="149" cm="1">
        <f t="array" ref="M4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0.18029443134100495</v>
      </c>
      <c r="N48" s="149"/>
      <c r="O48" s="149"/>
      <c r="P48" s="149"/>
      <c r="Q48" s="149"/>
      <c r="R48" s="149"/>
      <c r="S48" s="149"/>
      <c r="T48" s="149"/>
      <c r="U48" s="149"/>
      <c r="V48" s="149"/>
      <c r="AB48" t="str">
        <v>BIOSYN-LIPID-hdca_c</v>
      </c>
      <c r="AC48" t="str">
        <v>MET-hdca_c --&gt; 0.255415 BIO-hdca_c</v>
      </c>
    </row>
    <row r="49" spans="1:29" ht="16" x14ac:dyDescent="0.2">
      <c r="A49" s="144" t="s">
        <v>1030</v>
      </c>
      <c r="B49" t="str">
        <f>SUBSTITUTE(_xlfn.TEXTBEFORE(mets[[#This Row],[pasted JSON metabolite keys and values from GSM biomass rxn]],":"),CHAR(34),"")</f>
        <v>trnatrp_c</v>
      </c>
      <c r="C49" t="str">
        <f>_xlfn.TEXTBEFORE(mets[[#This Row],[name]],"_",-1)</f>
        <v>trnatrp</v>
      </c>
      <c r="D49" t="str">
        <f>_xlfn.XLOOKUP(mets[[#This Row],[name w/o location]],metaboliteInfo[name w/o location],metaboliteInfo[suggested category],"")</f>
        <v>ignore</v>
      </c>
      <c r="E49" s="21">
        <f>_xlfn.XLOOKUP(mets[[#This Row],[name w/o location]],metaboliteInfo[name w/o location],metaboliteInfo[MW for biomass normalization (g/mol)],0)</f>
        <v>0</v>
      </c>
      <c r="F49" s="21">
        <f>_xlfn.NUMBERVALUE(SUBSTITUTE(_xlfn.TEXTAFTER(mets[[#This Row],[pasted JSON metabolite keys and values from GSM biomass rxn]],":"),",",""))</f>
        <v>2.5697999999999999E-2</v>
      </c>
      <c r="G49" s="21" cm="1">
        <f t="array" ref="G49">_xlfn.LET(_xlpm.id,mets[[#This Row],[name w/o location]],IF(IsElementOfSet_DIY(_xlpm.id,{"atp","adp","h","pi","h2o"}),SIGN(mets[[#This Row],[raw (GSM) coefficient]])*(ABS(mets[[#This Row],[raw (GSM) coefficient]])-$J$2),mets[[#This Row],[raw (GSM) coefficient]]))</f>
        <v>2.5697999999999999E-2</v>
      </c>
      <c r="H49" s="21">
        <f>mets[[#This Row],[coeff. w/o GAM]]</f>
        <v>2.5697999999999999E-2</v>
      </c>
      <c r="I49" s="161">
        <f t="shared" si="2"/>
        <v>2.5650147795876356E-2</v>
      </c>
      <c r="J49" s="21" cm="1">
        <f t="array" ref="J49">_xlfn.LET(_xlpm.id,mets[[#This Row],[name w/o location]],_xlpm.oldcoeff,mets[[#This Row],[normalized coeffs]],_xlpm.gam,$J$2-$G$2,_xlfn.IFS(IFERROR(MATCH(_xlpm.id,{"atp","h2o"},0),0)&gt;0,_xlpm.oldcoeff-_xlpm.gam,IFERROR(MATCH(_xlpm.id,{"adp","h","pi"},0),0)&gt;0,_xlpm.oldcoeff+_xlpm.gam,TRUE,_xlpm.oldcoeff))</f>
        <v>2.5650147795876356E-2</v>
      </c>
      <c r="K49" t="str" cm="1">
        <f t="array" ref="K49">"BIOSYN-"&amp;_xlfn.IFS(IFERROR(MATCH(mets[[#This Row],[category]],{0,"0",""},0),0)&gt;0,mets[[#This Row],[name]],TRUE,mets[[#This Row],[category]]&amp;"-"&amp;mets[[#This Row],[name]])</f>
        <v>BIOSYN-ignore-trnatrp_c</v>
      </c>
      <c r="L49" s="149" t="str" cm="1">
        <f t="array" ref="L49">IF(IsElementOfSet_DIY(mets[[#This Row],[category]],{"ignore","PROT"}),"",_xlfn.LET(_xlpm.mw,mets[[#This Row],[MW for biomass normalization (g/mol)]],"MET-"&amp;mets[[#This Row],[name]]&amp;" --&gt; "&amp;IF((mets[[#This Row],[category]]="DNA")+(mets[[#This Row],[category]]="RNA"),"MET-ppi_c + ","")&amp;ROUND(ABS(_xlpm.mw/1000),6)&amp;" BIO-"&amp;mets[[#This Row],[name]]))</f>
        <v/>
      </c>
      <c r="M49" s="149" cm="1">
        <f t="array" ref="M4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2.1040040582361055E-2</v>
      </c>
      <c r="N49" s="149"/>
      <c r="O49" s="149"/>
      <c r="P49" s="149"/>
      <c r="Q49" s="149"/>
      <c r="R49" s="149"/>
      <c r="S49" s="149"/>
      <c r="T49" s="149"/>
      <c r="U49" s="149"/>
      <c r="V49" s="149"/>
      <c r="AB49" t="str">
        <v>BIOSYN-LIPID-ipc_g</v>
      </c>
      <c r="AC49" t="str">
        <v>MET-ipc_g --&gt; 0.915263 BIO-ipc_g</v>
      </c>
    </row>
    <row r="50" spans="1:29" ht="16" x14ac:dyDescent="0.2">
      <c r="A50" s="144" t="s">
        <v>1031</v>
      </c>
      <c r="B50" t="str">
        <f>SUBSTITUTE(_xlfn.TEXTBEFORE(mets[[#This Row],[pasted JSON metabolite keys and values from GSM biomass rxn]],":"),CHAR(34),"")</f>
        <v>trnatyr_c</v>
      </c>
      <c r="C50" t="str">
        <f>_xlfn.TEXTBEFORE(mets[[#This Row],[name]],"_",-1)</f>
        <v>trnatyr</v>
      </c>
      <c r="D50" t="str">
        <f>_xlfn.XLOOKUP(mets[[#This Row],[name w/o location]],metaboliteInfo[name w/o location],metaboliteInfo[suggested category],"")</f>
        <v>ignore</v>
      </c>
      <c r="E50" s="21">
        <f>_xlfn.XLOOKUP(mets[[#This Row],[name w/o location]],metaboliteInfo[name w/o location],metaboliteInfo[MW for biomass normalization (g/mol)],0)</f>
        <v>0</v>
      </c>
      <c r="F50" s="21">
        <f>_xlfn.NUMBERVALUE(SUBSTITUTE(_xlfn.TEXTAFTER(mets[[#This Row],[pasted JSON metabolite keys and values from GSM biomass rxn]],":"),",",""))</f>
        <v>7.7488000000000001E-2</v>
      </c>
      <c r="G50" s="21" cm="1">
        <f t="array" ref="G50">_xlfn.LET(_xlpm.id,mets[[#This Row],[name w/o location]],IF(IsElementOfSet_DIY(_xlpm.id,{"atp","adp","h","pi","h2o"}),SIGN(mets[[#This Row],[raw (GSM) coefficient]])*(ABS(mets[[#This Row],[raw (GSM) coefficient]])-$J$2),mets[[#This Row],[raw (GSM) coefficient]]))</f>
        <v>7.7488000000000001E-2</v>
      </c>
      <c r="H50" s="21">
        <f>mets[[#This Row],[coeff. w/o GAM]]</f>
        <v>7.7488000000000001E-2</v>
      </c>
      <c r="I50" s="161">
        <f t="shared" si="2"/>
        <v>7.7343709720868056E-2</v>
      </c>
      <c r="J50" s="21" cm="1">
        <f t="array" ref="J50">_xlfn.LET(_xlpm.id,mets[[#This Row],[name w/o location]],_xlpm.oldcoeff,mets[[#This Row],[normalized coeffs]],_xlpm.gam,$J$2-$G$2,_xlfn.IFS(IFERROR(MATCH(_xlpm.id,{"atp","h2o"},0),0)&gt;0,_xlpm.oldcoeff-_xlpm.gam,IFERROR(MATCH(_xlpm.id,{"adp","h","pi"},0),0)&gt;0,_xlpm.oldcoeff+_xlpm.gam,TRUE,_xlpm.oldcoeff))</f>
        <v>7.7343709720868056E-2</v>
      </c>
      <c r="K50" t="str" cm="1">
        <f t="array" ref="K50">"BIOSYN-"&amp;_xlfn.IFS(IFERROR(MATCH(mets[[#This Row],[category]],{0,"0",""},0),0)&gt;0,mets[[#This Row],[name]],TRUE,mets[[#This Row],[category]]&amp;"-"&amp;mets[[#This Row],[name]])</f>
        <v>BIOSYN-ignore-trnatyr_c</v>
      </c>
      <c r="L50" s="149" t="str" cm="1">
        <f t="array" ref="L50">IF(IsElementOfSet_DIY(mets[[#This Row],[category]],{"ignore","PROT"}),"",_xlfn.LET(_xlpm.mw,mets[[#This Row],[MW for biomass normalization (g/mol)]],"MET-"&amp;mets[[#This Row],[name]]&amp;" --&gt; "&amp;IF((mets[[#This Row],[category]]="DNA")+(mets[[#This Row],[category]]="RNA"),"MET-ppi_c + ","")&amp;ROUND(ABS(_xlpm.mw/1000),6)&amp;" BIO-"&amp;mets[[#This Row],[name]]))</f>
        <v/>
      </c>
      <c r="M50" s="149" cm="1">
        <f t="array" ref="M5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6.3442706227955226E-2</v>
      </c>
      <c r="N50" s="149"/>
      <c r="O50" s="149"/>
      <c r="P50" s="149"/>
      <c r="Q50" s="149"/>
      <c r="R50" s="149"/>
      <c r="S50" s="149"/>
      <c r="T50" s="149"/>
      <c r="U50" s="149"/>
      <c r="V50" s="149"/>
      <c r="AB50" t="str">
        <v>BIOSYN-LIPID-linoea_c</v>
      </c>
      <c r="AC50" t="str">
        <v>MET-linoea_c --&gt; 0.279437 BIO-linoea_c</v>
      </c>
    </row>
    <row r="51" spans="1:29" ht="16" x14ac:dyDescent="0.2">
      <c r="A51" s="144" t="s">
        <v>1032</v>
      </c>
      <c r="B51" t="str">
        <f>SUBSTITUTE(_xlfn.TEXTBEFORE(mets[[#This Row],[pasted JSON metabolite keys and values from GSM biomass rxn]],":"),CHAR(34),"")</f>
        <v>trnaval_c</v>
      </c>
      <c r="C51" t="str">
        <f>_xlfn.TEXTBEFORE(mets[[#This Row],[name]],"_",-1)</f>
        <v>trnaval</v>
      </c>
      <c r="D51" t="str">
        <f>_xlfn.XLOOKUP(mets[[#This Row],[name w/o location]],metaboliteInfo[name w/o location],metaboliteInfo[suggested category],"")</f>
        <v>ignore</v>
      </c>
      <c r="E51" s="21">
        <f>_xlfn.XLOOKUP(mets[[#This Row],[name w/o location]],metaboliteInfo[name w/o location],metaboliteInfo[MW for biomass normalization (g/mol)],0)</f>
        <v>0</v>
      </c>
      <c r="F51" s="21">
        <f>_xlfn.NUMBERVALUE(SUBSTITUTE(_xlfn.TEXTAFTER(mets[[#This Row],[pasted JSON metabolite keys and values from GSM biomass rxn]],":"),",",""))</f>
        <v>0.28978999999999999</v>
      </c>
      <c r="G51" s="21" cm="1">
        <f t="array" ref="G51">_xlfn.LET(_xlpm.id,mets[[#This Row],[name w/o location]],IF(IsElementOfSet_DIY(_xlpm.id,{"atp","adp","h","pi","h2o"}),SIGN(mets[[#This Row],[raw (GSM) coefficient]])*(ABS(mets[[#This Row],[raw (GSM) coefficient]])-$J$2),mets[[#This Row],[raw (GSM) coefficient]]))</f>
        <v>0.28978999999999999</v>
      </c>
      <c r="H51" s="21">
        <f>mets[[#This Row],[coeff. w/o GAM]]</f>
        <v>0.28978999999999999</v>
      </c>
      <c r="I51" s="161">
        <f t="shared" si="2"/>
        <v>0.28925038251097396</v>
      </c>
      <c r="J51" s="21" cm="1">
        <f t="array" ref="J51">_xlfn.LET(_xlpm.id,mets[[#This Row],[name w/o location]],_xlpm.oldcoeff,mets[[#This Row],[normalized coeffs]],_xlpm.gam,$J$2-$G$2,_xlfn.IFS(IFERROR(MATCH(_xlpm.id,{"atp","h2o"},0),0)&gt;0,_xlpm.oldcoeff-_xlpm.gam,IFERROR(MATCH(_xlpm.id,{"adp","h","pi"},0),0)&gt;0,_xlpm.oldcoeff+_xlpm.gam,TRUE,_xlpm.oldcoeff))</f>
        <v>0.28925038251097396</v>
      </c>
      <c r="K51" t="str" cm="1">
        <f t="array" ref="K51">"BIOSYN-"&amp;_xlfn.IFS(IFERROR(MATCH(mets[[#This Row],[category]],{0,"0",""},0),0)&gt;0,mets[[#This Row],[name]],TRUE,mets[[#This Row],[category]]&amp;"-"&amp;mets[[#This Row],[name]])</f>
        <v>BIOSYN-ignore-trnaval_c</v>
      </c>
      <c r="L51" s="149" t="str" cm="1">
        <f t="array" ref="L51">IF(IsElementOfSet_DIY(mets[[#This Row],[category]],{"ignore","PROT"}),"",_xlfn.LET(_xlpm.mw,mets[[#This Row],[MW for biomass normalization (g/mol)]],"MET-"&amp;mets[[#This Row],[name]]&amp;" --&gt; "&amp;IF((mets[[#This Row],[category]]="DNA")+(mets[[#This Row],[category]]="RNA"),"MET-ppi_c + ","")&amp;ROUND(ABS(_xlpm.mw/1000),6)&amp;" BIO-"&amp;mets[[#This Row],[name]]))</f>
        <v/>
      </c>
      <c r="M51" s="149" cm="1">
        <f t="array" ref="M5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0.23726334190841347</v>
      </c>
      <c r="N51" s="149"/>
      <c r="O51" s="149"/>
      <c r="P51" s="149"/>
      <c r="Q51" s="149"/>
      <c r="R51" s="149"/>
      <c r="S51" s="149"/>
      <c r="T51" s="149"/>
      <c r="U51" s="149"/>
      <c r="V51" s="149"/>
      <c r="AB51" t="str">
        <v>BIOSYN-LIPID-linolen_c</v>
      </c>
      <c r="AC51" t="str">
        <v>MET-linolen_c --&gt; 0.277421 BIO-linolen_c</v>
      </c>
    </row>
    <row r="52" spans="1:29" ht="16" x14ac:dyDescent="0.2">
      <c r="A52" s="144" t="s">
        <v>971</v>
      </c>
      <c r="B52" t="str">
        <f>SUBSTITUTE(_xlfn.TEXTBEFORE(mets[[#This Row],[pasted JSON metabolite keys and values from GSM biomass rxn]],":"),CHAR(34),"")</f>
        <v>docosa_c</v>
      </c>
      <c r="C52" t="str">
        <f>_xlfn.TEXTBEFORE(mets[[#This Row],[name]],"_",-1)</f>
        <v>docosa</v>
      </c>
      <c r="D52" t="str">
        <f>_xlfn.XLOOKUP(mets[[#This Row],[name w/o location]],metaboliteInfo[name w/o location],metaboliteInfo[suggested category],"")</f>
        <v>LIPID</v>
      </c>
      <c r="E52" s="21">
        <f>_xlfn.XLOOKUP(mets[[#This Row],[name w/o location]],metaboliteInfo[name w/o location],metaboliteInfo[MW for biomass normalization (g/mol)],0)</f>
        <v>339.57481999999999</v>
      </c>
      <c r="F52" s="21">
        <f>_xlfn.NUMBERVALUE(SUBSTITUTE(_xlfn.TEXTAFTER(mets[[#This Row],[pasted JSON metabolite keys and values from GSM biomass rxn]],":"),",",""))</f>
        <v>-4.1E-5</v>
      </c>
      <c r="G52" s="21" cm="1">
        <f t="array" ref="G52">_xlfn.LET(_xlpm.id,mets[[#This Row],[name w/o location]],IF(IsElementOfSet_DIY(_xlpm.id,{"atp","adp","h","pi","h2o"}),SIGN(mets[[#This Row],[raw (GSM) coefficient]])*(ABS(mets[[#This Row],[raw (GSM) coefficient]])-$J$2),mets[[#This Row],[raw (GSM) coefficient]]))</f>
        <v>-4.1E-5</v>
      </c>
      <c r="H52" s="21">
        <f>mets[[#This Row],[coeff. w/o GAM]]</f>
        <v>-4.1E-5</v>
      </c>
      <c r="I52" s="161">
        <f t="shared" si="2"/>
        <v>-4.0923653966492749E-5</v>
      </c>
      <c r="J52" s="21" cm="1">
        <f t="array" ref="J52">_xlfn.LET(_xlpm.id,mets[[#This Row],[name w/o location]],_xlpm.oldcoeff,mets[[#This Row],[normalized coeffs]],_xlpm.gam,$J$2-$G$2,_xlfn.IFS(IFERROR(MATCH(_xlpm.id,{"atp","h2o"},0),0)&gt;0,_xlpm.oldcoeff-_xlpm.gam,IFERROR(MATCH(_xlpm.id,{"adp","h","pi"},0),0)&gt;0,_xlpm.oldcoeff+_xlpm.gam,TRUE,_xlpm.oldcoeff))</f>
        <v>-4.0923653966492749E-5</v>
      </c>
      <c r="K52" t="str" cm="1">
        <f t="array" ref="K52">"BIOSYN-"&amp;_xlfn.IFS(IFERROR(MATCH(mets[[#This Row],[category]],{0,"0",""},0),0)&gt;0,mets[[#This Row],[name]],TRUE,mets[[#This Row],[category]]&amp;"-"&amp;mets[[#This Row],[name]])</f>
        <v>BIOSYN-LIPID-docosa_c</v>
      </c>
      <c r="L52" s="149" t="str" cm="1">
        <f t="array" ref="L52">IF(IsElementOfSet_DIY(mets[[#This Row],[category]],{"ignore","PROT"}),"",_xlfn.LET(_xlpm.mw,mets[[#This Row],[MW for biomass normalization (g/mol)]],"MET-"&amp;mets[[#This Row],[name]]&amp;" --&gt; "&amp;IF((mets[[#This Row],[category]]="DNA")+(mets[[#This Row],[category]]="RNA"),"MET-ppi_c + ","")&amp;ROUND(ABS(_xlpm.mw/1000),6)&amp;" BIO-"&amp;mets[[#This Row],[name]]))</f>
        <v>MET-docosa_c --&gt; 0.339575 BIO-docosa_c</v>
      </c>
      <c r="M52" s="149" cm="1">
        <f t="array" ref="M5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-2.9086725722397249E-5</v>
      </c>
      <c r="N52" s="149"/>
      <c r="O52" s="149"/>
      <c r="P52" s="149"/>
      <c r="Q52" s="149"/>
      <c r="R52" s="149"/>
      <c r="S52" s="149"/>
      <c r="T52" s="149"/>
      <c r="U52" s="149"/>
      <c r="V52" s="149"/>
      <c r="AB52" t="str">
        <v>BIOSYN-LIPID-ocdca_c</v>
      </c>
      <c r="AC52" t="str">
        <v>MET-ocdca_c --&gt; 0.283469 BIO-ocdca_c</v>
      </c>
    </row>
    <row r="53" spans="1:29" ht="16" x14ac:dyDescent="0.2">
      <c r="A53" s="144" t="s">
        <v>973</v>
      </c>
      <c r="B53" t="str">
        <f>SUBSTITUTE(_xlfn.TEXTBEFORE(mets[[#This Row],[pasted JSON metabolite keys and values from GSM biomass rxn]],":"),CHAR(34),"")</f>
        <v>epist_c</v>
      </c>
      <c r="C53" t="str">
        <f>_xlfn.TEXTBEFORE(mets[[#This Row],[name]],"_",-1)</f>
        <v>epist</v>
      </c>
      <c r="D53" t="str">
        <f>_xlfn.XLOOKUP(mets[[#This Row],[name w/o location]],metaboliteInfo[name w/o location],metaboliteInfo[suggested category],"")</f>
        <v>LIPID</v>
      </c>
      <c r="E53" s="21">
        <f>_xlfn.XLOOKUP(mets[[#This Row],[name w/o location]],metaboliteInfo[name w/o location],metaboliteInfo[MW for biomass normalization (g/mol)],0)</f>
        <v>398.66424000000001</v>
      </c>
      <c r="F53" s="21">
        <f>_xlfn.NUMBERVALUE(SUBSTITUTE(_xlfn.TEXTAFTER(mets[[#This Row],[pasted JSON metabolite keys and values from GSM biomass rxn]],":"),",",""))</f>
        <v>-0.102571</v>
      </c>
      <c r="G53" s="21" cm="1">
        <f t="array" ref="G53">_xlfn.LET(_xlpm.id,mets[[#This Row],[name w/o location]],IF(IsElementOfSet_DIY(_xlpm.id,{"atp","adp","h","pi","h2o"}),SIGN(mets[[#This Row],[raw (GSM) coefficient]])*(ABS(mets[[#This Row],[raw (GSM) coefficient]])-$J$2),mets[[#This Row],[raw (GSM) coefficient]]))</f>
        <v>-0.102571</v>
      </c>
      <c r="H53" s="21">
        <f>mets[[#This Row],[coeff. w/o GAM]]</f>
        <v>-0.102571</v>
      </c>
      <c r="I53" s="161">
        <f t="shared" si="2"/>
        <v>-0.10238000270724701</v>
      </c>
      <c r="J53" s="21" cm="1">
        <f t="array" ref="J53">_xlfn.LET(_xlpm.id,mets[[#This Row],[name w/o location]],_xlpm.oldcoeff,mets[[#This Row],[normalized coeffs]],_xlpm.gam,$J$2-$G$2,_xlfn.IFS(IFERROR(MATCH(_xlpm.id,{"atp","h2o"},0),0)&gt;0,_xlpm.oldcoeff-_xlpm.gam,IFERROR(MATCH(_xlpm.id,{"adp","h","pi"},0),0)&gt;0,_xlpm.oldcoeff+_xlpm.gam,TRUE,_xlpm.oldcoeff))</f>
        <v>-0.10238000270724701</v>
      </c>
      <c r="K53" t="str" cm="1">
        <f t="array" ref="K53">"BIOSYN-"&amp;_xlfn.IFS(IFERROR(MATCH(mets[[#This Row],[category]],{0,"0",""},0),0)&gt;0,mets[[#This Row],[name]],TRUE,mets[[#This Row],[category]]&amp;"-"&amp;mets[[#This Row],[name]])</f>
        <v>BIOSYN-LIPID-epist_c</v>
      </c>
      <c r="L53" s="149" t="str" cm="1">
        <f t="array" ref="L53">IF(IsElementOfSet_DIY(mets[[#This Row],[category]],{"ignore","PROT"}),"",_xlfn.LET(_xlpm.mw,mets[[#This Row],[MW for biomass normalization (g/mol)]],"MET-"&amp;mets[[#This Row],[name]]&amp;" --&gt; "&amp;IF((mets[[#This Row],[category]]="DNA")+(mets[[#This Row],[category]]="RNA"),"MET-ppi_c + ","")&amp;ROUND(ABS(_xlpm.mw/1000),6)&amp;" BIO-"&amp;mets[[#This Row],[name]]))</f>
        <v>MET-epist_c --&gt; 0.398664 BIO-epist_c</v>
      </c>
      <c r="M53" s="149" cm="1">
        <f t="array" ref="M5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-7.2767184001756288E-2</v>
      </c>
      <c r="N53" s="149"/>
      <c r="O53" s="149"/>
      <c r="P53" s="149"/>
      <c r="Q53" s="149"/>
      <c r="R53" s="149"/>
      <c r="S53" s="149"/>
      <c r="T53" s="149"/>
      <c r="U53" s="149"/>
      <c r="V53" s="149"/>
      <c r="AB53" t="str">
        <v>BIOSYN-LIPID-ocdcea_c</v>
      </c>
      <c r="AC53" t="str">
        <v>MET-ocdcea_c --&gt; 0.281453 BIO-ocdcea_c</v>
      </c>
    </row>
    <row r="54" spans="1:29" ht="16" x14ac:dyDescent="0.2">
      <c r="A54" s="144" t="s">
        <v>980</v>
      </c>
      <c r="B54" t="str">
        <f>SUBSTITUTE(_xlfn.TEXTBEFORE(mets[[#This Row],[pasted JSON metabolite keys and values from GSM biomass rxn]],":"),CHAR(34),"")</f>
        <v>hdca_c</v>
      </c>
      <c r="C54" t="str">
        <f>_xlfn.TEXTBEFORE(mets[[#This Row],[name]],"_",-1)</f>
        <v>hdca</v>
      </c>
      <c r="D54" t="str">
        <f>_xlfn.XLOOKUP(mets[[#This Row],[name w/o location]],metaboliteInfo[name w/o location],metaboliteInfo[suggested category],"")</f>
        <v>LIPID</v>
      </c>
      <c r="E54" s="21">
        <f>_xlfn.XLOOKUP(mets[[#This Row],[name w/o location]],metaboliteInfo[name w/o location],metaboliteInfo[MW for biomass normalization (g/mol)],0)</f>
        <v>255.41533999999999</v>
      </c>
      <c r="F54" s="21">
        <f>_xlfn.NUMBERVALUE(SUBSTITUTE(_xlfn.TEXTAFTER(mets[[#This Row],[pasted JSON metabolite keys and values from GSM biomass rxn]],":"),",",""))</f>
        <v>-4.7800000000000002E-4</v>
      </c>
      <c r="G54" s="21" cm="1">
        <f t="array" ref="G54">_xlfn.LET(_xlpm.id,mets[[#This Row],[name w/o location]],IF(IsElementOfSet_DIY(_xlpm.id,{"atp","adp","h","pi","h2o"}),SIGN(mets[[#This Row],[raw (GSM) coefficient]])*(ABS(mets[[#This Row],[raw (GSM) coefficient]])-$J$2),mets[[#This Row],[raw (GSM) coefficient]]))</f>
        <v>-4.7800000000000002E-4</v>
      </c>
      <c r="H54" s="21">
        <f>mets[[#This Row],[coeff. w/o GAM]]</f>
        <v>-4.7800000000000002E-4</v>
      </c>
      <c r="I54" s="161">
        <f t="shared" si="2"/>
        <v>-4.7710991697520814E-4</v>
      </c>
      <c r="J54" s="21" cm="1">
        <f t="array" ref="J54">_xlfn.LET(_xlpm.id,mets[[#This Row],[name w/o location]],_xlpm.oldcoeff,mets[[#This Row],[normalized coeffs]],_xlpm.gam,$J$2-$G$2,_xlfn.IFS(IFERROR(MATCH(_xlpm.id,{"atp","h2o"},0),0)&gt;0,_xlpm.oldcoeff-_xlpm.gam,IFERROR(MATCH(_xlpm.id,{"adp","h","pi"},0),0)&gt;0,_xlpm.oldcoeff+_xlpm.gam,TRUE,_xlpm.oldcoeff))</f>
        <v>-4.7710991697520814E-4</v>
      </c>
      <c r="K54" t="str" cm="1">
        <f t="array" ref="K54">"BIOSYN-"&amp;_xlfn.IFS(IFERROR(MATCH(mets[[#This Row],[category]],{0,"0",""},0),0)&gt;0,mets[[#This Row],[name]],TRUE,mets[[#This Row],[category]]&amp;"-"&amp;mets[[#This Row],[name]])</f>
        <v>BIOSYN-LIPID-hdca_c</v>
      </c>
      <c r="L54" s="149" t="str" cm="1">
        <f t="array" ref="L54">IF(IsElementOfSet_DIY(mets[[#This Row],[category]],{"ignore","PROT"}),"",_xlfn.LET(_xlpm.mw,mets[[#This Row],[MW for biomass normalization (g/mol)]],"MET-"&amp;mets[[#This Row],[name]]&amp;" --&gt; "&amp;IF((mets[[#This Row],[category]]="DNA")+(mets[[#This Row],[category]]="RNA"),"MET-ppi_c + ","")&amp;ROUND(ABS(_xlpm.mw/1000),6)&amp;" BIO-"&amp;mets[[#This Row],[name]]))</f>
        <v>MET-hdca_c --&gt; 0.255415 BIO-hdca_c</v>
      </c>
      <c r="M54" s="149" cm="1">
        <f t="array" ref="M5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-3.3910865598307035E-4</v>
      </c>
      <c r="N54" s="149"/>
      <c r="O54" s="149"/>
      <c r="P54" s="149"/>
      <c r="Q54" s="149"/>
      <c r="R54" s="149"/>
      <c r="S54" s="149"/>
      <c r="T54" s="149"/>
      <c r="U54" s="149"/>
      <c r="V54" s="149"/>
      <c r="AB54" t="str">
        <v>BIOSYN-LIPID-pail_c</v>
      </c>
      <c r="AC54" t="str">
        <v>MET-pail_c --&gt; 0.862149 BIO-pail_c</v>
      </c>
    </row>
    <row r="55" spans="1:29" ht="16" x14ac:dyDescent="0.2">
      <c r="A55" s="144" t="s">
        <v>984</v>
      </c>
      <c r="B55" t="str">
        <f>SUBSTITUTE(_xlfn.TEXTBEFORE(mets[[#This Row],[pasted JSON metabolite keys and values from GSM biomass rxn]],":"),CHAR(34),"")</f>
        <v>ipc_g</v>
      </c>
      <c r="C55" t="str">
        <f>_xlfn.TEXTBEFORE(mets[[#This Row],[name]],"_",-1)</f>
        <v>ipc</v>
      </c>
      <c r="D55" t="str">
        <f>_xlfn.XLOOKUP(mets[[#This Row],[name w/o location]],metaboliteInfo[name w/o location],metaboliteInfo[suggested category],"")</f>
        <v>LIPID</v>
      </c>
      <c r="E55" s="21">
        <f>_xlfn.XLOOKUP(mets[[#This Row],[name w/o location]],metaboliteInfo[name w/o location],metaboliteInfo[MW for biomass normalization (g/mol)],0)</f>
        <v>915.26344200000005</v>
      </c>
      <c r="F55" s="21">
        <f>_xlfn.NUMBERVALUE(SUBSTITUTE(_xlfn.TEXTAFTER(mets[[#This Row],[pasted JSON metabolite keys and values from GSM biomass rxn]],":"),",",""))</f>
        <v>-8.0809999999999996E-3</v>
      </c>
      <c r="G55" s="21" cm="1">
        <f t="array" ref="G55">_xlfn.LET(_xlpm.id,mets[[#This Row],[name w/o location]],IF(IsElementOfSet_DIY(_xlpm.id,{"atp","adp","h","pi","h2o"}),SIGN(mets[[#This Row],[raw (GSM) coefficient]])*(ABS(mets[[#This Row],[raw (GSM) coefficient]])-$J$2),mets[[#This Row],[raw (GSM) coefficient]]))</f>
        <v>-8.0809999999999996E-3</v>
      </c>
      <c r="H55" s="21">
        <f>mets[[#This Row],[coeff. w/o GAM]]</f>
        <v>-8.0809999999999996E-3</v>
      </c>
      <c r="I55" s="161">
        <f t="shared" si="2"/>
        <v>-8.0659523830055573E-3</v>
      </c>
      <c r="J55" s="21" cm="1">
        <f t="array" ref="J55">_xlfn.LET(_xlpm.id,mets[[#This Row],[name w/o location]],_xlpm.oldcoeff,mets[[#This Row],[normalized coeffs]],_xlpm.gam,$J$2-$G$2,_xlfn.IFS(IFERROR(MATCH(_xlpm.id,{"atp","h2o"},0),0)&gt;0,_xlpm.oldcoeff-_xlpm.gam,IFERROR(MATCH(_xlpm.id,{"adp","h","pi"},0),0)&gt;0,_xlpm.oldcoeff+_xlpm.gam,TRUE,_xlpm.oldcoeff))</f>
        <v>-8.0659523830055573E-3</v>
      </c>
      <c r="K55" t="str" cm="1">
        <f t="array" ref="K55">"BIOSYN-"&amp;_xlfn.IFS(IFERROR(MATCH(mets[[#This Row],[category]],{0,"0",""},0),0)&gt;0,mets[[#This Row],[name]],TRUE,mets[[#This Row],[category]]&amp;"-"&amp;mets[[#This Row],[name]])</f>
        <v>BIOSYN-LIPID-ipc_g</v>
      </c>
      <c r="L55" s="149" t="str" cm="1">
        <f t="array" ref="L55">IF(IsElementOfSet_DIY(mets[[#This Row],[category]],{"ignore","PROT"}),"",_xlfn.LET(_xlpm.mw,mets[[#This Row],[MW for biomass normalization (g/mol)]],"MET-"&amp;mets[[#This Row],[name]]&amp;" --&gt; "&amp;IF((mets[[#This Row],[category]]="DNA")+(mets[[#This Row],[category]]="RNA"),"MET-ppi_c + ","")&amp;ROUND(ABS(_xlpm.mw/1000),6)&amp;" BIO-"&amp;mets[[#This Row],[name]]))</f>
        <v>MET-ipc_g --&gt; 0.915263 BIO-ipc_g</v>
      </c>
      <c r="M55" s="149" cm="1">
        <f t="array" ref="M5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-5.7329226966510273E-3</v>
      </c>
      <c r="N55" s="149"/>
      <c r="O55" s="149"/>
      <c r="P55" s="149"/>
      <c r="Q55" s="149"/>
      <c r="R55" s="149"/>
      <c r="S55" s="149"/>
      <c r="T55" s="149"/>
      <c r="U55" s="149"/>
      <c r="V55" s="149"/>
      <c r="AB55" t="str">
        <v>BIOSYN-LIPID-pc_c</v>
      </c>
      <c r="AC55" t="str">
        <v>MET-pc_c --&gt; 0.786166 BIO-pc_c</v>
      </c>
    </row>
    <row r="56" spans="1:29" ht="16" x14ac:dyDescent="0.2">
      <c r="A56" s="144" t="s">
        <v>987</v>
      </c>
      <c r="B56" t="str">
        <f>SUBSTITUTE(_xlfn.TEXTBEFORE(mets[[#This Row],[pasted JSON metabolite keys and values from GSM biomass rxn]],":"),CHAR(34),"")</f>
        <v>linoea_c</v>
      </c>
      <c r="C56" t="str">
        <f>_xlfn.TEXTBEFORE(mets[[#This Row],[name]],"_",-1)</f>
        <v>linoea</v>
      </c>
      <c r="D56" t="str">
        <f>_xlfn.XLOOKUP(mets[[#This Row],[name w/o location]],metaboliteInfo[name w/o location],metaboliteInfo[suggested category],"")</f>
        <v>LIPID</v>
      </c>
      <c r="E56" s="21">
        <f>_xlfn.XLOOKUP(mets[[#This Row],[name w/o location]],metaboliteInfo[name w/o location],metaboliteInfo[MW for biomass normalization (g/mol)],0)</f>
        <v>279.43673999999999</v>
      </c>
      <c r="F56" s="21">
        <f>_xlfn.NUMBERVALUE(SUBSTITUTE(_xlfn.TEXTAFTER(mets[[#This Row],[pasted JSON metabolite keys and values from GSM biomass rxn]],":"),",",""))</f>
        <v>-1.219E-3</v>
      </c>
      <c r="G56" s="21" cm="1">
        <f t="array" ref="G56">_xlfn.LET(_xlpm.id,mets[[#This Row],[name w/o location]],IF(IsElementOfSet_DIY(_xlpm.id,{"atp","adp","h","pi","h2o"}),SIGN(mets[[#This Row],[raw (GSM) coefficient]])*(ABS(mets[[#This Row],[raw (GSM) coefficient]])-$J$2),mets[[#This Row],[raw (GSM) coefficient]]))</f>
        <v>-1.219E-3</v>
      </c>
      <c r="H56" s="21">
        <f>mets[[#This Row],[coeff. w/o GAM]]</f>
        <v>-1.219E-3</v>
      </c>
      <c r="I56" s="161">
        <f t="shared" si="2"/>
        <v>-1.2167301020769429E-3</v>
      </c>
      <c r="J56" s="21" cm="1">
        <f t="array" ref="J56">_xlfn.LET(_xlpm.id,mets[[#This Row],[name w/o location]],_xlpm.oldcoeff,mets[[#This Row],[normalized coeffs]],_xlpm.gam,$J$2-$G$2,_xlfn.IFS(IFERROR(MATCH(_xlpm.id,{"atp","h2o"},0),0)&gt;0,_xlpm.oldcoeff-_xlpm.gam,IFERROR(MATCH(_xlpm.id,{"adp","h","pi"},0),0)&gt;0,_xlpm.oldcoeff+_xlpm.gam,TRUE,_xlpm.oldcoeff))</f>
        <v>-1.2167301020769429E-3</v>
      </c>
      <c r="K56" t="str" cm="1">
        <f t="array" ref="K56">"BIOSYN-"&amp;_xlfn.IFS(IFERROR(MATCH(mets[[#This Row],[category]],{0,"0",""},0),0)&gt;0,mets[[#This Row],[name]],TRUE,mets[[#This Row],[category]]&amp;"-"&amp;mets[[#This Row],[name]])</f>
        <v>BIOSYN-LIPID-linoea_c</v>
      </c>
      <c r="L56" s="149" t="str" cm="1">
        <f t="array" ref="L56">IF(IsElementOfSet_DIY(mets[[#This Row],[category]],{"ignore","PROT"}),"",_xlfn.LET(_xlpm.mw,mets[[#This Row],[MW for biomass normalization (g/mol)]],"MET-"&amp;mets[[#This Row],[name]]&amp;" --&gt; "&amp;IF((mets[[#This Row],[category]]="DNA")+(mets[[#This Row],[category]]="RNA"),"MET-ppi_c + ","")&amp;ROUND(ABS(_xlpm.mw/1000),6)&amp;" BIO-"&amp;mets[[#This Row],[name]]))</f>
        <v>MET-linoea_c --&gt; 0.279437 BIO-linoea_c</v>
      </c>
      <c r="M56" s="149" cm="1">
        <f t="array" ref="M5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-8.6479801599029856E-4</v>
      </c>
      <c r="N56" s="149"/>
      <c r="O56" s="149"/>
      <c r="P56" s="149"/>
      <c r="Q56" s="149"/>
      <c r="R56" s="149"/>
      <c r="S56" s="149"/>
      <c r="T56" s="149"/>
      <c r="U56" s="149"/>
      <c r="V56" s="149"/>
      <c r="AB56" t="str">
        <v>BIOSYN-LIPID-pe_c</v>
      </c>
      <c r="AC56" t="str">
        <v>MET-pe_c --&gt; 0.744086 BIO-pe_c</v>
      </c>
    </row>
    <row r="57" spans="1:29" ht="16" x14ac:dyDescent="0.2">
      <c r="A57" s="144" t="s">
        <v>988</v>
      </c>
      <c r="B57" t="str">
        <f>SUBSTITUTE(_xlfn.TEXTBEFORE(mets[[#This Row],[pasted JSON metabolite keys and values from GSM biomass rxn]],":"),CHAR(34),"")</f>
        <v>linolen_c</v>
      </c>
      <c r="C57" t="str">
        <f>_xlfn.TEXTBEFORE(mets[[#This Row],[name]],"_",-1)</f>
        <v>linolen</v>
      </c>
      <c r="D57" t="str">
        <f>_xlfn.XLOOKUP(mets[[#This Row],[name w/o location]],metaboliteInfo[name w/o location],metaboliteInfo[suggested category],"")</f>
        <v>LIPID</v>
      </c>
      <c r="E57" s="21">
        <f>_xlfn.XLOOKUP(mets[[#This Row],[name w/o location]],metaboliteInfo[name w/o location],metaboliteInfo[MW for biomass normalization (g/mol)],0)</f>
        <v>277.42086</v>
      </c>
      <c r="F57" s="21">
        <f>_xlfn.NUMBERVALUE(SUBSTITUTE(_xlfn.TEXTAFTER(mets[[#This Row],[pasted JSON metabolite keys and values from GSM biomass rxn]],":"),",",""))</f>
        <v>-3.2699999999999998E-4</v>
      </c>
      <c r="G57" s="21" cm="1">
        <f t="array" ref="G57">_xlfn.LET(_xlpm.id,mets[[#This Row],[name w/o location]],IF(IsElementOfSet_DIY(_xlpm.id,{"atp","adp","h","pi","h2o"}),SIGN(mets[[#This Row],[raw (GSM) coefficient]])*(ABS(mets[[#This Row],[raw (GSM) coefficient]])-$J$2),mets[[#This Row],[raw (GSM) coefficient]]))</f>
        <v>-3.2699999999999998E-4</v>
      </c>
      <c r="H57" s="21">
        <f>mets[[#This Row],[coeff. w/o GAM]]</f>
        <v>-3.2699999999999998E-4</v>
      </c>
      <c r="I57" s="161">
        <f t="shared" si="2"/>
        <v>-3.2639109383032018E-4</v>
      </c>
      <c r="J57" s="21" cm="1">
        <f t="array" ref="J57">_xlfn.LET(_xlpm.id,mets[[#This Row],[name w/o location]],_xlpm.oldcoeff,mets[[#This Row],[normalized coeffs]],_xlpm.gam,$J$2-$G$2,_xlfn.IFS(IFERROR(MATCH(_xlpm.id,{"atp","h2o"},0),0)&gt;0,_xlpm.oldcoeff-_xlpm.gam,IFERROR(MATCH(_xlpm.id,{"adp","h","pi"},0),0)&gt;0,_xlpm.oldcoeff+_xlpm.gam,TRUE,_xlpm.oldcoeff))</f>
        <v>-3.2639109383032018E-4</v>
      </c>
      <c r="K57" t="str" cm="1">
        <f t="array" ref="K57">"BIOSYN-"&amp;_xlfn.IFS(IFERROR(MATCH(mets[[#This Row],[category]],{0,"0",""},0),0)&gt;0,mets[[#This Row],[name]],TRUE,mets[[#This Row],[category]]&amp;"-"&amp;mets[[#This Row],[name]])</f>
        <v>BIOSYN-LIPID-linolen_c</v>
      </c>
      <c r="L57" s="149" t="str" cm="1">
        <f t="array" ref="L57">IF(IsElementOfSet_DIY(mets[[#This Row],[category]],{"ignore","PROT"}),"",_xlfn.LET(_xlpm.mw,mets[[#This Row],[MW for biomass normalization (g/mol)]],"MET-"&amp;mets[[#This Row],[name]]&amp;" --&gt; "&amp;IF((mets[[#This Row],[category]]="DNA")+(mets[[#This Row],[category]]="RNA"),"MET-ppi_c + ","")&amp;ROUND(ABS(_xlpm.mw/1000),6)&amp;" BIO-"&amp;mets[[#This Row],[name]]))</f>
        <v>MET-linolen_c --&gt; 0.277421 BIO-linolen_c</v>
      </c>
      <c r="M57" s="149" cm="1">
        <f t="array" ref="M5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-2.3198437344448534E-4</v>
      </c>
      <c r="N57" s="149"/>
      <c r="O57" s="149"/>
      <c r="P57" s="149"/>
      <c r="Q57" s="149"/>
      <c r="R57" s="149"/>
      <c r="S57" s="149"/>
      <c r="T57" s="149"/>
      <c r="U57" s="149"/>
      <c r="V57" s="149"/>
      <c r="AB57" t="str">
        <v>BIOSYN-LIPID-ps_c</v>
      </c>
      <c r="AC57" t="str">
        <v>MET-ps_c --&gt; 0.786079 BIO-ps_c</v>
      </c>
    </row>
    <row r="58" spans="1:29" ht="16" x14ac:dyDescent="0.2">
      <c r="A58" s="144" t="s">
        <v>995</v>
      </c>
      <c r="B58" t="str">
        <f>SUBSTITUTE(_xlfn.TEXTBEFORE(mets[[#This Row],[pasted JSON metabolite keys and values from GSM biomass rxn]],":"),CHAR(34),"")</f>
        <v>ocdca_c</v>
      </c>
      <c r="C58" t="str">
        <f>_xlfn.TEXTBEFORE(mets[[#This Row],[name]],"_",-1)</f>
        <v>ocdca</v>
      </c>
      <c r="D58" t="str">
        <f>_xlfn.XLOOKUP(mets[[#This Row],[name w/o location]],metaboliteInfo[name w/o location],metaboliteInfo[suggested category],"")</f>
        <v>LIPID</v>
      </c>
      <c r="E58" s="21">
        <f>_xlfn.XLOOKUP(mets[[#This Row],[name w/o location]],metaboliteInfo[name w/o location],metaboliteInfo[MW for biomass normalization (g/mol)],0)</f>
        <v>283.46850000000001</v>
      </c>
      <c r="F58" s="21">
        <f>_xlfn.NUMBERVALUE(SUBSTITUTE(_xlfn.TEXTAFTER(mets[[#This Row],[pasted JSON metabolite keys and values from GSM biomass rxn]],":"),",",""))</f>
        <v>-3.1799999999999998E-4</v>
      </c>
      <c r="G58" s="21" cm="1">
        <f t="array" ref="G58">_xlfn.LET(_xlpm.id,mets[[#This Row],[name w/o location]],IF(IsElementOfSet_DIY(_xlpm.id,{"atp","adp","h","pi","h2o"}),SIGN(mets[[#This Row],[raw (GSM) coefficient]])*(ABS(mets[[#This Row],[raw (GSM) coefficient]])-$J$2),mets[[#This Row],[raw (GSM) coefficient]]))</f>
        <v>-3.1799999999999998E-4</v>
      </c>
      <c r="H58" s="21">
        <f>mets[[#This Row],[coeff. w/o GAM]]</f>
        <v>-3.1799999999999998E-4</v>
      </c>
      <c r="I58" s="161">
        <f t="shared" si="2"/>
        <v>-3.1740785271572422E-4</v>
      </c>
      <c r="J58" s="21" cm="1">
        <f t="array" ref="J58">_xlfn.LET(_xlpm.id,mets[[#This Row],[name w/o location]],_xlpm.oldcoeff,mets[[#This Row],[normalized coeffs]],_xlpm.gam,$J$2-$G$2,_xlfn.IFS(IFERROR(MATCH(_xlpm.id,{"atp","h2o"},0),0)&gt;0,_xlpm.oldcoeff-_xlpm.gam,IFERROR(MATCH(_xlpm.id,{"adp","h","pi"},0),0)&gt;0,_xlpm.oldcoeff+_xlpm.gam,TRUE,_xlpm.oldcoeff))</f>
        <v>-3.1740785271572422E-4</v>
      </c>
      <c r="K58" t="str" cm="1">
        <f t="array" ref="K58">"BIOSYN-"&amp;_xlfn.IFS(IFERROR(MATCH(mets[[#This Row],[category]],{0,"0",""},0),0)&gt;0,mets[[#This Row],[name]],TRUE,mets[[#This Row],[category]]&amp;"-"&amp;mets[[#This Row],[name]])</f>
        <v>BIOSYN-LIPID-ocdca_c</v>
      </c>
      <c r="L58" s="149" t="str" cm="1">
        <f t="array" ref="L58">IF(IsElementOfSet_DIY(mets[[#This Row],[category]],{"ignore","PROT"}),"",_xlfn.LET(_xlpm.mw,mets[[#This Row],[MW for biomass normalization (g/mol)]],"MET-"&amp;mets[[#This Row],[name]]&amp;" --&gt; "&amp;IF((mets[[#This Row],[category]]="DNA")+(mets[[#This Row],[category]]="RNA"),"MET-ppi_c + ","")&amp;ROUND(ABS(_xlpm.mw/1000),6)&amp;" BIO-"&amp;mets[[#This Row],[name]]))</f>
        <v>MET-ocdca_c --&gt; 0.283469 BIO-ocdca_c</v>
      </c>
      <c r="M58" s="149" cm="1">
        <f t="array" ref="M5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-2.255994824322518E-4</v>
      </c>
      <c r="N58" s="149"/>
      <c r="O58" s="149"/>
      <c r="P58" s="149"/>
      <c r="Q58" s="149"/>
      <c r="R58" s="149"/>
      <c r="S58" s="149"/>
      <c r="T58" s="149"/>
      <c r="U58" s="149"/>
      <c r="V58" s="149"/>
      <c r="AB58" t="str">
        <v>BIOSYN-LIPID-tag_c</v>
      </c>
      <c r="AC58" t="str">
        <v>MET-tag_c --&gt; 0.885513 BIO-tag_c</v>
      </c>
    </row>
    <row r="59" spans="1:29" ht="16" x14ac:dyDescent="0.2">
      <c r="A59" s="144" t="s">
        <v>996</v>
      </c>
      <c r="B59" t="str">
        <f>SUBSTITUTE(_xlfn.TEXTBEFORE(mets[[#This Row],[pasted JSON metabolite keys and values from GSM biomass rxn]],":"),CHAR(34),"")</f>
        <v>ocdcea_c</v>
      </c>
      <c r="C59" t="str">
        <f>_xlfn.TEXTBEFORE(mets[[#This Row],[name]],"_",-1)</f>
        <v>ocdcea</v>
      </c>
      <c r="D59" t="str">
        <f>_xlfn.XLOOKUP(mets[[#This Row],[name w/o location]],metaboliteInfo[name w/o location],metaboliteInfo[suggested category],"")</f>
        <v>LIPID</v>
      </c>
      <c r="E59" s="21">
        <f>_xlfn.XLOOKUP(mets[[#This Row],[name w/o location]],metaboliteInfo[name w/o location],metaboliteInfo[MW for biomass normalization (g/mol)],0)</f>
        <v>281.45262000000002</v>
      </c>
      <c r="F59" s="21">
        <f>_xlfn.NUMBERVALUE(SUBSTITUTE(_xlfn.TEXTAFTER(mets[[#This Row],[pasted JSON metabolite keys and values from GSM biomass rxn]],":"),",",""))</f>
        <v>-5.8399999999999999E-4</v>
      </c>
      <c r="G59" s="21" cm="1">
        <f t="array" ref="G59">_xlfn.LET(_xlpm.id,mets[[#This Row],[name w/o location]],IF(IsElementOfSet_DIY(_xlpm.id,{"atp","adp","h","pi","h2o"}),SIGN(mets[[#This Row],[raw (GSM) coefficient]])*(ABS(mets[[#This Row],[raw (GSM) coefficient]])-$J$2),mets[[#This Row],[raw (GSM) coefficient]]))</f>
        <v>-5.8399999999999999E-4</v>
      </c>
      <c r="H59" s="21">
        <f>mets[[#This Row],[coeff. w/o GAM]]</f>
        <v>-5.8399999999999999E-4</v>
      </c>
      <c r="I59" s="161">
        <f t="shared" si="2"/>
        <v>-5.829125345471162E-4</v>
      </c>
      <c r="J59" s="21" cm="1">
        <f t="array" ref="J59">_xlfn.LET(_xlpm.id,mets[[#This Row],[name w/o location]],_xlpm.oldcoeff,mets[[#This Row],[normalized coeffs]],_xlpm.gam,$J$2-$G$2,_xlfn.IFS(IFERROR(MATCH(_xlpm.id,{"atp","h2o"},0),0)&gt;0,_xlpm.oldcoeff-_xlpm.gam,IFERROR(MATCH(_xlpm.id,{"adp","h","pi"},0),0)&gt;0,_xlpm.oldcoeff+_xlpm.gam,TRUE,_xlpm.oldcoeff))</f>
        <v>-5.829125345471162E-4</v>
      </c>
      <c r="K59" t="str" cm="1">
        <f t="array" ref="K59">"BIOSYN-"&amp;_xlfn.IFS(IFERROR(MATCH(mets[[#This Row],[category]],{0,"0",""},0),0)&gt;0,mets[[#This Row],[name]],TRUE,mets[[#This Row],[category]]&amp;"-"&amp;mets[[#This Row],[name]])</f>
        <v>BIOSYN-LIPID-ocdcea_c</v>
      </c>
      <c r="L59" s="149" t="str" cm="1">
        <f t="array" ref="L59">IF(IsElementOfSet_DIY(mets[[#This Row],[category]],{"ignore","PROT"}),"",_xlfn.LET(_xlpm.mw,mets[[#This Row],[MW for biomass normalization (g/mol)]],"MET-"&amp;mets[[#This Row],[name]]&amp;" --&gt; "&amp;IF((mets[[#This Row],[category]]="DNA")+(mets[[#This Row],[category]]="RNA"),"MET-ppi_c + ","")&amp;ROUND(ABS(_xlpm.mw/1000),6)&amp;" BIO-"&amp;mets[[#This Row],[name]]))</f>
        <v>MET-ocdcea_c --&gt; 0.281453 BIO-ocdcea_c</v>
      </c>
      <c r="M59" s="149" cm="1">
        <f t="array" ref="M5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-4.1430848346048758E-4</v>
      </c>
      <c r="N59" s="149"/>
      <c r="O59" s="149"/>
      <c r="P59" s="149"/>
      <c r="Q59" s="149"/>
      <c r="R59" s="149"/>
      <c r="S59" s="149"/>
      <c r="T59" s="149"/>
      <c r="U59" s="149"/>
      <c r="V59" s="149"/>
      <c r="AB59" t="str">
        <v>BIOSYN-LIPID-ttcosa_c</v>
      </c>
      <c r="AC59" t="str">
        <v>MET-ttcosa_c --&gt; 0.367628 BIO-ttcosa_c</v>
      </c>
    </row>
    <row r="60" spans="1:29" ht="16" x14ac:dyDescent="0.2">
      <c r="A60" s="144" t="s">
        <v>998</v>
      </c>
      <c r="B60" t="str">
        <f>SUBSTITUTE(_xlfn.TEXTBEFORE(mets[[#This Row],[pasted JSON metabolite keys and values from GSM biomass rxn]],":"),CHAR(34),"")</f>
        <v>pail_c</v>
      </c>
      <c r="C60" t="str">
        <f>_xlfn.TEXTBEFORE(mets[[#This Row],[name]],"_",-1)</f>
        <v>pail</v>
      </c>
      <c r="D60" t="str">
        <f>_xlfn.XLOOKUP(mets[[#This Row],[name w/o location]],metaboliteInfo[name w/o location],metaboliteInfo[suggested category],"")</f>
        <v>LIPID</v>
      </c>
      <c r="E60" s="21">
        <f>_xlfn.XLOOKUP(mets[[#This Row],[name w/o location]],metaboliteInfo[name w/o location],metaboliteInfo[MW for biomass normalization (g/mol)],0)</f>
        <v>862.14885442176001</v>
      </c>
      <c r="F60" s="21">
        <f>_xlfn.NUMBERVALUE(SUBSTITUTE(_xlfn.TEXTAFTER(mets[[#This Row],[pasted JSON metabolite keys and values from GSM biomass rxn]],":"),",",""))</f>
        <v>-2.1936000000000001E-2</v>
      </c>
      <c r="G60" s="21" cm="1">
        <f t="array" ref="G60">_xlfn.LET(_xlpm.id,mets[[#This Row],[name w/o location]],IF(IsElementOfSet_DIY(_xlpm.id,{"atp","adp","h","pi","h2o"}),SIGN(mets[[#This Row],[raw (GSM) coefficient]])*(ABS(mets[[#This Row],[raw (GSM) coefficient]])-$J$2),mets[[#This Row],[raw (GSM) coefficient]]))</f>
        <v>-2.1936000000000001E-2</v>
      </c>
      <c r="H60" s="21">
        <f>mets[[#This Row],[coeff. w/o GAM]]</f>
        <v>-2.1936000000000001E-2</v>
      </c>
      <c r="I60" s="161">
        <f t="shared" si="2"/>
        <v>-2.1895153009975243E-2</v>
      </c>
      <c r="J60" s="21" cm="1">
        <f t="array" ref="J60">_xlfn.LET(_xlpm.id,mets[[#This Row],[name w/o location]],_xlpm.oldcoeff,mets[[#This Row],[normalized coeffs]],_xlpm.gam,$J$2-$G$2,_xlfn.IFS(IFERROR(MATCH(_xlpm.id,{"atp","h2o"},0),0)&gt;0,_xlpm.oldcoeff-_xlpm.gam,IFERROR(MATCH(_xlpm.id,{"adp","h","pi"},0),0)&gt;0,_xlpm.oldcoeff+_xlpm.gam,TRUE,_xlpm.oldcoeff))</f>
        <v>-2.1895153009975243E-2</v>
      </c>
      <c r="K60" t="str" cm="1">
        <f t="array" ref="K60">"BIOSYN-"&amp;_xlfn.IFS(IFERROR(MATCH(mets[[#This Row],[category]],{0,"0",""},0),0)&gt;0,mets[[#This Row],[name]],TRUE,mets[[#This Row],[category]]&amp;"-"&amp;mets[[#This Row],[name]])</f>
        <v>BIOSYN-LIPID-pail_c</v>
      </c>
      <c r="L60" s="149" t="str" cm="1">
        <f t="array" ref="L60">IF(IsElementOfSet_DIY(mets[[#This Row],[category]],{"ignore","PROT"}),"",_xlfn.LET(_xlpm.mw,mets[[#This Row],[MW for biomass normalization (g/mol)]],"MET-"&amp;mets[[#This Row],[name]]&amp;" --&gt; "&amp;IF((mets[[#This Row],[category]]="DNA")+(mets[[#This Row],[category]]="RNA"),"MET-ppi_c + ","")&amp;ROUND(ABS(_xlpm.mw/1000),6)&amp;" BIO-"&amp;mets[[#This Row],[name]]))</f>
        <v>MET-pail_c --&gt; 0.862149 BIO-pail_c</v>
      </c>
      <c r="M60" s="149" cm="1">
        <f t="array" ref="M6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-1.5562107693817221E-2</v>
      </c>
      <c r="N60" s="149"/>
      <c r="O60" s="149"/>
      <c r="P60" s="149"/>
      <c r="Q60" s="149"/>
      <c r="R60" s="149"/>
      <c r="S60" s="149"/>
      <c r="T60" s="149"/>
      <c r="U60" s="149"/>
      <c r="V60" s="149"/>
      <c r="AB60" t="str">
        <v>BIOSYN-METAL-ca2_c</v>
      </c>
      <c r="AC60" t="str">
        <v>MET-ca2_c --&gt; 0.040078 BIO-ca2_c</v>
      </c>
    </row>
    <row r="61" spans="1:29" ht="16" x14ac:dyDescent="0.2">
      <c r="A61" s="144" t="s">
        <v>999</v>
      </c>
      <c r="B61" t="str">
        <f>SUBSTITUTE(_xlfn.TEXTBEFORE(mets[[#This Row],[pasted JSON metabolite keys and values from GSM biomass rxn]],":"),CHAR(34),"")</f>
        <v>pc_c</v>
      </c>
      <c r="C61" t="str">
        <f>_xlfn.TEXTBEFORE(mets[[#This Row],[name]],"_",-1)</f>
        <v>pc</v>
      </c>
      <c r="D61" t="str">
        <f>_xlfn.XLOOKUP(mets[[#This Row],[name w/o location]],metaboliteInfo[name w/o location],metaboliteInfo[suggested category],"")</f>
        <v>LIPID</v>
      </c>
      <c r="E61" s="21">
        <f>_xlfn.XLOOKUP(mets[[#This Row],[name w/o location]],metaboliteInfo[name w/o location],metaboliteInfo[MW for biomass normalization (g/mol)],0)</f>
        <v>786.16573442176002</v>
      </c>
      <c r="F61" s="21">
        <f>_xlfn.NUMBERVALUE(SUBSTITUTE(_xlfn.TEXTAFTER(mets[[#This Row],[pasted JSON metabolite keys and values from GSM biomass rxn]],":"),",",""))</f>
        <v>-4.1166000000000001E-2</v>
      </c>
      <c r="G61" s="21" cm="1">
        <f t="array" ref="G61">_xlfn.LET(_xlpm.id,mets[[#This Row],[name w/o location]],IF(IsElementOfSet_DIY(_xlpm.id,{"atp","adp","h","pi","h2o"}),SIGN(mets[[#This Row],[raw (GSM) coefficient]])*(ABS(mets[[#This Row],[raw (GSM) coefficient]])-$J$2),mets[[#This Row],[raw (GSM) coefficient]]))</f>
        <v>-4.1166000000000001E-2</v>
      </c>
      <c r="H61" s="21">
        <f>mets[[#This Row],[coeff. w/o GAM]]</f>
        <v>-4.1166000000000001E-2</v>
      </c>
      <c r="I61" s="161">
        <f t="shared" si="2"/>
        <v>-4.1089344858161965E-2</v>
      </c>
      <c r="J61" s="21" cm="1">
        <f t="array" ref="J61">_xlfn.LET(_xlpm.id,mets[[#This Row],[name w/o location]],_xlpm.oldcoeff,mets[[#This Row],[normalized coeffs]],_xlpm.gam,$J$2-$G$2,_xlfn.IFS(IFERROR(MATCH(_xlpm.id,{"atp","h2o"},0),0)&gt;0,_xlpm.oldcoeff-_xlpm.gam,IFERROR(MATCH(_xlpm.id,{"adp","h","pi"},0),0)&gt;0,_xlpm.oldcoeff+_xlpm.gam,TRUE,_xlpm.oldcoeff))</f>
        <v>-4.1089344858161965E-2</v>
      </c>
      <c r="K61" t="str" cm="1">
        <f t="array" ref="K61">"BIOSYN-"&amp;_xlfn.IFS(IFERROR(MATCH(mets[[#This Row],[category]],{0,"0",""},0),0)&gt;0,mets[[#This Row],[name]],TRUE,mets[[#This Row],[category]]&amp;"-"&amp;mets[[#This Row],[name]])</f>
        <v>BIOSYN-LIPID-pc_c</v>
      </c>
      <c r="L61" s="149" t="str" cm="1">
        <f t="array" ref="L61">IF(IsElementOfSet_DIY(mets[[#This Row],[category]],{"ignore","PROT"}),"",_xlfn.LET(_xlpm.mw,mets[[#This Row],[MW for biomass normalization (g/mol)]],"MET-"&amp;mets[[#This Row],[name]]&amp;" --&gt; "&amp;IF((mets[[#This Row],[category]]="DNA")+(mets[[#This Row],[category]]="RNA"),"MET-ppi_c + ","")&amp;ROUND(ABS(_xlpm.mw/1000),6)&amp;" BIO-"&amp;mets[[#This Row],[name]]))</f>
        <v>MET-pc_c --&gt; 0.786166 BIO-pc_c</v>
      </c>
      <c r="M61" s="149" cm="1">
        <f t="array" ref="M6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-2.9204491489956224E-2</v>
      </c>
      <c r="N61" s="149"/>
      <c r="O61" s="149"/>
      <c r="P61" s="149"/>
      <c r="Q61" s="149"/>
      <c r="R61" s="149"/>
      <c r="S61" s="149"/>
      <c r="T61" s="149"/>
      <c r="U61" s="149"/>
      <c r="V61" s="149"/>
      <c r="AB61" t="str">
        <v>BIOSYN-METAL-cu2_c</v>
      </c>
      <c r="AC61" t="str">
        <v>MET-cu2_c --&gt; 0.063546 BIO-cu2_c</v>
      </c>
    </row>
    <row r="62" spans="1:29" ht="16" x14ac:dyDescent="0.2">
      <c r="A62" s="144" t="s">
        <v>1000</v>
      </c>
      <c r="B62" t="str">
        <f>SUBSTITUTE(_xlfn.TEXTBEFORE(mets[[#This Row],[pasted JSON metabolite keys and values from GSM biomass rxn]],":"),CHAR(34),"")</f>
        <v>pe_c</v>
      </c>
      <c r="C62" t="str">
        <f>_xlfn.TEXTBEFORE(mets[[#This Row],[name]],"_",-1)</f>
        <v>pe</v>
      </c>
      <c r="D62" t="str">
        <f>_xlfn.XLOOKUP(mets[[#This Row],[name w/o location]],metaboliteInfo[name w/o location],metaboliteInfo[suggested category],"")</f>
        <v>LIPID</v>
      </c>
      <c r="E62" s="21">
        <f>_xlfn.XLOOKUP(mets[[#This Row],[name w/o location]],metaboliteInfo[name w/o location],metaboliteInfo[MW for biomass normalization (g/mol)],0)</f>
        <v>744.08599442176001</v>
      </c>
      <c r="F62" s="21">
        <f>_xlfn.NUMBERVALUE(SUBSTITUTE(_xlfn.TEXTAFTER(mets[[#This Row],[pasted JSON metabolite keys and values from GSM biomass rxn]],":"),",",""))</f>
        <v>-9.9430000000000004E-3</v>
      </c>
      <c r="G62" s="21" cm="1">
        <f t="array" ref="G62">_xlfn.LET(_xlpm.id,mets[[#This Row],[name w/o location]],IF(IsElementOfSet_DIY(_xlpm.id,{"atp","adp","h","pi","h2o"}),SIGN(mets[[#This Row],[raw (GSM) coefficient]])*(ABS(mets[[#This Row],[raw (GSM) coefficient]])-$J$2),mets[[#This Row],[raw (GSM) coefficient]]))</f>
        <v>-9.9430000000000004E-3</v>
      </c>
      <c r="H62" s="21">
        <f>mets[[#This Row],[coeff. w/o GAM]]</f>
        <v>-9.9430000000000004E-3</v>
      </c>
      <c r="I62" s="161">
        <f t="shared" si="2"/>
        <v>-9.9244851558253026E-3</v>
      </c>
      <c r="J62" s="21" cm="1">
        <f t="array" ref="J62">_xlfn.LET(_xlpm.id,mets[[#This Row],[name w/o location]],_xlpm.oldcoeff,mets[[#This Row],[normalized coeffs]],_xlpm.gam,$J$2-$G$2,_xlfn.IFS(IFERROR(MATCH(_xlpm.id,{"atp","h2o"},0),0)&gt;0,_xlpm.oldcoeff-_xlpm.gam,IFERROR(MATCH(_xlpm.id,{"adp","h","pi"},0),0)&gt;0,_xlpm.oldcoeff+_xlpm.gam,TRUE,_xlpm.oldcoeff))</f>
        <v>-9.9244851558253026E-3</v>
      </c>
      <c r="K62" t="str" cm="1">
        <f t="array" ref="K62">"BIOSYN-"&amp;_xlfn.IFS(IFERROR(MATCH(mets[[#This Row],[category]],{0,"0",""},0),0)&gt;0,mets[[#This Row],[name]],TRUE,mets[[#This Row],[category]]&amp;"-"&amp;mets[[#This Row],[name]])</f>
        <v>BIOSYN-LIPID-pe_c</v>
      </c>
      <c r="L62" s="149" t="str" cm="1">
        <f t="array" ref="L62">IF(IsElementOfSet_DIY(mets[[#This Row],[category]],{"ignore","PROT"}),"",_xlfn.LET(_xlpm.mw,mets[[#This Row],[MW for biomass normalization (g/mol)]],"MET-"&amp;mets[[#This Row],[name]]&amp;" --&gt; "&amp;IF((mets[[#This Row],[category]]="DNA")+(mets[[#This Row],[category]]="RNA"),"MET-ppi_c + ","")&amp;ROUND(ABS(_xlpm.mw/1000),6)&amp;" BIO-"&amp;mets[[#This Row],[name]]))</f>
        <v>MET-pe_c --&gt; 0.744086 BIO-pe_c</v>
      </c>
      <c r="M62" s="149" cm="1">
        <f t="array" ref="M6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-7.0538857038486792E-3</v>
      </c>
      <c r="N62" s="149"/>
      <c r="O62" s="149"/>
      <c r="P62" s="149"/>
      <c r="Q62" s="149"/>
      <c r="R62" s="149"/>
      <c r="S62" s="149"/>
      <c r="T62" s="149"/>
      <c r="U62" s="149"/>
      <c r="V62" s="149"/>
      <c r="AB62" t="str">
        <v>BIOSYN-METAL-fe2_c</v>
      </c>
      <c r="AC62" t="str">
        <v>MET-fe2_c --&gt; 0.055845 BIO-fe2_c</v>
      </c>
    </row>
    <row r="63" spans="1:29" ht="16" x14ac:dyDescent="0.2">
      <c r="A63" s="144" t="s">
        <v>1003</v>
      </c>
      <c r="B63" t="str">
        <f>SUBSTITUTE(_xlfn.TEXTBEFORE(mets[[#This Row],[pasted JSON metabolite keys and values from GSM biomass rxn]],":"),CHAR(34),"")</f>
        <v>ps_c</v>
      </c>
      <c r="C63" t="str">
        <f>_xlfn.TEXTBEFORE(mets[[#This Row],[name]],"_",-1)</f>
        <v>ps</v>
      </c>
      <c r="D63" t="str">
        <f>_xlfn.XLOOKUP(mets[[#This Row],[name w/o location]],metaboliteInfo[name w/o location],metaboliteInfo[suggested category],"")</f>
        <v>LIPID</v>
      </c>
      <c r="E63" s="21">
        <f>_xlfn.XLOOKUP(mets[[#This Row],[name w/o location]],metaboliteInfo[name w/o location],metaboliteInfo[MW for biomass normalization (g/mol)],0)</f>
        <v>786.07881442175994</v>
      </c>
      <c r="F63" s="21">
        <f>_xlfn.NUMBERVALUE(SUBSTITUTE(_xlfn.TEXTAFTER(mets[[#This Row],[pasted JSON metabolite keys and values from GSM biomass rxn]],":"),",",""))</f>
        <v>-5.3319999999999999E-3</v>
      </c>
      <c r="G63" s="21" cm="1">
        <f t="array" ref="G63">_xlfn.LET(_xlpm.id,mets[[#This Row],[name w/o location]],IF(IsElementOfSet_DIY(_xlpm.id,{"atp","adp","h","pi","h2o"}),SIGN(mets[[#This Row],[raw (GSM) coefficient]])*(ABS(mets[[#This Row],[raw (GSM) coefficient]])-$J$2),mets[[#This Row],[raw (GSM) coefficient]]))</f>
        <v>-5.3319999999999999E-3</v>
      </c>
      <c r="H63" s="21">
        <f>mets[[#This Row],[coeff. w/o GAM]]</f>
        <v>-5.3319999999999999E-3</v>
      </c>
      <c r="I63" s="161">
        <f t="shared" si="2"/>
        <v>-5.3220712914473006E-3</v>
      </c>
      <c r="J63" s="21" cm="1">
        <f t="array" ref="J63">_xlfn.LET(_xlpm.id,mets[[#This Row],[name w/o location]],_xlpm.oldcoeff,mets[[#This Row],[normalized coeffs]],_xlpm.gam,$J$2-$G$2,_xlfn.IFS(IFERROR(MATCH(_xlpm.id,{"atp","h2o"},0),0)&gt;0,_xlpm.oldcoeff-_xlpm.gam,IFERROR(MATCH(_xlpm.id,{"adp","h","pi"},0),0)&gt;0,_xlpm.oldcoeff+_xlpm.gam,TRUE,_xlpm.oldcoeff))</f>
        <v>-5.3220712914473006E-3</v>
      </c>
      <c r="K63" t="str" cm="1">
        <f t="array" ref="K63">"BIOSYN-"&amp;_xlfn.IFS(IFERROR(MATCH(mets[[#This Row],[category]],{0,"0",""},0),0)&gt;0,mets[[#This Row],[name]],TRUE,mets[[#This Row],[category]]&amp;"-"&amp;mets[[#This Row],[name]])</f>
        <v>BIOSYN-LIPID-ps_c</v>
      </c>
      <c r="L63" s="149" t="str" cm="1">
        <f t="array" ref="L63">IF(IsElementOfSet_DIY(mets[[#This Row],[category]],{"ignore","PROT"}),"",_xlfn.LET(_xlpm.mw,mets[[#This Row],[MW for biomass normalization (g/mol)]],"MET-"&amp;mets[[#This Row],[name]]&amp;" --&gt; "&amp;IF((mets[[#This Row],[category]]="DNA")+(mets[[#This Row],[category]]="RNA"),"MET-ppi_c + ","")&amp;ROUND(ABS(_xlpm.mw/1000),6)&amp;" BIO-"&amp;mets[[#This Row],[name]]))</f>
        <v>MET-ps_c --&gt; 0.786079 BIO-ps_c</v>
      </c>
      <c r="M63" s="149" cm="1">
        <f t="array" ref="M6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-3.7826932085810272E-3</v>
      </c>
      <c r="N63" s="149"/>
      <c r="O63" s="149"/>
      <c r="P63" s="149"/>
      <c r="Q63" s="149"/>
      <c r="R63" s="149"/>
      <c r="S63" s="149"/>
      <c r="T63" s="149"/>
      <c r="U63" s="149"/>
      <c r="V63" s="149"/>
      <c r="AB63" t="str">
        <v>BIOSYN-METAL-k_c</v>
      </c>
      <c r="AC63" t="str">
        <v>MET-k_c --&gt; 0.039098 BIO-k_c</v>
      </c>
    </row>
    <row r="64" spans="1:29" ht="16" x14ac:dyDescent="0.2">
      <c r="A64" s="144" t="s">
        <v>1009</v>
      </c>
      <c r="B64" t="str">
        <f>SUBSTITUTE(_xlfn.TEXTBEFORE(mets[[#This Row],[pasted JSON metabolite keys and values from GSM biomass rxn]],":"),CHAR(34),"")</f>
        <v>tag_c</v>
      </c>
      <c r="C64" t="str">
        <f>_xlfn.TEXTBEFORE(mets[[#This Row],[name]],"_",-1)</f>
        <v>tag</v>
      </c>
      <c r="D64" t="str">
        <f>_xlfn.XLOOKUP(mets[[#This Row],[name w/o location]],metaboliteInfo[name w/o location],metaboliteInfo[suggested category],"")</f>
        <v>LIPID</v>
      </c>
      <c r="E64" s="21">
        <f>_xlfn.XLOOKUP(mets[[#This Row],[name w/o location]],metaboliteInfo[name w/o location],metaboliteInfo[MW for biomass normalization (g/mol)],0)</f>
        <v>885.51292863263996</v>
      </c>
      <c r="F64" s="21">
        <f>_xlfn.NUMBERVALUE(SUBSTITUTE(_xlfn.TEXTAFTER(mets[[#This Row],[pasted JSON metabolite keys and values from GSM biomass rxn]],":"),",",""))</f>
        <v>-1.2645999999999999E-2</v>
      </c>
      <c r="G64" s="21" cm="1">
        <f t="array" ref="G64">_xlfn.LET(_xlpm.id,mets[[#This Row],[name w/o location]],IF(IsElementOfSet_DIY(_xlpm.id,{"atp","adp","h","pi","h2o"}),SIGN(mets[[#This Row],[raw (GSM) coefficient]])*(ABS(mets[[#This Row],[raw (GSM) coefficient]])-$J$2),mets[[#This Row],[raw (GSM) coefficient]]))</f>
        <v>-1.2645999999999999E-2</v>
      </c>
      <c r="H64" s="21">
        <f>mets[[#This Row],[coeff. w/o GAM]]</f>
        <v>-1.2645999999999999E-2</v>
      </c>
      <c r="I64" s="161">
        <f t="shared" si="2"/>
        <v>-1.2622451903908958E-2</v>
      </c>
      <c r="J64" s="21" cm="1">
        <f t="array" ref="J64">_xlfn.LET(_xlpm.id,mets[[#This Row],[name w/o location]],_xlpm.oldcoeff,mets[[#This Row],[normalized coeffs]],_xlpm.gam,$J$2-$G$2,_xlfn.IFS(IFERROR(MATCH(_xlpm.id,{"atp","h2o"},0),0)&gt;0,_xlpm.oldcoeff-_xlpm.gam,IFERROR(MATCH(_xlpm.id,{"adp","h","pi"},0),0)&gt;0,_xlpm.oldcoeff+_xlpm.gam,TRUE,_xlpm.oldcoeff))</f>
        <v>-1.2622451903908958E-2</v>
      </c>
      <c r="K64" t="str" cm="1">
        <f t="array" ref="K64">"BIOSYN-"&amp;_xlfn.IFS(IFERROR(MATCH(mets[[#This Row],[category]],{0,"0",""},0),0)&gt;0,mets[[#This Row],[name]],TRUE,mets[[#This Row],[category]]&amp;"-"&amp;mets[[#This Row],[name]])</f>
        <v>BIOSYN-LIPID-tag_c</v>
      </c>
      <c r="L64" s="149" t="str" cm="1">
        <f t="array" ref="L64">IF(IsElementOfSet_DIY(mets[[#This Row],[category]],{"ignore","PROT"}),"",_xlfn.LET(_xlpm.mw,mets[[#This Row],[MW for biomass normalization (g/mol)]],"MET-"&amp;mets[[#This Row],[name]]&amp;" --&gt; "&amp;IF((mets[[#This Row],[category]]="DNA")+(mets[[#This Row],[category]]="RNA"),"MET-ppi_c + ","")&amp;ROUND(ABS(_xlpm.mw/1000),6)&amp;" BIO-"&amp;mets[[#This Row],[name]]))</f>
        <v>MET-tag_c --&gt; 0.885513 BIO-tag_c</v>
      </c>
      <c r="M64" s="149" cm="1">
        <f t="array" ref="M6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-8.9714813045228183E-3</v>
      </c>
      <c r="N64" s="149"/>
      <c r="O64" s="149"/>
      <c r="P64" s="149"/>
      <c r="Q64" s="149"/>
      <c r="R64" s="149"/>
      <c r="S64" s="149"/>
      <c r="T64" s="149"/>
      <c r="U64" s="149"/>
      <c r="V64" s="149"/>
      <c r="AB64" t="str">
        <v>BIOSYN-METAL-mg2_c</v>
      </c>
      <c r="AC64" t="str">
        <v>MET-mg2_c --&gt; 0.024305 BIO-mg2_c</v>
      </c>
    </row>
    <row r="65" spans="1:29" ht="16" x14ac:dyDescent="0.2">
      <c r="A65" s="144" t="s">
        <v>1034</v>
      </c>
      <c r="B65" t="str">
        <f>SUBSTITUTE(_xlfn.TEXTBEFORE(mets[[#This Row],[pasted JSON metabolite keys and values from GSM biomass rxn]],":"),CHAR(34),"")</f>
        <v>ttcosa_c</v>
      </c>
      <c r="C65" t="str">
        <f>_xlfn.TEXTBEFORE(mets[[#This Row],[name]],"_",-1)</f>
        <v>ttcosa</v>
      </c>
      <c r="D65" t="str">
        <f>_xlfn.XLOOKUP(mets[[#This Row],[name w/o location]],metaboliteInfo[name w/o location],metaboliteInfo[suggested category],"")</f>
        <v>LIPID</v>
      </c>
      <c r="E65" s="21">
        <f>_xlfn.XLOOKUP(mets[[#This Row],[name w/o location]],metaboliteInfo[name w/o location],metaboliteInfo[MW for biomass normalization (g/mol)],0)</f>
        <v>367.62797999999998</v>
      </c>
      <c r="F65" s="21">
        <f>_xlfn.NUMBERVALUE(SUBSTITUTE(_xlfn.TEXTAFTER(mets[[#This Row],[pasted JSON metabolite keys and values from GSM biomass rxn]],":"),",",""))</f>
        <v>-2.52E-4</v>
      </c>
      <c r="G65" s="21" cm="1">
        <f t="array" ref="G65">_xlfn.LET(_xlpm.id,mets[[#This Row],[name w/o location]],IF(IsElementOfSet_DIY(_xlpm.id,{"atp","adp","h","pi","h2o"}),SIGN(mets[[#This Row],[raw (GSM) coefficient]])*(ABS(mets[[#This Row],[raw (GSM) coefficient]])-$J$2),mets[[#This Row],[raw (GSM) coefficient]]))</f>
        <v>-2.52E-4</v>
      </c>
      <c r="H65" s="21">
        <f>mets[[#This Row],[coeff. w/o GAM]]</f>
        <v>-2.52E-4</v>
      </c>
      <c r="I65" s="161">
        <f t="shared" si="2"/>
        <v>-2.5153075120868713E-4</v>
      </c>
      <c r="J65" s="21" cm="1">
        <f t="array" ref="J65">_xlfn.LET(_xlpm.id,mets[[#This Row],[name w/o location]],_xlpm.oldcoeff,mets[[#This Row],[normalized coeffs]],_xlpm.gam,$J$2-$G$2,_xlfn.IFS(IFERROR(MATCH(_xlpm.id,{"atp","h2o"},0),0)&gt;0,_xlpm.oldcoeff-_xlpm.gam,IFERROR(MATCH(_xlpm.id,{"adp","h","pi"},0),0)&gt;0,_xlpm.oldcoeff+_xlpm.gam,TRUE,_xlpm.oldcoeff))</f>
        <v>-2.5153075120868713E-4</v>
      </c>
      <c r="K65" t="str" cm="1">
        <f t="array" ref="K65">"BIOSYN-"&amp;_xlfn.IFS(IFERROR(MATCH(mets[[#This Row],[category]],{0,"0",""},0),0)&gt;0,mets[[#This Row],[name]],TRUE,mets[[#This Row],[category]]&amp;"-"&amp;mets[[#This Row],[name]])</f>
        <v>BIOSYN-LIPID-ttcosa_c</v>
      </c>
      <c r="L65" s="149" t="str" cm="1">
        <f t="array" ref="L65">IF(IsElementOfSet_DIY(mets[[#This Row],[category]],{"ignore","PROT"}),"",_xlfn.LET(_xlpm.mw,mets[[#This Row],[MW for biomass normalization (g/mol)]],"MET-"&amp;mets[[#This Row],[name]]&amp;" --&gt; "&amp;IF((mets[[#This Row],[category]]="DNA")+(mets[[#This Row],[category]]="RNA"),"MET-ppi_c + ","")&amp;ROUND(ABS(_xlpm.mw/1000),6)&amp;" BIO-"&amp;mets[[#This Row],[name]]))</f>
        <v>MET-ttcosa_c --&gt; 0.367628 BIO-ttcosa_c</v>
      </c>
      <c r="M65" s="149" cm="1">
        <f t="array" ref="M6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-1.7877694834253917E-4</v>
      </c>
      <c r="N65" s="149"/>
      <c r="O65" s="149"/>
      <c r="P65" s="149"/>
      <c r="Q65" s="149"/>
      <c r="R65" s="149"/>
      <c r="S65" s="149"/>
      <c r="T65" s="149"/>
      <c r="U65" s="149"/>
      <c r="V65" s="149"/>
      <c r="AB65" t="str">
        <v>BIOSYN-METAL-mn2_c</v>
      </c>
      <c r="AC65" t="str">
        <v>MET-mn2_c --&gt; 0.054938 BIO-mn2_c</v>
      </c>
    </row>
    <row r="66" spans="1:29" ht="16" x14ac:dyDescent="0.2">
      <c r="A66" s="144" t="s">
        <v>963</v>
      </c>
      <c r="B66" t="str">
        <f>SUBSTITUTE(_xlfn.TEXTBEFORE(mets[[#This Row],[pasted JSON metabolite keys and values from GSM biomass rxn]],":"),CHAR(34),"")</f>
        <v>ca2_c</v>
      </c>
      <c r="C66" t="str">
        <f>_xlfn.TEXTBEFORE(mets[[#This Row],[name]],"_",-1)</f>
        <v>ca2</v>
      </c>
      <c r="D66" t="str">
        <f>_xlfn.XLOOKUP(mets[[#This Row],[name w/o location]],metaboliteInfo[name w/o location],metaboliteInfo[suggested category],"")</f>
        <v>METAL</v>
      </c>
      <c r="E66" s="21">
        <f>_xlfn.XLOOKUP(mets[[#This Row],[name w/o location]],metaboliteInfo[name w/o location],metaboliteInfo[MW for biomass normalization (g/mol)],0)</f>
        <v>40.078000000000003</v>
      </c>
      <c r="F66" s="21">
        <f>_xlfn.NUMBERVALUE(SUBSTITUTE(_xlfn.TEXTAFTER(mets[[#This Row],[pasted JSON metabolite keys and values from GSM biomass rxn]],":"),",",""))</f>
        <v>-1.286E-3</v>
      </c>
      <c r="G66" s="21" cm="1">
        <f t="array" ref="G66">_xlfn.LET(_xlpm.id,mets[[#This Row],[name w/o location]],IF(IsElementOfSet_DIY(_xlpm.id,{"atp","adp","h","pi","h2o"}),SIGN(mets[[#This Row],[raw (GSM) coefficient]])*(ABS(mets[[#This Row],[raw (GSM) coefficient]])-$J$2),mets[[#This Row],[raw (GSM) coefficient]]))</f>
        <v>-1.286E-3</v>
      </c>
      <c r="H66" s="21">
        <f>mets[[#This Row],[coeff. w/o GAM]]</f>
        <v>-1.286E-3</v>
      </c>
      <c r="I66" s="161">
        <f t="shared" si="2"/>
        <v>-1.2836053414856019E-3</v>
      </c>
      <c r="J66" s="21" cm="1">
        <f t="array" ref="J66">_xlfn.LET(_xlpm.id,mets[[#This Row],[name w/o location]],_xlpm.oldcoeff,mets[[#This Row],[normalized coeffs]],_xlpm.gam,$J$2-$G$2,_xlfn.IFS(IFERROR(MATCH(_xlpm.id,{"atp","h2o"},0),0)&gt;0,_xlpm.oldcoeff-_xlpm.gam,IFERROR(MATCH(_xlpm.id,{"adp","h","pi"},0),0)&gt;0,_xlpm.oldcoeff+_xlpm.gam,TRUE,_xlpm.oldcoeff))</f>
        <v>-1.2836053414856019E-3</v>
      </c>
      <c r="K66" t="str" cm="1">
        <f t="array" ref="K66">"BIOSYN-"&amp;_xlfn.IFS(IFERROR(MATCH(mets[[#This Row],[category]],{0,"0",""},0),0)&gt;0,mets[[#This Row],[name]],TRUE,mets[[#This Row],[category]]&amp;"-"&amp;mets[[#This Row],[name]])</f>
        <v>BIOSYN-METAL-ca2_c</v>
      </c>
      <c r="L66" s="149" t="str" cm="1">
        <f t="array" ref="L66">IF(IsElementOfSet_DIY(mets[[#This Row],[category]],{"ignore","PROT"}),"",_xlfn.LET(_xlpm.mw,mets[[#This Row],[MW for biomass normalization (g/mol)]],"MET-"&amp;mets[[#This Row],[name]]&amp;" --&gt; "&amp;IF((mets[[#This Row],[category]]="DNA")+(mets[[#This Row],[category]]="RNA"),"MET-ppi_c + ","")&amp;ROUND(ABS(_xlpm.mw/1000),6)&amp;" BIO-"&amp;mets[[#This Row],[name]]))</f>
        <v>MET-ca2_c --&gt; 0.040078 BIO-ca2_c</v>
      </c>
      <c r="M66" s="149" cm="1">
        <f t="array" ref="M6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-1.2836053414856019E-3</v>
      </c>
      <c r="N66" s="149"/>
      <c r="O66" s="149"/>
      <c r="P66" s="149"/>
      <c r="Q66" s="149"/>
      <c r="R66" s="149"/>
      <c r="S66" s="149"/>
      <c r="T66" s="149"/>
      <c r="U66" s="149"/>
      <c r="V66" s="149"/>
      <c r="AB66" t="str">
        <v>BIOSYN-METAL-zn2_c</v>
      </c>
      <c r="AC66" t="str">
        <v>MET-zn2_c --&gt; 0.06538 BIO-zn2_c</v>
      </c>
    </row>
    <row r="67" spans="1:29" ht="16" x14ac:dyDescent="0.2">
      <c r="A67" s="144" t="s">
        <v>966</v>
      </c>
      <c r="B67" t="str">
        <f>SUBSTITUTE(_xlfn.TEXTBEFORE(mets[[#This Row],[pasted JSON metabolite keys and values from GSM biomass rxn]],":"),CHAR(34),"")</f>
        <v>cu2_c</v>
      </c>
      <c r="C67" t="str">
        <f>_xlfn.TEXTBEFORE(mets[[#This Row],[name]],"_",-1)</f>
        <v>cu2</v>
      </c>
      <c r="D67" t="str">
        <f>_xlfn.XLOOKUP(mets[[#This Row],[name w/o location]],metaboliteInfo[name w/o location],metaboliteInfo[suggested category],"")</f>
        <v>METAL</v>
      </c>
      <c r="E67" s="21">
        <f>_xlfn.XLOOKUP(mets[[#This Row],[name w/o location]],metaboliteInfo[name w/o location],metaboliteInfo[MW for biomass normalization (g/mol)],0)</f>
        <v>63.545999999999999</v>
      </c>
      <c r="F67" s="21">
        <f>_xlfn.NUMBERVALUE(SUBSTITUTE(_xlfn.TEXTAFTER(mets[[#This Row],[pasted JSON metabolite keys and values from GSM biomass rxn]],":"),",",""))</f>
        <v>-1.1400000000000001E-4</v>
      </c>
      <c r="G67" s="21" cm="1">
        <f t="array" ref="G67">_xlfn.LET(_xlpm.id,mets[[#This Row],[name w/o location]],IF(IsElementOfSet_DIY(_xlpm.id,{"atp","adp","h","pi","h2o"}),SIGN(mets[[#This Row],[raw (GSM) coefficient]])*(ABS(mets[[#This Row],[raw (GSM) coefficient]])-$J$2),mets[[#This Row],[raw (GSM) coefficient]]))</f>
        <v>-1.1400000000000001E-4</v>
      </c>
      <c r="H67" s="21">
        <f>mets[[#This Row],[coeff. w/o GAM]]</f>
        <v>-1.1400000000000001E-4</v>
      </c>
      <c r="I67" s="161">
        <f t="shared" si="2"/>
        <v>-1.1378772078488229E-4</v>
      </c>
      <c r="J67" s="21" cm="1">
        <f t="array" ref="J67">_xlfn.LET(_xlpm.id,mets[[#This Row],[name w/o location]],_xlpm.oldcoeff,mets[[#This Row],[normalized coeffs]],_xlpm.gam,$J$2-$G$2,_xlfn.IFS(IFERROR(MATCH(_xlpm.id,{"atp","h2o"},0),0)&gt;0,_xlpm.oldcoeff-_xlpm.gam,IFERROR(MATCH(_xlpm.id,{"adp","h","pi"},0),0)&gt;0,_xlpm.oldcoeff+_xlpm.gam,TRUE,_xlpm.oldcoeff))</f>
        <v>-1.1378772078488229E-4</v>
      </c>
      <c r="K67" t="str" cm="1">
        <f t="array" ref="K67">"BIOSYN-"&amp;_xlfn.IFS(IFERROR(MATCH(mets[[#This Row],[category]],{0,"0",""},0),0)&gt;0,mets[[#This Row],[name]],TRUE,mets[[#This Row],[category]]&amp;"-"&amp;mets[[#This Row],[name]])</f>
        <v>BIOSYN-METAL-cu2_c</v>
      </c>
      <c r="L67" s="149" t="str" cm="1">
        <f t="array" ref="L67">IF(IsElementOfSet_DIY(mets[[#This Row],[category]],{"ignore","PROT"}),"",_xlfn.LET(_xlpm.mw,mets[[#This Row],[MW for biomass normalization (g/mol)]],"MET-"&amp;mets[[#This Row],[name]]&amp;" --&gt; "&amp;IF((mets[[#This Row],[category]]="DNA")+(mets[[#This Row],[category]]="RNA"),"MET-ppi_c + ","")&amp;ROUND(ABS(_xlpm.mw/1000),6)&amp;" BIO-"&amp;mets[[#This Row],[name]]))</f>
        <v>MET-cu2_c --&gt; 0.063546 BIO-cu2_c</v>
      </c>
      <c r="M67" s="149" cm="1">
        <f t="array" ref="M6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-1.1378772078488229E-4</v>
      </c>
      <c r="N67" s="149"/>
      <c r="O67" s="149"/>
      <c r="P67" s="149"/>
      <c r="Q67" s="149"/>
      <c r="R67" s="149"/>
      <c r="S67" s="149"/>
      <c r="T67" s="149"/>
      <c r="U67" s="149"/>
      <c r="V67" s="149"/>
      <c r="AB67" t="str">
        <v>BIOSYN-PI-pi_c</v>
      </c>
      <c r="AC67" t="str">
        <v>MET-pi_c --&gt; 0.095979 BIO-pi_c</v>
      </c>
    </row>
    <row r="68" spans="1:29" ht="16" x14ac:dyDescent="0.2">
      <c r="A68" s="144" t="s">
        <v>975</v>
      </c>
      <c r="B68" t="str">
        <f>SUBSTITUTE(_xlfn.TEXTBEFORE(mets[[#This Row],[pasted JSON metabolite keys and values from GSM biomass rxn]],":"),CHAR(34),"")</f>
        <v>fe2_c</v>
      </c>
      <c r="C68" t="str">
        <f>_xlfn.TEXTBEFORE(mets[[#This Row],[name]],"_",-1)</f>
        <v>fe2</v>
      </c>
      <c r="D68" t="str">
        <f>_xlfn.XLOOKUP(mets[[#This Row],[name w/o location]],metaboliteInfo[name w/o location],metaboliteInfo[suggested category],"")</f>
        <v>METAL</v>
      </c>
      <c r="E68" s="21">
        <f>_xlfn.XLOOKUP(mets[[#This Row],[name w/o location]],metaboliteInfo[name w/o location],metaboliteInfo[MW for biomass normalization (g/mol)],0)</f>
        <v>55.844999999999999</v>
      </c>
      <c r="F68" s="21">
        <f>_xlfn.NUMBERVALUE(SUBSTITUTE(_xlfn.TEXTAFTER(mets[[#This Row],[pasted JSON metabolite keys and values from GSM biomass rxn]],":"),",",""))</f>
        <v>-6.6399999999999999E-4</v>
      </c>
      <c r="G68" s="21" cm="1">
        <f t="array" ref="G68">_xlfn.LET(_xlpm.id,mets[[#This Row],[name w/o location]],IF(IsElementOfSet_DIY(_xlpm.id,{"atp","adp","h","pi","h2o"}),SIGN(mets[[#This Row],[raw (GSM) coefficient]])*(ABS(mets[[#This Row],[raw (GSM) coefficient]])-$J$2),mets[[#This Row],[raw (GSM) coefficient]]))</f>
        <v>-6.6399999999999999E-4</v>
      </c>
      <c r="H68" s="21">
        <f>mets[[#This Row],[coeff. w/o GAM]]</f>
        <v>-6.6399999999999999E-4</v>
      </c>
      <c r="I68" s="161">
        <f t="shared" si="2"/>
        <v>-6.6276356667685813E-4</v>
      </c>
      <c r="J68" s="21" cm="1">
        <f t="array" ref="J68">_xlfn.LET(_xlpm.id,mets[[#This Row],[name w/o location]],_xlpm.oldcoeff,mets[[#This Row],[normalized coeffs]],_xlpm.gam,$J$2-$G$2,_xlfn.IFS(IFERROR(MATCH(_xlpm.id,{"atp","h2o"},0),0)&gt;0,_xlpm.oldcoeff-_xlpm.gam,IFERROR(MATCH(_xlpm.id,{"adp","h","pi"},0),0)&gt;0,_xlpm.oldcoeff+_xlpm.gam,TRUE,_xlpm.oldcoeff))</f>
        <v>-6.6276356667685813E-4</v>
      </c>
      <c r="K68" t="str" cm="1">
        <f t="array" ref="K68">"BIOSYN-"&amp;_xlfn.IFS(IFERROR(MATCH(mets[[#This Row],[category]],{0,"0",""},0),0)&gt;0,mets[[#This Row],[name]],TRUE,mets[[#This Row],[category]]&amp;"-"&amp;mets[[#This Row],[name]])</f>
        <v>BIOSYN-METAL-fe2_c</v>
      </c>
      <c r="L68" s="149" t="str" cm="1">
        <f t="array" ref="L68">IF(IsElementOfSet_DIY(mets[[#This Row],[category]],{"ignore","PROT"}),"",_xlfn.LET(_xlpm.mw,mets[[#This Row],[MW for biomass normalization (g/mol)]],"MET-"&amp;mets[[#This Row],[name]]&amp;" --&gt; "&amp;IF((mets[[#This Row],[category]]="DNA")+(mets[[#This Row],[category]]="RNA"),"MET-ppi_c + ","")&amp;ROUND(ABS(_xlpm.mw/1000),6)&amp;" BIO-"&amp;mets[[#This Row],[name]]))</f>
        <v>MET-fe2_c --&gt; 0.055845 BIO-fe2_c</v>
      </c>
      <c r="M68" s="149" cm="1">
        <f t="array" ref="M6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-6.6276356667685813E-4</v>
      </c>
      <c r="N68" s="149"/>
      <c r="O68" s="149"/>
      <c r="P68" s="149"/>
      <c r="Q68" s="149"/>
      <c r="R68" s="149"/>
      <c r="S68" s="149"/>
      <c r="T68" s="149"/>
      <c r="U68" s="149"/>
      <c r="V68" s="149"/>
      <c r="AB68" t="str">
        <v>BIOSYN-RNA-atp_c</v>
      </c>
      <c r="AC68" t="str">
        <v>MET-atp_c --&gt; MET-ppi_c + 0.328198 BIO-atp_c</v>
      </c>
    </row>
    <row r="69" spans="1:29" ht="16" x14ac:dyDescent="0.2">
      <c r="A69" s="144" t="s">
        <v>985</v>
      </c>
      <c r="B69" t="str">
        <f>SUBSTITUTE(_xlfn.TEXTBEFORE(mets[[#This Row],[pasted JSON metabolite keys and values from GSM biomass rxn]],":"),CHAR(34),"")</f>
        <v>k_c</v>
      </c>
      <c r="C69" t="str">
        <f>_xlfn.TEXTBEFORE(mets[[#This Row],[name]],"_",-1)</f>
        <v>k</v>
      </c>
      <c r="D69" t="str">
        <f>_xlfn.XLOOKUP(mets[[#This Row],[name w/o location]],metaboliteInfo[name w/o location],metaboliteInfo[suggested category],"")</f>
        <v>METAL</v>
      </c>
      <c r="E69" s="21">
        <f>_xlfn.XLOOKUP(mets[[#This Row],[name w/o location]],metaboliteInfo[name w/o location],metaboliteInfo[MW for biomass normalization (g/mol)],0)</f>
        <v>39.098300000000002</v>
      </c>
      <c r="F69" s="21">
        <f>_xlfn.NUMBERVALUE(SUBSTITUTE(_xlfn.TEXTAFTER(mets[[#This Row],[pasted JSON metabolite keys and values from GSM biomass rxn]],":"),",",""))</f>
        <v>-0.60365000000000002</v>
      </c>
      <c r="G69" s="21" cm="1">
        <f t="array" ref="G69">_xlfn.LET(_xlpm.id,mets[[#This Row],[name w/o location]],IF(IsElementOfSet_DIY(_xlpm.id,{"atp","adp","h","pi","h2o"}),SIGN(mets[[#This Row],[raw (GSM) coefficient]])*(ABS(mets[[#This Row],[raw (GSM) coefficient]])-$J$2),mets[[#This Row],[raw (GSM) coefficient]]))</f>
        <v>-0.60365000000000002</v>
      </c>
      <c r="H69" s="21">
        <f>mets[[#This Row],[coeff. w/o GAM]]</f>
        <v>-0.60365000000000002</v>
      </c>
      <c r="I69" s="161">
        <f t="shared" si="2"/>
        <v>-0.6025259443139841</v>
      </c>
      <c r="J69" s="21" cm="1">
        <f t="array" ref="J69">_xlfn.LET(_xlpm.id,mets[[#This Row],[name w/o location]],_xlpm.oldcoeff,mets[[#This Row],[normalized coeffs]],_xlpm.gam,$J$2-$G$2,_xlfn.IFS(IFERROR(MATCH(_xlpm.id,{"atp","h2o"},0),0)&gt;0,_xlpm.oldcoeff-_xlpm.gam,IFERROR(MATCH(_xlpm.id,{"adp","h","pi"},0),0)&gt;0,_xlpm.oldcoeff+_xlpm.gam,TRUE,_xlpm.oldcoeff))</f>
        <v>-0.6025259443139841</v>
      </c>
      <c r="K69" t="str" cm="1">
        <f t="array" ref="K69">"BIOSYN-"&amp;_xlfn.IFS(IFERROR(MATCH(mets[[#This Row],[category]],{0,"0",""},0),0)&gt;0,mets[[#This Row],[name]],TRUE,mets[[#This Row],[category]]&amp;"-"&amp;mets[[#This Row],[name]])</f>
        <v>BIOSYN-METAL-k_c</v>
      </c>
      <c r="L69" s="149" t="str" cm="1">
        <f t="array" ref="L69">IF(IsElementOfSet_DIY(mets[[#This Row],[category]],{"ignore","PROT"}),"",_xlfn.LET(_xlpm.mw,mets[[#This Row],[MW for biomass normalization (g/mol)]],"MET-"&amp;mets[[#This Row],[name]]&amp;" --&gt; "&amp;IF((mets[[#This Row],[category]]="DNA")+(mets[[#This Row],[category]]="RNA"),"MET-ppi_c + ","")&amp;ROUND(ABS(_xlpm.mw/1000),6)&amp;" BIO-"&amp;mets[[#This Row],[name]]))</f>
        <v>MET-k_c --&gt; 0.039098 BIO-k_c</v>
      </c>
      <c r="M69" s="149" cm="1">
        <f t="array" ref="M6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-0.6025259443139841</v>
      </c>
      <c r="N69" s="149"/>
      <c r="O69" s="149"/>
      <c r="P69" s="149"/>
      <c r="Q69" s="149"/>
      <c r="R69" s="149"/>
      <c r="S69" s="149"/>
      <c r="T69" s="149"/>
      <c r="U69" s="149"/>
      <c r="V69" s="149"/>
      <c r="AB69" t="str">
        <v>BIOSYN-RNA-ctp_c</v>
      </c>
      <c r="AC69" t="str">
        <v>MET-ctp_c --&gt; MET-ppi_c + 0.304173 BIO-ctp_c</v>
      </c>
    </row>
    <row r="70" spans="1:29" ht="16" x14ac:dyDescent="0.2">
      <c r="A70" s="144" t="s">
        <v>991</v>
      </c>
      <c r="B70" t="str">
        <f>SUBSTITUTE(_xlfn.TEXTBEFORE(mets[[#This Row],[pasted JSON metabolite keys and values from GSM biomass rxn]],":"),CHAR(34),"")</f>
        <v>mg2_c</v>
      </c>
      <c r="C70" t="str">
        <f>_xlfn.TEXTBEFORE(mets[[#This Row],[name]],"_",-1)</f>
        <v>mg2</v>
      </c>
      <c r="D70" t="str">
        <f>_xlfn.XLOOKUP(mets[[#This Row],[name w/o location]],metaboliteInfo[name w/o location],metaboliteInfo[suggested category],"")</f>
        <v>METAL</v>
      </c>
      <c r="E70" s="21">
        <f>_xlfn.XLOOKUP(mets[[#This Row],[name w/o location]],metaboliteInfo[name w/o location],metaboliteInfo[MW for biomass normalization (g/mol)],0)</f>
        <v>24.305</v>
      </c>
      <c r="F70" s="21">
        <f>_xlfn.NUMBERVALUE(SUBSTITUTE(_xlfn.TEXTAFTER(mets[[#This Row],[pasted JSON metabolite keys and values from GSM biomass rxn]],":"),",",""))</f>
        <v>-6.3606999999999997E-2</v>
      </c>
      <c r="G70" s="21" cm="1">
        <f t="array" ref="G70">_xlfn.LET(_xlpm.id,mets[[#This Row],[name w/o location]],IF(IsElementOfSet_DIY(_xlpm.id,{"atp","adp","h","pi","h2o"}),SIGN(mets[[#This Row],[raw (GSM) coefficient]])*(ABS(mets[[#This Row],[raw (GSM) coefficient]])-$J$2),mets[[#This Row],[raw (GSM) coefficient]]))</f>
        <v>-6.3606999999999997E-2</v>
      </c>
      <c r="H70" s="21">
        <f>mets[[#This Row],[coeff. w/o GAM]]</f>
        <v>-6.3606999999999997E-2</v>
      </c>
      <c r="I70" s="161">
        <f t="shared" ref="I70:I98" si="3">H70/($H$3)</f>
        <v>-6.3488557508456195E-2</v>
      </c>
      <c r="J70" s="21" cm="1">
        <f t="array" ref="J70">_xlfn.LET(_xlpm.id,mets[[#This Row],[name w/o location]],_xlpm.oldcoeff,mets[[#This Row],[normalized coeffs]],_xlpm.gam,$J$2-$G$2,_xlfn.IFS(IFERROR(MATCH(_xlpm.id,{"atp","h2o"},0),0)&gt;0,_xlpm.oldcoeff-_xlpm.gam,IFERROR(MATCH(_xlpm.id,{"adp","h","pi"},0),0)&gt;0,_xlpm.oldcoeff+_xlpm.gam,TRUE,_xlpm.oldcoeff))</f>
        <v>-6.3488557508456195E-2</v>
      </c>
      <c r="K70" t="str" cm="1">
        <f t="array" ref="K70">"BIOSYN-"&amp;_xlfn.IFS(IFERROR(MATCH(mets[[#This Row],[category]],{0,"0",""},0),0)&gt;0,mets[[#This Row],[name]],TRUE,mets[[#This Row],[category]]&amp;"-"&amp;mets[[#This Row],[name]])</f>
        <v>BIOSYN-METAL-mg2_c</v>
      </c>
      <c r="L70" s="149" t="str" cm="1">
        <f t="array" ref="L70">IF(IsElementOfSet_DIY(mets[[#This Row],[category]],{"ignore","PROT"}),"",_xlfn.LET(_xlpm.mw,mets[[#This Row],[MW for biomass normalization (g/mol)]],"MET-"&amp;mets[[#This Row],[name]]&amp;" --&gt; "&amp;IF((mets[[#This Row],[category]]="DNA")+(mets[[#This Row],[category]]="RNA"),"MET-ppi_c + ","")&amp;ROUND(ABS(_xlpm.mw/1000),6)&amp;" BIO-"&amp;mets[[#This Row],[name]]))</f>
        <v>MET-mg2_c --&gt; 0.024305 BIO-mg2_c</v>
      </c>
      <c r="M70" s="149" cm="1">
        <f t="array" ref="M7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-6.3488557508456195E-2</v>
      </c>
      <c r="N70" s="149"/>
      <c r="O70" s="149"/>
      <c r="P70" s="149"/>
      <c r="Q70" s="149"/>
      <c r="R70" s="149"/>
      <c r="S70" s="149"/>
      <c r="T70" s="149"/>
      <c r="U70" s="149"/>
      <c r="V70" s="149"/>
      <c r="AB70" t="str">
        <v>BIOSYN-RNA-gtp_c</v>
      </c>
      <c r="AC70" t="str">
        <v>MET-gtp_c --&gt; MET-ppi_c + 0.344197 BIO-gtp_c</v>
      </c>
    </row>
    <row r="71" spans="1:29" ht="16" x14ac:dyDescent="0.2">
      <c r="A71" s="144" t="s">
        <v>992</v>
      </c>
      <c r="B71" t="str">
        <f>SUBSTITUTE(_xlfn.TEXTBEFORE(mets[[#This Row],[pasted JSON metabolite keys and values from GSM biomass rxn]],":"),CHAR(34),"")</f>
        <v>mn2_c</v>
      </c>
      <c r="C71" t="str">
        <f>_xlfn.TEXTBEFORE(mets[[#This Row],[name]],"_",-1)</f>
        <v>mn2</v>
      </c>
      <c r="D71" t="str">
        <f>_xlfn.XLOOKUP(mets[[#This Row],[name w/o location]],metaboliteInfo[name w/o location],metaboliteInfo[suggested category],"")</f>
        <v>METAL</v>
      </c>
      <c r="E71" s="21">
        <f>_xlfn.XLOOKUP(mets[[#This Row],[name w/o location]],metaboliteInfo[name w/o location],metaboliteInfo[MW for biomass normalization (g/mol)],0)</f>
        <v>54.938043999999998</v>
      </c>
      <c r="F71" s="21">
        <f>_xlfn.NUMBERVALUE(SUBSTITUTE(_xlfn.TEXTAFTER(mets[[#This Row],[pasted JSON metabolite keys and values from GSM biomass rxn]],":"),",",""))</f>
        <v>-9.3999999999999994E-5</v>
      </c>
      <c r="G71" s="21" cm="1">
        <f t="array" ref="G71">_xlfn.LET(_xlpm.id,mets[[#This Row],[name w/o location]],IF(IsElementOfSet_DIY(_xlpm.id,{"atp","adp","h","pi","h2o"}),SIGN(mets[[#This Row],[raw (GSM) coefficient]])*(ABS(mets[[#This Row],[raw (GSM) coefficient]])-$J$2),mets[[#This Row],[raw (GSM) coefficient]]))</f>
        <v>-9.3999999999999994E-5</v>
      </c>
      <c r="H71" s="21">
        <f>mets[[#This Row],[coeff. w/o GAM]]</f>
        <v>-9.3999999999999994E-5</v>
      </c>
      <c r="I71" s="161">
        <f t="shared" si="3"/>
        <v>-9.3824962752446777E-5</v>
      </c>
      <c r="J71" s="21" cm="1">
        <f t="array" ref="J71">_xlfn.LET(_xlpm.id,mets[[#This Row],[name w/o location]],_xlpm.oldcoeff,mets[[#This Row],[normalized coeffs]],_xlpm.gam,$J$2-$G$2,_xlfn.IFS(IFERROR(MATCH(_xlpm.id,{"atp","h2o"},0),0)&gt;0,_xlpm.oldcoeff-_xlpm.gam,IFERROR(MATCH(_xlpm.id,{"adp","h","pi"},0),0)&gt;0,_xlpm.oldcoeff+_xlpm.gam,TRUE,_xlpm.oldcoeff))</f>
        <v>-9.3824962752446777E-5</v>
      </c>
      <c r="K71" t="str" cm="1">
        <f t="array" ref="K71">"BIOSYN-"&amp;_xlfn.IFS(IFERROR(MATCH(mets[[#This Row],[category]],{0,"0",""},0),0)&gt;0,mets[[#This Row],[name]],TRUE,mets[[#This Row],[category]]&amp;"-"&amp;mets[[#This Row],[name]])</f>
        <v>BIOSYN-METAL-mn2_c</v>
      </c>
      <c r="L71" s="149" t="str" cm="1">
        <f t="array" ref="L71">IF(IsElementOfSet_DIY(mets[[#This Row],[category]],{"ignore","PROT"}),"",_xlfn.LET(_xlpm.mw,mets[[#This Row],[MW for biomass normalization (g/mol)]],"MET-"&amp;mets[[#This Row],[name]]&amp;" --&gt; "&amp;IF((mets[[#This Row],[category]]="DNA")+(mets[[#This Row],[category]]="RNA"),"MET-ppi_c + ","")&amp;ROUND(ABS(_xlpm.mw/1000),6)&amp;" BIO-"&amp;mets[[#This Row],[name]]))</f>
        <v>MET-mn2_c --&gt; 0.054938 BIO-mn2_c</v>
      </c>
      <c r="M71" s="149" cm="1">
        <f t="array" ref="M7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-9.3824962752446777E-5</v>
      </c>
      <c r="N71" s="149"/>
      <c r="O71" s="149"/>
      <c r="P71" s="149"/>
      <c r="Q71" s="149"/>
      <c r="R71" s="149"/>
      <c r="S71" s="149"/>
      <c r="T71" s="149"/>
      <c r="U71" s="149"/>
      <c r="V71" s="149"/>
      <c r="AB71" t="str">
        <v>BIOSYN-RNA-utp_c</v>
      </c>
      <c r="AC71" t="str">
        <v>MET-utp_c --&gt; MET-ppi_c + 0.305158 BIO-utp_c</v>
      </c>
    </row>
    <row r="72" spans="1:29" ht="16" x14ac:dyDescent="0.2">
      <c r="A72" s="144" t="s">
        <v>1037</v>
      </c>
      <c r="B72" t="str">
        <f>SUBSTITUTE(_xlfn.TEXTBEFORE(mets[[#This Row],[pasted JSON metabolite keys and values from GSM biomass rxn]],":"),CHAR(34),"")</f>
        <v>zn2_c</v>
      </c>
      <c r="C72" t="str">
        <f>_xlfn.TEXTBEFORE(mets[[#This Row],[name]],"_",-1)</f>
        <v>zn2</v>
      </c>
      <c r="D72" t="str">
        <f>_xlfn.XLOOKUP(mets[[#This Row],[name w/o location]],metaboliteInfo[name w/o location],metaboliteInfo[suggested category],"")</f>
        <v>METAL</v>
      </c>
      <c r="E72" s="21">
        <f>_xlfn.XLOOKUP(mets[[#This Row],[name w/o location]],metaboliteInfo[name w/o location],metaboliteInfo[MW for biomass normalization (g/mol)],0)</f>
        <v>65.38</v>
      </c>
      <c r="F72" s="21">
        <f>_xlfn.NUMBERVALUE(SUBSTITUTE(_xlfn.TEXTAFTER(mets[[#This Row],[pasted JSON metabolite keys and values from GSM biomass rxn]],":"),",",""))</f>
        <v>-1.5759999999999999E-3</v>
      </c>
      <c r="G72" s="21" cm="1">
        <f t="array" ref="G72">_xlfn.LET(_xlpm.id,mets[[#This Row],[name w/o location]],IF(IsElementOfSet_DIY(_xlpm.id,{"atp","adp","h","pi","h2o"}),SIGN(mets[[#This Row],[raw (GSM) coefficient]])*(ABS(mets[[#This Row],[raw (GSM) coefficient]])-$J$2),mets[[#This Row],[raw (GSM) coefficient]]))</f>
        <v>-1.5759999999999999E-3</v>
      </c>
      <c r="H72" s="21">
        <f>mets[[#This Row],[coeff. w/o GAM]]</f>
        <v>-1.5759999999999999E-3</v>
      </c>
      <c r="I72" s="161">
        <f t="shared" si="3"/>
        <v>-1.5730653329559163E-3</v>
      </c>
      <c r="J72" s="21" cm="1">
        <f t="array" ref="J72">_xlfn.LET(_xlpm.id,mets[[#This Row],[name w/o location]],_xlpm.oldcoeff,mets[[#This Row],[normalized coeffs]],_xlpm.gam,$J$2-$G$2,_xlfn.IFS(IFERROR(MATCH(_xlpm.id,{"atp","h2o"},0),0)&gt;0,_xlpm.oldcoeff-_xlpm.gam,IFERROR(MATCH(_xlpm.id,{"adp","h","pi"},0),0)&gt;0,_xlpm.oldcoeff+_xlpm.gam,TRUE,_xlpm.oldcoeff))</f>
        <v>-1.5730653329559163E-3</v>
      </c>
      <c r="K72" t="str" cm="1">
        <f t="array" ref="K72">"BIOSYN-"&amp;_xlfn.IFS(IFERROR(MATCH(mets[[#This Row],[category]],{0,"0",""},0),0)&gt;0,mets[[#This Row],[name]],TRUE,mets[[#This Row],[category]]&amp;"-"&amp;mets[[#This Row],[name]])</f>
        <v>BIOSYN-METAL-zn2_c</v>
      </c>
      <c r="L72" s="149" t="str" cm="1">
        <f t="array" ref="L72">IF(IsElementOfSet_DIY(mets[[#This Row],[category]],{"ignore","PROT"}),"",_xlfn.LET(_xlpm.mw,mets[[#This Row],[MW for biomass normalization (g/mol)]],"MET-"&amp;mets[[#This Row],[name]]&amp;" --&gt; "&amp;IF((mets[[#This Row],[category]]="DNA")+(mets[[#This Row],[category]]="RNA"),"MET-ppi_c + ","")&amp;ROUND(ABS(_xlpm.mw/1000),6)&amp;" BIO-"&amp;mets[[#This Row],[name]]))</f>
        <v>MET-zn2_c --&gt; 0.06538 BIO-zn2_c</v>
      </c>
      <c r="M72" s="149" cm="1">
        <f t="array" ref="M7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-1.5730653329559163E-3</v>
      </c>
      <c r="N72" s="149"/>
      <c r="O72" s="149"/>
      <c r="P72" s="149"/>
      <c r="Q72" s="149"/>
      <c r="R72" s="149"/>
      <c r="S72" s="149"/>
      <c r="T72" s="149"/>
      <c r="U72" s="149"/>
      <c r="V72" s="149"/>
      <c r="AB72" t="str">
        <v>BIOSYN-SO4-so4_c</v>
      </c>
      <c r="AC72" t="str">
        <v>MET-so4_c --&gt; 0.096063 BIO-so4_c</v>
      </c>
    </row>
    <row r="73" spans="1:29" ht="16" x14ac:dyDescent="0.2">
      <c r="A73" s="144" t="s">
        <v>1041</v>
      </c>
      <c r="B73" t="str">
        <f>SUBSTITUTE(_xlfn.TEXTBEFORE(mets[[#This Row],[pasted JSON metabolite keys and values from GSM biomass rxn]],":"),CHAR(34),"")</f>
        <v>pi_c</v>
      </c>
      <c r="C73" t="str">
        <f>_xlfn.TEXTBEFORE(mets[[#This Row],[name]],"_",-1)</f>
        <v>pi</v>
      </c>
      <c r="D73" t="str">
        <f>_xlfn.XLOOKUP(mets[[#This Row],[name w/o location]],metaboliteInfo[name w/o location],metaboliteInfo[suggested category],"")</f>
        <v>PI</v>
      </c>
      <c r="E73" s="21">
        <f>_xlfn.XLOOKUP(mets[[#This Row],[name w/o location]],metaboliteInfo[name w/o location],metaboliteInfo[MW for biomass normalization (g/mol)],0)</f>
        <v>95.979301000000007</v>
      </c>
      <c r="F73" s="21">
        <f>_xlfn.NUMBERVALUE(SUBSTITUTE(_xlfn.TEXTAFTER(mets[[#This Row],[pasted JSON metabolite keys and values from GSM biomass rxn]],":"),",",""))</f>
        <v>187.03543999999999</v>
      </c>
      <c r="G73" s="21" cm="1">
        <f t="array" ref="G73">_xlfn.LET(_xlpm.id,mets[[#This Row],[name w/o location]],IF(IsElementOfSet_DIY(_xlpm.id,{"atp","adp","h","pi","h2o"}),SIGN(mets[[#This Row],[raw (GSM) coefficient]])*(ABS(mets[[#This Row],[raw (GSM) coefficient]])-$J$2),mets[[#This Row],[raw (GSM) coefficient]]))</f>
        <v>-0.10565500000001293</v>
      </c>
      <c r="H73" s="21">
        <f>mets[[#This Row],[coeff. w/o GAM]]</f>
        <v>-0.10565500000001293</v>
      </c>
      <c r="I73" s="161">
        <f t="shared" si="3"/>
        <v>-0.10545825999586148</v>
      </c>
      <c r="J73" s="21" cm="1">
        <f t="array" ref="J73">_xlfn.LET(_xlpm.id,mets[[#This Row],[name w/o location]],_xlpm.oldcoeff,mets[[#This Row],[normalized coeffs]],_xlpm.gam,$J$2-$G$2,_xlfn.IFS(IFERROR(MATCH(_xlpm.id,{"atp","h2o"},0),0)&gt;0,_xlpm.oldcoeff-_xlpm.gam,IFERROR(MATCH(_xlpm.id,{"adp","h","pi"},0),0)&gt;0,_xlpm.oldcoeff+_xlpm.gam,TRUE,_xlpm.oldcoeff))</f>
        <v>180.34563674000415</v>
      </c>
      <c r="K73" t="str" cm="1">
        <f t="array" ref="K73">"BIOSYN-"&amp;_xlfn.IFS(IFERROR(MATCH(mets[[#This Row],[category]],{0,"0",""},0),0)&gt;0,mets[[#This Row],[name]],TRUE,mets[[#This Row],[category]]&amp;"-"&amp;mets[[#This Row],[name]])</f>
        <v>BIOSYN-PI-pi_c</v>
      </c>
      <c r="L73" s="149" t="str" cm="1">
        <f t="array" ref="L73">IF(IsElementOfSet_DIY(mets[[#This Row],[category]],{"ignore","PROT"}),"",_xlfn.LET(_xlpm.mw,mets[[#This Row],[MW for biomass normalization (g/mol)]],"MET-"&amp;mets[[#This Row],[name]]&amp;" --&gt; "&amp;IF((mets[[#This Row],[category]]="DNA")+(mets[[#This Row],[category]]="RNA"),"MET-ppi_c + ","")&amp;ROUND(ABS(_xlpm.mw/1000),6)&amp;" BIO-"&amp;mets[[#This Row],[name]]))</f>
        <v>MET-pi_c --&gt; 0.095979 BIO-pi_c</v>
      </c>
      <c r="M73" s="149" cm="1">
        <f t="array" ref="M7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187.03563674000415</v>
      </c>
      <c r="N73" s="149"/>
      <c r="O73" s="149"/>
      <c r="P73" s="149"/>
      <c r="Q73" s="149"/>
      <c r="R73" s="149"/>
      <c r="S73" s="149"/>
      <c r="T73" s="149"/>
      <c r="U73" s="149"/>
      <c r="V73" s="149"/>
    </row>
    <row r="74" spans="1:29" ht="16" x14ac:dyDescent="0.2">
      <c r="A74" s="144" t="s">
        <v>957</v>
      </c>
      <c r="B74" t="str">
        <f>SUBSTITUTE(_xlfn.TEXTBEFORE(mets[[#This Row],[pasted JSON metabolite keys and values from GSM biomass rxn]],":"),CHAR(34),"")</f>
        <v>alatrna_c</v>
      </c>
      <c r="C74" t="str">
        <f>_xlfn.TEXTBEFORE(mets[[#This Row],[name]],"_",-1)</f>
        <v>alatrna</v>
      </c>
      <c r="D74" t="str">
        <f>_xlfn.XLOOKUP(mets[[#This Row],[name w/o location]],metaboliteInfo[name w/o location],metaboliteInfo[suggested category],"")</f>
        <v>PROT</v>
      </c>
      <c r="E74" s="21">
        <f>_xlfn.XLOOKUP(mets[[#This Row],[name w/o location]],metaboliteInfo[name w/o location],metaboliteInfo[MW for biomass normalization (g/mol)],0)</f>
        <v>72.085840000000005</v>
      </c>
      <c r="F74" s="21">
        <f>_xlfn.NUMBERVALUE(SUBSTITUTE(_xlfn.TEXTAFTER(mets[[#This Row],[pasted JSON metabolite keys and values from GSM biomass rxn]],":"),",",""))</f>
        <v>-0.38625399999999999</v>
      </c>
      <c r="G74" s="21" cm="1">
        <f t="array" ref="G74">_xlfn.LET(_xlpm.id,mets[[#This Row],[name w/o location]],IF(IsElementOfSet_DIY(_xlpm.id,{"atp","adp","h","pi","h2o"}),SIGN(mets[[#This Row],[raw (GSM) coefficient]])*(ABS(mets[[#This Row],[raw (GSM) coefficient]])-$J$2),mets[[#This Row],[raw (GSM) coefficient]]))</f>
        <v>-0.38625399999999999</v>
      </c>
      <c r="H74" s="21">
        <f>mets[[#This Row],[coeff. w/o GAM]]</f>
        <v>-0.38625399999999999</v>
      </c>
      <c r="I74" s="161">
        <f t="shared" si="3"/>
        <v>-0.38553475705301682</v>
      </c>
      <c r="J74" s="21" cm="1">
        <f t="array" ref="J74">_xlfn.LET(_xlpm.id,mets[[#This Row],[name w/o location]],_xlpm.oldcoeff,mets[[#This Row],[normalized coeffs]],_xlpm.gam,$J$2-$G$2,_xlfn.IFS(IFERROR(MATCH(_xlpm.id,{"atp","h2o"},0),0)&gt;0,_xlpm.oldcoeff-_xlpm.gam,IFERROR(MATCH(_xlpm.id,{"adp","h","pi"},0),0)&gt;0,_xlpm.oldcoeff+_xlpm.gam,TRUE,_xlpm.oldcoeff))</f>
        <v>-0.38553475705301682</v>
      </c>
      <c r="K74" t="str" cm="1">
        <f t="array" ref="K74">"BIOSYN-"&amp;_xlfn.IFS(IFERROR(MATCH(mets[[#This Row],[category]],{0,"0",""},0),0)&gt;0,mets[[#This Row],[name]],TRUE,mets[[#This Row],[category]]&amp;"-"&amp;mets[[#This Row],[name]])</f>
        <v>BIOSYN-PROT-alatrna_c</v>
      </c>
      <c r="L74" s="149" t="str" cm="1">
        <f t="array" ref="L74">IF(IsElementOfSet_DIY(mets[[#This Row],[category]],{"ignore","PROT"}),"",_xlfn.LET(_xlpm.mw,mets[[#This Row],[MW for biomass normalization (g/mol)]],"MET-"&amp;mets[[#This Row],[name]]&amp;" --&gt; "&amp;IF((mets[[#This Row],[category]]="DNA")+(mets[[#This Row],[category]]="RNA"),"MET-ppi_c + ","")&amp;ROUND(ABS(_xlpm.mw/1000),6)&amp;" BIO-"&amp;mets[[#This Row],[name]]))</f>
        <v/>
      </c>
      <c r="M74" s="149" cm="1">
        <f t="array" ref="M7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-0.31624250272781101</v>
      </c>
      <c r="N74" s="149"/>
      <c r="O74" s="149"/>
      <c r="P74" s="149"/>
      <c r="Q74" s="149"/>
      <c r="R74" s="149"/>
      <c r="S74" s="149"/>
      <c r="T74" s="149"/>
      <c r="U74" s="149"/>
      <c r="V74" s="149"/>
    </row>
    <row r="75" spans="1:29" ht="16" x14ac:dyDescent="0.2">
      <c r="A75" s="144" t="s">
        <v>959</v>
      </c>
      <c r="B75" t="str">
        <f>SUBSTITUTE(_xlfn.TEXTBEFORE(mets[[#This Row],[pasted JSON metabolite keys and values from GSM biomass rxn]],":"),CHAR(34),"")</f>
        <v>argtrna_c</v>
      </c>
      <c r="C75" t="str">
        <f>_xlfn.TEXTBEFORE(mets[[#This Row],[name]],"_",-1)</f>
        <v>argtrna</v>
      </c>
      <c r="D75" t="str">
        <f>_xlfn.XLOOKUP(mets[[#This Row],[name w/o location]],metaboliteInfo[name w/o location],metaboliteInfo[suggested category],"")</f>
        <v>PROT</v>
      </c>
      <c r="E75" s="21">
        <f>_xlfn.XLOOKUP(mets[[#This Row],[name w/o location]],metaboliteInfo[name w/o location],metaboliteInfo[MW for biomass normalization (g/mol)],0)</f>
        <v>158.20156</v>
      </c>
      <c r="F75" s="21">
        <f>_xlfn.NUMBERVALUE(SUBSTITUTE(_xlfn.TEXTAFTER(mets[[#This Row],[pasted JSON metabolite keys and values from GSM biomass rxn]],":"),",",""))</f>
        <v>-0.15260399999999999</v>
      </c>
      <c r="G75" s="21" cm="1">
        <f t="array" ref="G75">_xlfn.LET(_xlpm.id,mets[[#This Row],[name w/o location]],IF(IsElementOfSet_DIY(_xlpm.id,{"atp","adp","h","pi","h2o"}),SIGN(mets[[#This Row],[raw (GSM) coefficient]])*(ABS(mets[[#This Row],[raw (GSM) coefficient]])-$J$2),mets[[#This Row],[raw (GSM) coefficient]]))</f>
        <v>-0.15260399999999999</v>
      </c>
      <c r="H75" s="21">
        <f>mets[[#This Row],[coeff. w/o GAM]]</f>
        <v>-0.15260399999999999</v>
      </c>
      <c r="I75" s="161">
        <f t="shared" si="3"/>
        <v>-0.15231983633908924</v>
      </c>
      <c r="J75" s="21" cm="1">
        <f t="array" ref="J75">_xlfn.LET(_xlpm.id,mets[[#This Row],[name w/o location]],_xlpm.oldcoeff,mets[[#This Row],[normalized coeffs]],_xlpm.gam,$J$2-$G$2,_xlfn.IFS(IFERROR(MATCH(_xlpm.id,{"atp","h2o"},0),0)&gt;0,_xlpm.oldcoeff-_xlpm.gam,IFERROR(MATCH(_xlpm.id,{"adp","h","pi"},0),0)&gt;0,_xlpm.oldcoeff+_xlpm.gam,TRUE,_xlpm.oldcoeff))</f>
        <v>-0.15231983633908924</v>
      </c>
      <c r="K75" t="str" cm="1">
        <f t="array" ref="K75">"BIOSYN-"&amp;_xlfn.IFS(IFERROR(MATCH(mets[[#This Row],[category]],{0,"0",""},0),0)&gt;0,mets[[#This Row],[name]],TRUE,mets[[#This Row],[category]]&amp;"-"&amp;mets[[#This Row],[name]])</f>
        <v>BIOSYN-PROT-argtrna_c</v>
      </c>
      <c r="L75" s="149" t="str" cm="1">
        <f t="array" ref="L75">IF(IsElementOfSet_DIY(mets[[#This Row],[category]],{"ignore","PROT"}),"",_xlfn.LET(_xlpm.mw,mets[[#This Row],[MW for biomass normalization (g/mol)]],"MET-"&amp;mets[[#This Row],[name]]&amp;" --&gt; "&amp;IF((mets[[#This Row],[category]]="DNA")+(mets[[#This Row],[category]]="RNA"),"MET-ppi_c + ","")&amp;ROUND(ABS(_xlpm.mw/1000),6)&amp;" BIO-"&amp;mets[[#This Row],[name]]))</f>
        <v/>
      </c>
      <c r="M75" s="149" cm="1">
        <f t="array" ref="M7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-0.12494335563198017</v>
      </c>
      <c r="N75" s="149"/>
      <c r="O75" s="149"/>
      <c r="P75" s="149"/>
      <c r="Q75" s="149"/>
      <c r="R75" s="149"/>
      <c r="S75" s="149"/>
      <c r="T75" s="149"/>
      <c r="U75" s="149"/>
      <c r="V75" s="149"/>
    </row>
    <row r="76" spans="1:29" ht="16" x14ac:dyDescent="0.2">
      <c r="A76" s="144" t="s">
        <v>960</v>
      </c>
      <c r="B76" t="str">
        <f>SUBSTITUTE(_xlfn.TEXTBEFORE(mets[[#This Row],[pasted JSON metabolite keys and values from GSM biomass rxn]],":"),CHAR(34),"")</f>
        <v>asntrna_c</v>
      </c>
      <c r="C76" t="str">
        <f>_xlfn.TEXTBEFORE(mets[[#This Row],[name]],"_",-1)</f>
        <v>asntrna</v>
      </c>
      <c r="D76" t="str">
        <f>_xlfn.XLOOKUP(mets[[#This Row],[name w/o location]],metaboliteInfo[name w/o location],metaboliteInfo[suggested category],"")</f>
        <v>PROT</v>
      </c>
      <c r="E76" s="21">
        <f>_xlfn.XLOOKUP(mets[[#This Row],[name w/o location]],metaboliteInfo[name w/o location],metaboliteInfo[MW for biomass normalization (g/mol)],0)</f>
        <v>115.11058</v>
      </c>
      <c r="F76" s="21">
        <f>_xlfn.NUMBERVALUE(SUBSTITUTE(_xlfn.TEXTAFTER(mets[[#This Row],[pasted JSON metabolite keys and values from GSM biomass rxn]],":"),",",""))</f>
        <v>-0.18344099999999999</v>
      </c>
      <c r="G76" s="21" cm="1">
        <f t="array" ref="G76">_xlfn.LET(_xlpm.id,mets[[#This Row],[name w/o location]],IF(IsElementOfSet_DIY(_xlpm.id,{"atp","adp","h","pi","h2o"}),SIGN(mets[[#This Row],[raw (GSM) coefficient]])*(ABS(mets[[#This Row],[raw (GSM) coefficient]])-$J$2),mets[[#This Row],[raw (GSM) coefficient]]))</f>
        <v>-0.18344099999999999</v>
      </c>
      <c r="H76" s="21">
        <f>mets[[#This Row],[coeff. w/o GAM]]</f>
        <v>-0.18344099999999999</v>
      </c>
      <c r="I76" s="161">
        <f t="shared" si="3"/>
        <v>-0.18309941481139991</v>
      </c>
      <c r="J76" s="21" cm="1">
        <f t="array" ref="J76">_xlfn.LET(_xlpm.id,mets[[#This Row],[name w/o location]],_xlpm.oldcoeff,mets[[#This Row],[normalized coeffs]],_xlpm.gam,$J$2-$G$2,_xlfn.IFS(IFERROR(MATCH(_xlpm.id,{"atp","h2o"},0),0)&gt;0,_xlpm.oldcoeff-_xlpm.gam,IFERROR(MATCH(_xlpm.id,{"adp","h","pi"},0),0)&gt;0,_xlpm.oldcoeff+_xlpm.gam,TRUE,_xlpm.oldcoeff))</f>
        <v>-0.18309941481139991</v>
      </c>
      <c r="K76" t="str" cm="1">
        <f t="array" ref="K76">"BIOSYN-"&amp;_xlfn.IFS(IFERROR(MATCH(mets[[#This Row],[category]],{0,"0",""},0),0)&gt;0,mets[[#This Row],[name]],TRUE,mets[[#This Row],[category]]&amp;"-"&amp;mets[[#This Row],[name]])</f>
        <v>BIOSYN-PROT-asntrna_c</v>
      </c>
      <c r="L76" s="149" t="str" cm="1">
        <f t="array" ref="L76">IF(IsElementOfSet_DIY(mets[[#This Row],[category]],{"ignore","PROT"}),"",_xlfn.LET(_xlpm.mw,mets[[#This Row],[MW for biomass normalization (g/mol)]],"MET-"&amp;mets[[#This Row],[name]]&amp;" --&gt; "&amp;IF((mets[[#This Row],[category]]="DNA")+(mets[[#This Row],[category]]="RNA"),"MET-ppi_c + ","")&amp;ROUND(ABS(_xlpm.mw/1000),6)&amp;" BIO-"&amp;mets[[#This Row],[name]]))</f>
        <v/>
      </c>
      <c r="M76" s="149" cm="1">
        <f t="array" ref="M7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-0.1501909130854111</v>
      </c>
      <c r="N76" s="149"/>
      <c r="O76" s="149"/>
      <c r="P76" s="149"/>
      <c r="Q76" s="149"/>
      <c r="R76" s="149"/>
      <c r="S76" s="149"/>
      <c r="T76" s="149"/>
      <c r="U76" s="149"/>
      <c r="V76" s="149"/>
    </row>
    <row r="77" spans="1:29" ht="16" x14ac:dyDescent="0.2">
      <c r="A77" s="144" t="s">
        <v>961</v>
      </c>
      <c r="B77" t="str">
        <f>SUBSTITUTE(_xlfn.TEXTBEFORE(mets[[#This Row],[pasted JSON metabolite keys and values from GSM biomass rxn]],":"),CHAR(34),"")</f>
        <v>asptrna_c</v>
      </c>
      <c r="C77" t="str">
        <f>_xlfn.TEXTBEFORE(mets[[#This Row],[name]],"_",-1)</f>
        <v>asptrna</v>
      </c>
      <c r="D77" t="str">
        <f>_xlfn.XLOOKUP(mets[[#This Row],[name w/o location]],metaboliteInfo[name w/o location],metaboliteInfo[suggested category],"")</f>
        <v>PROT</v>
      </c>
      <c r="E77" s="21">
        <f>_xlfn.XLOOKUP(mets[[#This Row],[name w/o location]],metaboliteInfo[name w/o location],metaboliteInfo[MW for biomass normalization (g/mol)],0)</f>
        <v>115.0874</v>
      </c>
      <c r="F77" s="21">
        <f>_xlfn.NUMBERVALUE(SUBSTITUTE(_xlfn.TEXTAFTER(mets[[#This Row],[pasted JSON metabolite keys and values from GSM biomass rxn]],":"),",",""))</f>
        <v>-0.18344099999999999</v>
      </c>
      <c r="G77" s="21" cm="1">
        <f t="array" ref="G77">_xlfn.LET(_xlpm.id,mets[[#This Row],[name w/o location]],IF(IsElementOfSet_DIY(_xlpm.id,{"atp","adp","h","pi","h2o"}),SIGN(mets[[#This Row],[raw (GSM) coefficient]])*(ABS(mets[[#This Row],[raw (GSM) coefficient]])-$J$2),mets[[#This Row],[raw (GSM) coefficient]]))</f>
        <v>-0.18344099999999999</v>
      </c>
      <c r="H77" s="21">
        <f>mets[[#This Row],[coeff. w/o GAM]]</f>
        <v>-0.18344099999999999</v>
      </c>
      <c r="I77" s="161">
        <f t="shared" si="3"/>
        <v>-0.18309941481139991</v>
      </c>
      <c r="J77" s="21" cm="1">
        <f t="array" ref="J77">_xlfn.LET(_xlpm.id,mets[[#This Row],[name w/o location]],_xlpm.oldcoeff,mets[[#This Row],[normalized coeffs]],_xlpm.gam,$J$2-$G$2,_xlfn.IFS(IFERROR(MATCH(_xlpm.id,{"atp","h2o"},0),0)&gt;0,_xlpm.oldcoeff-_xlpm.gam,IFERROR(MATCH(_xlpm.id,{"adp","h","pi"},0),0)&gt;0,_xlpm.oldcoeff+_xlpm.gam,TRUE,_xlpm.oldcoeff))</f>
        <v>-0.18309941481139991</v>
      </c>
      <c r="K77" t="str" cm="1">
        <f t="array" ref="K77">"BIOSYN-"&amp;_xlfn.IFS(IFERROR(MATCH(mets[[#This Row],[category]],{0,"0",""},0),0)&gt;0,mets[[#This Row],[name]],TRUE,mets[[#This Row],[category]]&amp;"-"&amp;mets[[#This Row],[name]])</f>
        <v>BIOSYN-PROT-asptrna_c</v>
      </c>
      <c r="L77" s="149" t="str" cm="1">
        <f t="array" ref="L77">IF(IsElementOfSet_DIY(mets[[#This Row],[category]],{"ignore","PROT"}),"",_xlfn.LET(_xlpm.mw,mets[[#This Row],[MW for biomass normalization (g/mol)]],"MET-"&amp;mets[[#This Row],[name]]&amp;" --&gt; "&amp;IF((mets[[#This Row],[category]]="DNA")+(mets[[#This Row],[category]]="RNA"),"MET-ppi_c + ","")&amp;ROUND(ABS(_xlpm.mw/1000),6)&amp;" BIO-"&amp;mets[[#This Row],[name]]))</f>
        <v/>
      </c>
      <c r="M77" s="149" cm="1">
        <f t="array" ref="M7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-0.1501909130854111</v>
      </c>
      <c r="N77" s="149"/>
      <c r="O77" s="149"/>
      <c r="P77" s="149"/>
      <c r="Q77" s="149"/>
      <c r="R77" s="149"/>
      <c r="S77" s="149"/>
      <c r="T77" s="149"/>
      <c r="U77" s="149"/>
      <c r="V77" s="149"/>
    </row>
    <row r="78" spans="1:29" ht="16" x14ac:dyDescent="0.2">
      <c r="A78" s="144" t="s">
        <v>967</v>
      </c>
      <c r="B78" t="str">
        <f>SUBSTITUTE(_xlfn.TEXTBEFORE(mets[[#This Row],[pasted JSON metabolite keys and values from GSM biomass rxn]],":"),CHAR(34),"")</f>
        <v>cystrna_c</v>
      </c>
      <c r="C78" t="str">
        <f>_xlfn.TEXTBEFORE(mets[[#This Row],[name]],"_",-1)</f>
        <v>cystrna</v>
      </c>
      <c r="D78" t="str">
        <f>_xlfn.XLOOKUP(mets[[#This Row],[name w/o location]],metaboliteInfo[name w/o location],metaboliteInfo[suggested category],"")</f>
        <v>PROT</v>
      </c>
      <c r="E78" s="21">
        <f>_xlfn.XLOOKUP(mets[[#This Row],[name w/o location]],metaboliteInfo[name w/o location],metaboliteInfo[MW for biomass normalization (g/mol)],0)</f>
        <v>104.15084</v>
      </c>
      <c r="F78" s="21">
        <f>_xlfn.NUMBERVALUE(SUBSTITUTE(_xlfn.TEXTAFTER(mets[[#This Row],[pasted JSON metabolite keys and values from GSM biomass rxn]],":"),",",""))</f>
        <v>-5.535E-3</v>
      </c>
      <c r="G78" s="21" cm="1">
        <f t="array" ref="G78">_xlfn.LET(_xlpm.id,mets[[#This Row],[name w/o location]],IF(IsElementOfSet_DIY(_xlpm.id,{"atp","adp","h","pi","h2o"}),SIGN(mets[[#This Row],[raw (GSM) coefficient]])*(ABS(mets[[#This Row],[raw (GSM) coefficient]])-$J$2),mets[[#This Row],[raw (GSM) coefficient]]))</f>
        <v>-5.535E-3</v>
      </c>
      <c r="H78" s="21">
        <f>mets[[#This Row],[coeff. w/o GAM]]</f>
        <v>-5.535E-3</v>
      </c>
      <c r="I78" s="161">
        <f t="shared" si="3"/>
        <v>-5.5246932854765207E-3</v>
      </c>
      <c r="J78" s="21" cm="1">
        <f t="array" ref="J78">_xlfn.LET(_xlpm.id,mets[[#This Row],[name w/o location]],_xlpm.oldcoeff,mets[[#This Row],[normalized coeffs]],_xlpm.gam,$J$2-$G$2,_xlfn.IFS(IFERROR(MATCH(_xlpm.id,{"atp","h2o"},0),0)&gt;0,_xlpm.oldcoeff-_xlpm.gam,IFERROR(MATCH(_xlpm.id,{"adp","h","pi"},0),0)&gt;0,_xlpm.oldcoeff+_xlpm.gam,TRUE,_xlpm.oldcoeff))</f>
        <v>-5.5246932854765207E-3</v>
      </c>
      <c r="K78" t="str" cm="1">
        <f t="array" ref="K78">"BIOSYN-"&amp;_xlfn.IFS(IFERROR(MATCH(mets[[#This Row],[category]],{0,"0",""},0),0)&gt;0,mets[[#This Row],[name]],TRUE,mets[[#This Row],[category]]&amp;"-"&amp;mets[[#This Row],[name]])</f>
        <v>BIOSYN-PROT-cystrna_c</v>
      </c>
      <c r="L78" s="149" t="str" cm="1">
        <f t="array" ref="L78">IF(IsElementOfSet_DIY(mets[[#This Row],[category]],{"ignore","PROT"}),"",_xlfn.LET(_xlpm.mw,mets[[#This Row],[MW for biomass normalization (g/mol)]],"MET-"&amp;mets[[#This Row],[name]]&amp;" --&gt; "&amp;IF((mets[[#This Row],[category]]="DNA")+(mets[[#This Row],[category]]="RNA"),"MET-ppi_c + ","")&amp;ROUND(ABS(_xlpm.mw/1000),6)&amp;" BIO-"&amp;mets[[#This Row],[name]]))</f>
        <v/>
      </c>
      <c r="M78" s="149" cm="1">
        <f t="array" ref="M7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-4.5317388366164077E-3</v>
      </c>
      <c r="N78" s="149"/>
      <c r="O78" s="149"/>
      <c r="P78" s="149"/>
      <c r="Q78" s="149"/>
      <c r="R78" s="149"/>
      <c r="S78" s="149"/>
      <c r="T78" s="149"/>
      <c r="U78" s="149"/>
      <c r="V78" s="149"/>
    </row>
    <row r="79" spans="1:29" ht="16" x14ac:dyDescent="0.2">
      <c r="A79" s="144" t="s">
        <v>976</v>
      </c>
      <c r="B79" t="str">
        <f>SUBSTITUTE(_xlfn.TEXTBEFORE(mets[[#This Row],[pasted JSON metabolite keys and values from GSM biomass rxn]],":"),CHAR(34),"")</f>
        <v>glntrna_c</v>
      </c>
      <c r="C79" t="str">
        <f>_xlfn.TEXTBEFORE(mets[[#This Row],[name]],"_",-1)</f>
        <v>glntrna</v>
      </c>
      <c r="D79" t="str">
        <f>_xlfn.XLOOKUP(mets[[#This Row],[name w/o location]],metaboliteInfo[name w/o location],metaboliteInfo[suggested category],"")</f>
        <v>PROT</v>
      </c>
      <c r="E79" s="21">
        <f>_xlfn.XLOOKUP(mets[[#This Row],[name w/o location]],metaboliteInfo[name w/o location],metaboliteInfo[MW for biomass normalization (g/mol)],0)</f>
        <v>129.13715999999999</v>
      </c>
      <c r="F79" s="21">
        <f>_xlfn.NUMBERVALUE(SUBSTITUTE(_xlfn.TEXTAFTER(mets[[#This Row],[pasted JSON metabolite keys and values from GSM biomass rxn]],":"),",",""))</f>
        <v>-0.30599900000000002</v>
      </c>
      <c r="G79" s="21" cm="1">
        <f t="array" ref="G79">_xlfn.LET(_xlpm.id,mets[[#This Row],[name w/o location]],IF(IsElementOfSet_DIY(_xlpm.id,{"atp","adp","h","pi","h2o"}),SIGN(mets[[#This Row],[raw (GSM) coefficient]])*(ABS(mets[[#This Row],[raw (GSM) coefficient]])-$J$2),mets[[#This Row],[raw (GSM) coefficient]]))</f>
        <v>-0.30599900000000002</v>
      </c>
      <c r="H79" s="21">
        <f>mets[[#This Row],[coeff. w/o GAM]]</f>
        <v>-0.30599900000000002</v>
      </c>
      <c r="I79" s="161">
        <f t="shared" si="3"/>
        <v>-0.30542919975836136</v>
      </c>
      <c r="J79" s="21" cm="1">
        <f t="array" ref="J79">_xlfn.LET(_xlpm.id,mets[[#This Row],[name w/o location]],_xlpm.oldcoeff,mets[[#This Row],[normalized coeffs]],_xlpm.gam,$J$2-$G$2,_xlfn.IFS(IFERROR(MATCH(_xlpm.id,{"atp","h2o"},0),0)&gt;0,_xlpm.oldcoeff-_xlpm.gam,IFERROR(MATCH(_xlpm.id,{"adp","h","pi"},0),0)&gt;0,_xlpm.oldcoeff+_xlpm.gam,TRUE,_xlpm.oldcoeff))</f>
        <v>-0.30542919975836136</v>
      </c>
      <c r="K79" t="str" cm="1">
        <f t="array" ref="K79">"BIOSYN-"&amp;_xlfn.IFS(IFERROR(MATCH(mets[[#This Row],[category]],{0,"0",""},0),0)&gt;0,mets[[#This Row],[name]],TRUE,mets[[#This Row],[category]]&amp;"-"&amp;mets[[#This Row],[name]])</f>
        <v>BIOSYN-PROT-glntrna_c</v>
      </c>
      <c r="L79" s="149" t="str" cm="1">
        <f t="array" ref="L79">IF(IsElementOfSet_DIY(mets[[#This Row],[category]],{"ignore","PROT"}),"",_xlfn.LET(_xlpm.mw,mets[[#This Row],[MW for biomass normalization (g/mol)]],"MET-"&amp;mets[[#This Row],[name]]&amp;" --&gt; "&amp;IF((mets[[#This Row],[category]]="DNA")+(mets[[#This Row],[category]]="RNA"),"MET-ppi_c + ","")&amp;ROUND(ABS(_xlpm.mw/1000),6)&amp;" BIO-"&amp;mets[[#This Row],[name]]))</f>
        <v/>
      </c>
      <c r="M79" s="149" cm="1">
        <f t="array" ref="M7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-0.25053433645271622</v>
      </c>
      <c r="N79" s="149"/>
      <c r="O79" s="149"/>
      <c r="P79" s="149"/>
      <c r="Q79" s="149"/>
      <c r="R79" s="149"/>
      <c r="S79" s="149"/>
      <c r="T79" s="149"/>
      <c r="U79" s="149"/>
      <c r="V79" s="149"/>
    </row>
    <row r="80" spans="1:29" ht="16" x14ac:dyDescent="0.2">
      <c r="A80" s="144" t="s">
        <v>977</v>
      </c>
      <c r="B80" t="str">
        <f>SUBSTITUTE(_xlfn.TEXTBEFORE(mets[[#This Row],[pasted JSON metabolite keys and values from GSM biomass rxn]],":"),CHAR(34),"")</f>
        <v>glutrna_c</v>
      </c>
      <c r="C80" t="str">
        <f>_xlfn.TEXTBEFORE(mets[[#This Row],[name]],"_",-1)</f>
        <v>glutrna</v>
      </c>
      <c r="D80" t="str">
        <f>_xlfn.XLOOKUP(mets[[#This Row],[name w/o location]],metaboliteInfo[name w/o location],metaboliteInfo[suggested category],"")</f>
        <v>PROT</v>
      </c>
      <c r="E80" s="21">
        <f>_xlfn.XLOOKUP(mets[[#This Row],[name w/o location]],metaboliteInfo[name w/o location],metaboliteInfo[MW for biomass normalization (g/mol)],0)</f>
        <v>129.11398</v>
      </c>
      <c r="F80" s="21">
        <f>_xlfn.NUMBERVALUE(SUBSTITUTE(_xlfn.TEXTAFTER(mets[[#This Row],[pasted JSON metabolite keys and values from GSM biomass rxn]],":"),",",""))</f>
        <v>-0.30599900000000002</v>
      </c>
      <c r="G80" s="21" cm="1">
        <f t="array" ref="G80">_xlfn.LET(_xlpm.id,mets[[#This Row],[name w/o location]],IF(IsElementOfSet_DIY(_xlpm.id,{"atp","adp","h","pi","h2o"}),SIGN(mets[[#This Row],[raw (GSM) coefficient]])*(ABS(mets[[#This Row],[raw (GSM) coefficient]])-$J$2),mets[[#This Row],[raw (GSM) coefficient]]))</f>
        <v>-0.30599900000000002</v>
      </c>
      <c r="H80" s="21">
        <f>mets[[#This Row],[coeff. w/o GAM]]</f>
        <v>-0.30599900000000002</v>
      </c>
      <c r="I80" s="161">
        <f t="shared" si="3"/>
        <v>-0.30542919975836136</v>
      </c>
      <c r="J80" s="21" cm="1">
        <f t="array" ref="J80">_xlfn.LET(_xlpm.id,mets[[#This Row],[name w/o location]],_xlpm.oldcoeff,mets[[#This Row],[normalized coeffs]],_xlpm.gam,$J$2-$G$2,_xlfn.IFS(IFERROR(MATCH(_xlpm.id,{"atp","h2o"},0),0)&gt;0,_xlpm.oldcoeff-_xlpm.gam,IFERROR(MATCH(_xlpm.id,{"adp","h","pi"},0),0)&gt;0,_xlpm.oldcoeff+_xlpm.gam,TRUE,_xlpm.oldcoeff))</f>
        <v>-0.30542919975836136</v>
      </c>
      <c r="K80" t="str" cm="1">
        <f t="array" ref="K80">"BIOSYN-"&amp;_xlfn.IFS(IFERROR(MATCH(mets[[#This Row],[category]],{0,"0",""},0),0)&gt;0,mets[[#This Row],[name]],TRUE,mets[[#This Row],[category]]&amp;"-"&amp;mets[[#This Row],[name]])</f>
        <v>BIOSYN-PROT-glutrna_c</v>
      </c>
      <c r="L80" s="149" t="str" cm="1">
        <f t="array" ref="L80">IF(IsElementOfSet_DIY(mets[[#This Row],[category]],{"ignore","PROT"}),"",_xlfn.LET(_xlpm.mw,mets[[#This Row],[MW for biomass normalization (g/mol)]],"MET-"&amp;mets[[#This Row],[name]]&amp;" --&gt; "&amp;IF((mets[[#This Row],[category]]="DNA")+(mets[[#This Row],[category]]="RNA"),"MET-ppi_c + ","")&amp;ROUND(ABS(_xlpm.mw/1000),6)&amp;" BIO-"&amp;mets[[#This Row],[name]]))</f>
        <v/>
      </c>
      <c r="M80" s="149" cm="1">
        <f t="array" ref="M8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-0.25053433645271622</v>
      </c>
      <c r="N80" s="149"/>
      <c r="O80" s="149"/>
      <c r="P80" s="149"/>
      <c r="Q80" s="149"/>
      <c r="R80" s="149"/>
      <c r="S80" s="149"/>
      <c r="T80" s="149"/>
      <c r="U80" s="149"/>
      <c r="V80" s="149"/>
    </row>
    <row r="81" spans="1:22" ht="16" x14ac:dyDescent="0.2">
      <c r="A81" s="144" t="s">
        <v>978</v>
      </c>
      <c r="B81" t="str">
        <f>SUBSTITUTE(_xlfn.TEXTBEFORE(mets[[#This Row],[pasted JSON metabolite keys and values from GSM biomass rxn]],":"),CHAR(34),"")</f>
        <v>glytrna_c</v>
      </c>
      <c r="C81" t="str">
        <f>_xlfn.TEXTBEFORE(mets[[#This Row],[name]],"_",-1)</f>
        <v>glytrna</v>
      </c>
      <c r="D81" t="str">
        <f>_xlfn.XLOOKUP(mets[[#This Row],[name w/o location]],metaboliteInfo[name w/o location],metaboliteInfo[suggested category],"")</f>
        <v>PROT</v>
      </c>
      <c r="E81" s="21">
        <f>_xlfn.XLOOKUP(mets[[#This Row],[name w/o location]],metaboliteInfo[name w/o location],metaboliteInfo[MW for biomass normalization (g/mol)],0)</f>
        <v>58.059260000000002</v>
      </c>
      <c r="F81" s="21">
        <f>_xlfn.NUMBERVALUE(SUBSTITUTE(_xlfn.TEXTAFTER(mets[[#This Row],[pasted JSON metabolite keys and values from GSM biomass rxn]],":"),",",""))</f>
        <v>-0.351464</v>
      </c>
      <c r="G81" s="21" cm="1">
        <f t="array" ref="G81">_xlfn.LET(_xlpm.id,mets[[#This Row],[name w/o location]],IF(IsElementOfSet_DIY(_xlpm.id,{"atp","adp","h","pi","h2o"}),SIGN(mets[[#This Row],[raw (GSM) coefficient]])*(ABS(mets[[#This Row],[raw (GSM) coefficient]])-$J$2),mets[[#This Row],[raw (GSM) coefficient]]))</f>
        <v>-0.351464</v>
      </c>
      <c r="H81" s="21">
        <f>mets[[#This Row],[coeff. w/o GAM]]</f>
        <v>-0.351464</v>
      </c>
      <c r="I81" s="161">
        <f t="shared" si="3"/>
        <v>-0.35080953945559529</v>
      </c>
      <c r="J81" s="21" cm="1">
        <f t="array" ref="J81">_xlfn.LET(_xlpm.id,mets[[#This Row],[name w/o location]],_xlpm.oldcoeff,mets[[#This Row],[normalized coeffs]],_xlpm.gam,$J$2-$G$2,_xlfn.IFS(IFERROR(MATCH(_xlpm.id,{"atp","h2o"},0),0)&gt;0,_xlpm.oldcoeff-_xlpm.gam,IFERROR(MATCH(_xlpm.id,{"adp","h","pi"},0),0)&gt;0,_xlpm.oldcoeff+_xlpm.gam,TRUE,_xlpm.oldcoeff))</f>
        <v>-0.35080953945559529</v>
      </c>
      <c r="K81" t="str" cm="1">
        <f t="array" ref="K81">"BIOSYN-"&amp;_xlfn.IFS(IFERROR(MATCH(mets[[#This Row],[category]],{0,"0",""},0),0)&gt;0,mets[[#This Row],[name]],TRUE,mets[[#This Row],[category]]&amp;"-"&amp;mets[[#This Row],[name]])</f>
        <v>BIOSYN-PROT-glytrna_c</v>
      </c>
      <c r="L81" s="149" t="str" cm="1">
        <f t="array" ref="L81">IF(IsElementOfSet_DIY(mets[[#This Row],[category]],{"ignore","PROT"}),"",_xlfn.LET(_xlpm.mw,mets[[#This Row],[MW for biomass normalization (g/mol)]],"MET-"&amp;mets[[#This Row],[name]]&amp;" --&gt; "&amp;IF((mets[[#This Row],[category]]="DNA")+(mets[[#This Row],[category]]="RNA"),"MET-ppi_c + ","")&amp;ROUND(ABS(_xlpm.mw/1000),6)&amp;" BIO-"&amp;mets[[#This Row],[name]]))</f>
        <v/>
      </c>
      <c r="M81" s="149" cm="1">
        <f t="array" ref="M8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-0.28775845681527534</v>
      </c>
      <c r="N81" s="149"/>
      <c r="O81" s="149"/>
      <c r="P81" s="149"/>
      <c r="Q81" s="149"/>
      <c r="R81" s="149"/>
      <c r="S81" s="149"/>
      <c r="T81" s="149"/>
      <c r="U81" s="149"/>
      <c r="V81" s="149"/>
    </row>
    <row r="82" spans="1:22" ht="16" x14ac:dyDescent="0.2">
      <c r="A82" s="144" t="s">
        <v>982</v>
      </c>
      <c r="B82" t="str">
        <f>SUBSTITUTE(_xlfn.TEXTBEFORE(mets[[#This Row],[pasted JSON metabolite keys and values from GSM biomass rxn]],":"),CHAR(34),"")</f>
        <v>histrna_c</v>
      </c>
      <c r="C82" t="str">
        <f>_xlfn.TEXTBEFORE(mets[[#This Row],[name]],"_",-1)</f>
        <v>histrna</v>
      </c>
      <c r="D82" t="str">
        <f>_xlfn.XLOOKUP(mets[[#This Row],[name w/o location]],metaboliteInfo[name w/o location],metaboliteInfo[suggested category],"")</f>
        <v>PROT</v>
      </c>
      <c r="E82" s="21">
        <f>_xlfn.XLOOKUP(mets[[#This Row],[name w/o location]],metaboliteInfo[name w/o location],metaboliteInfo[MW for biomass normalization (g/mol)],0)</f>
        <v>138.14722</v>
      </c>
      <c r="F82" s="21">
        <f>_xlfn.NUMBERVALUE(SUBSTITUTE(_xlfn.TEXTAFTER(mets[[#This Row],[pasted JSON metabolite keys and values from GSM biomass rxn]],":"),",",""))</f>
        <v>-7.6301999999999995E-2</v>
      </c>
      <c r="G82" s="21" cm="1">
        <f t="array" ref="G82">_xlfn.LET(_xlpm.id,mets[[#This Row],[name w/o location]],IF(IsElementOfSet_DIY(_xlpm.id,{"atp","adp","h","pi","h2o"}),SIGN(mets[[#This Row],[raw (GSM) coefficient]])*(ABS(mets[[#This Row],[raw (GSM) coefficient]])-$J$2),mets[[#This Row],[raw (GSM) coefficient]]))</f>
        <v>-7.6301999999999995E-2</v>
      </c>
      <c r="H82" s="21">
        <f>mets[[#This Row],[coeff. w/o GAM]]</f>
        <v>-7.6301999999999995E-2</v>
      </c>
      <c r="I82" s="161">
        <f t="shared" si="3"/>
        <v>-7.6159918169544621E-2</v>
      </c>
      <c r="J82" s="21" cm="1">
        <f t="array" ref="J82">_xlfn.LET(_xlpm.id,mets[[#This Row],[name w/o location]],_xlpm.oldcoeff,mets[[#This Row],[normalized coeffs]],_xlpm.gam,$J$2-$G$2,_xlfn.IFS(IFERROR(MATCH(_xlpm.id,{"atp","h2o"},0),0)&gt;0,_xlpm.oldcoeff-_xlpm.gam,IFERROR(MATCH(_xlpm.id,{"adp","h","pi"},0),0)&gt;0,_xlpm.oldcoeff+_xlpm.gam,TRUE,_xlpm.oldcoeff))</f>
        <v>-7.6159918169544621E-2</v>
      </c>
      <c r="K82" t="str" cm="1">
        <f t="array" ref="K82">"BIOSYN-"&amp;_xlfn.IFS(IFERROR(MATCH(mets[[#This Row],[category]],{0,"0",""},0),0)&gt;0,mets[[#This Row],[name]],TRUE,mets[[#This Row],[category]]&amp;"-"&amp;mets[[#This Row],[name]])</f>
        <v>BIOSYN-PROT-histrna_c</v>
      </c>
      <c r="L82" s="149" t="str" cm="1">
        <f t="array" ref="L82">IF(IsElementOfSet_DIY(mets[[#This Row],[category]],{"ignore","PROT"}),"",_xlfn.LET(_xlpm.mw,mets[[#This Row],[MW for biomass normalization (g/mol)]],"MET-"&amp;mets[[#This Row],[name]]&amp;" --&gt; "&amp;IF((mets[[#This Row],[category]]="DNA")+(mets[[#This Row],[category]]="RNA"),"MET-ppi_c + ","")&amp;ROUND(ABS(_xlpm.mw/1000),6)&amp;" BIO-"&amp;mets[[#This Row],[name]]))</f>
        <v/>
      </c>
      <c r="M82" s="149" cm="1">
        <f t="array" ref="M8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-6.2471677815990084E-2</v>
      </c>
      <c r="N82" s="149"/>
      <c r="O82" s="149"/>
      <c r="P82" s="149"/>
      <c r="Q82" s="149"/>
      <c r="R82" s="149"/>
      <c r="S82" s="149"/>
      <c r="T82" s="149"/>
      <c r="U82" s="149"/>
      <c r="V82" s="149"/>
    </row>
    <row r="83" spans="1:22" ht="16" x14ac:dyDescent="0.2">
      <c r="A83" s="144" t="s">
        <v>983</v>
      </c>
      <c r="B83" t="str">
        <f>SUBSTITUTE(_xlfn.TEXTBEFORE(mets[[#This Row],[pasted JSON metabolite keys and values from GSM biomass rxn]],":"),CHAR(34),"")</f>
        <v>iletrna_c</v>
      </c>
      <c r="C83" t="str">
        <f>_xlfn.TEXTBEFORE(mets[[#This Row],[name]],"_",-1)</f>
        <v>iletrna</v>
      </c>
      <c r="D83" t="str">
        <f>_xlfn.XLOOKUP(mets[[#This Row],[name w/o location]],metaboliteInfo[name w/o location],metaboliteInfo[suggested category],"")</f>
        <v>PROT</v>
      </c>
      <c r="E83" s="21">
        <f>_xlfn.XLOOKUP(mets[[#This Row],[name w/o location]],metaboliteInfo[name w/o location],metaboliteInfo[MW for biomass normalization (g/mol)],0)</f>
        <v>114.16558000000001</v>
      </c>
      <c r="F83" s="21">
        <f>_xlfn.NUMBERVALUE(SUBSTITUTE(_xlfn.TEXTAFTER(mets[[#This Row],[pasted JSON metabolite keys and values from GSM biomass rxn]],":"),",",""))</f>
        <v>-0.23286000000000001</v>
      </c>
      <c r="G83" s="21" cm="1">
        <f t="array" ref="G83">_xlfn.LET(_xlpm.id,mets[[#This Row],[name w/o location]],IF(IsElementOfSet_DIY(_xlpm.id,{"atp","adp","h","pi","h2o"}),SIGN(mets[[#This Row],[raw (GSM) coefficient]])*(ABS(mets[[#This Row],[raw (GSM) coefficient]])-$J$2),mets[[#This Row],[raw (GSM) coefficient]]))</f>
        <v>-0.23286000000000001</v>
      </c>
      <c r="H83" s="21">
        <f>mets[[#This Row],[coeff. w/o GAM]]</f>
        <v>-0.23286000000000001</v>
      </c>
      <c r="I83" s="161">
        <f t="shared" si="3"/>
        <v>-0.2324263917716464</v>
      </c>
      <c r="J83" s="21" cm="1">
        <f t="array" ref="J83">_xlfn.LET(_xlpm.id,mets[[#This Row],[name w/o location]],_xlpm.oldcoeff,mets[[#This Row],[normalized coeffs]],_xlpm.gam,$J$2-$G$2,_xlfn.IFS(IFERROR(MATCH(_xlpm.id,{"atp","h2o"},0),0)&gt;0,_xlpm.oldcoeff-_xlpm.gam,IFERROR(MATCH(_xlpm.id,{"adp","h","pi"},0),0)&gt;0,_xlpm.oldcoeff+_xlpm.gam,TRUE,_xlpm.oldcoeff))</f>
        <v>-0.2324263917716464</v>
      </c>
      <c r="K83" t="str" cm="1">
        <f t="array" ref="K83">"BIOSYN-"&amp;_xlfn.IFS(IFERROR(MATCH(mets[[#This Row],[category]],{0,"0",""},0),0)&gt;0,mets[[#This Row],[name]],TRUE,mets[[#This Row],[category]]&amp;"-"&amp;mets[[#This Row],[name]])</f>
        <v>BIOSYN-PROT-iletrna_c</v>
      </c>
      <c r="L83" s="149" t="str" cm="1">
        <f t="array" ref="L83">IF(IsElementOfSet_DIY(mets[[#This Row],[category]],{"ignore","PROT"}),"",_xlfn.LET(_xlpm.mw,mets[[#This Row],[MW for biomass normalization (g/mol)]],"MET-"&amp;mets[[#This Row],[name]]&amp;" --&gt; "&amp;IF((mets[[#This Row],[category]]="DNA")+(mets[[#This Row],[category]]="RNA"),"MET-ppi_c + ","")&amp;ROUND(ABS(_xlpm.mw/1000),6)&amp;" BIO-"&amp;mets[[#This Row],[name]]))</f>
        <v/>
      </c>
      <c r="M83" s="149" cm="1">
        <f t="array" ref="M8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-0.19065234064941225</v>
      </c>
      <c r="N83" s="149"/>
      <c r="O83" s="149"/>
      <c r="P83" s="149"/>
      <c r="Q83" s="149"/>
      <c r="R83" s="149"/>
      <c r="S83" s="149"/>
      <c r="T83" s="149"/>
      <c r="U83" s="149"/>
      <c r="V83" s="149"/>
    </row>
    <row r="84" spans="1:22" ht="16" x14ac:dyDescent="0.2">
      <c r="A84" s="144" t="s">
        <v>986</v>
      </c>
      <c r="B84" t="str">
        <f>SUBSTITUTE(_xlfn.TEXTBEFORE(mets[[#This Row],[pasted JSON metabolite keys and values from GSM biomass rxn]],":"),CHAR(34),"")</f>
        <v>leutrna_c</v>
      </c>
      <c r="C84" t="str">
        <f>_xlfn.TEXTBEFORE(mets[[#This Row],[name]],"_",-1)</f>
        <v>leutrna</v>
      </c>
      <c r="D84" t="str">
        <f>_xlfn.XLOOKUP(mets[[#This Row],[name w/o location]],metaboliteInfo[name w/o location],metaboliteInfo[suggested category],"")</f>
        <v>PROT</v>
      </c>
      <c r="E84" s="21">
        <f>_xlfn.XLOOKUP(mets[[#This Row],[name w/o location]],metaboliteInfo[name w/o location],metaboliteInfo[MW for biomass normalization (g/mol)],0)</f>
        <v>114.16558000000001</v>
      </c>
      <c r="F84" s="21">
        <f>_xlfn.NUMBERVALUE(SUBSTITUTE(_xlfn.TEXTAFTER(mets[[#This Row],[pasted JSON metabolite keys and values from GSM biomass rxn]],":"),",",""))</f>
        <v>-0.31667299999999998</v>
      </c>
      <c r="G84" s="21" cm="1">
        <f t="array" ref="G84">_xlfn.LET(_xlpm.id,mets[[#This Row],[name w/o location]],IF(IsElementOfSet_DIY(_xlpm.id,{"atp","adp","h","pi","h2o"}),SIGN(mets[[#This Row],[raw (GSM) coefficient]])*(ABS(mets[[#This Row],[raw (GSM) coefficient]])-$J$2),mets[[#This Row],[raw (GSM) coefficient]]))</f>
        <v>-0.31667299999999998</v>
      </c>
      <c r="H84" s="21">
        <f>mets[[#This Row],[coeff. w/o GAM]]</f>
        <v>-0.31667299999999998</v>
      </c>
      <c r="I84" s="161">
        <f t="shared" si="3"/>
        <v>-0.31608332372027215</v>
      </c>
      <c r="J84" s="21" cm="1">
        <f t="array" ref="J84">_xlfn.LET(_xlpm.id,mets[[#This Row],[name w/o location]],_xlpm.oldcoeff,mets[[#This Row],[normalized coeffs]],_xlpm.gam,$J$2-$G$2,_xlfn.IFS(IFERROR(MATCH(_xlpm.id,{"atp","h2o"},0),0)&gt;0,_xlpm.oldcoeff-_xlpm.gam,IFERROR(MATCH(_xlpm.id,{"adp","h","pi"},0),0)&gt;0,_xlpm.oldcoeff+_xlpm.gam,TRUE,_xlpm.oldcoeff))</f>
        <v>-0.31608332372027215</v>
      </c>
      <c r="K84" t="str" cm="1">
        <f t="array" ref="K84">"BIOSYN-"&amp;_xlfn.IFS(IFERROR(MATCH(mets[[#This Row],[category]],{0,"0",""},0),0)&gt;0,mets[[#This Row],[name]],TRUE,mets[[#This Row],[category]]&amp;"-"&amp;mets[[#This Row],[name]])</f>
        <v>BIOSYN-PROT-leutrna_c</v>
      </c>
      <c r="L84" s="149" t="str" cm="1">
        <f t="array" ref="L84">IF(IsElementOfSet_DIY(mets[[#This Row],[category]],{"ignore","PROT"}),"",_xlfn.LET(_xlpm.mw,mets[[#This Row],[MW for biomass normalization (g/mol)]],"MET-"&amp;mets[[#This Row],[name]]&amp;" --&gt; "&amp;IF((mets[[#This Row],[category]]="DNA")+(mets[[#This Row],[category]]="RNA"),"MET-ppi_c + ","")&amp;ROUND(ABS(_xlpm.mw/1000),6)&amp;" BIO-"&amp;mets[[#This Row],[name]]))</f>
        <v/>
      </c>
      <c r="M84" s="149" cm="1">
        <f t="array" ref="M8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-0.25927359216040247</v>
      </c>
      <c r="N84" s="149"/>
      <c r="O84" s="149"/>
      <c r="P84" s="149"/>
      <c r="Q84" s="149"/>
      <c r="R84" s="149"/>
      <c r="S84" s="149"/>
      <c r="T84" s="149"/>
      <c r="U84" s="149"/>
      <c r="V84" s="149"/>
    </row>
    <row r="85" spans="1:22" ht="16" x14ac:dyDescent="0.2">
      <c r="A85" s="144" t="s">
        <v>989</v>
      </c>
      <c r="B85" t="str">
        <f>SUBSTITUTE(_xlfn.TEXTBEFORE(mets[[#This Row],[pasted JSON metabolite keys and values from GSM biomass rxn]],":"),CHAR(34),"")</f>
        <v>lystrna_c</v>
      </c>
      <c r="C85" t="str">
        <f>_xlfn.TEXTBEFORE(mets[[#This Row],[name]],"_",-1)</f>
        <v>lystrna</v>
      </c>
      <c r="D85" t="str">
        <f>_xlfn.XLOOKUP(mets[[#This Row],[name w/o location]],metaboliteInfo[name w/o location],metaboliteInfo[suggested category],"")</f>
        <v>PROT</v>
      </c>
      <c r="E85" s="21">
        <f>_xlfn.XLOOKUP(mets[[#This Row],[name w/o location]],metaboliteInfo[name w/o location],metaboliteInfo[MW for biomass normalization (g/mol)],0)</f>
        <v>130.18816000000001</v>
      </c>
      <c r="F85" s="21">
        <f>_xlfn.NUMBERVALUE(SUBSTITUTE(_xlfn.TEXTAFTER(mets[[#This Row],[pasted JSON metabolite keys and values from GSM biomass rxn]],":"),",",""))</f>
        <v>-0.259743</v>
      </c>
      <c r="G85" s="21" cm="1">
        <f t="array" ref="G85">_xlfn.LET(_xlpm.id,mets[[#This Row],[name w/o location]],IF(IsElementOfSet_DIY(_xlpm.id,{"atp","adp","h","pi","h2o"}),SIGN(mets[[#This Row],[raw (GSM) coefficient]])*(ABS(mets[[#This Row],[raw (GSM) coefficient]])-$J$2),mets[[#This Row],[raw (GSM) coefficient]]))</f>
        <v>-0.259743</v>
      </c>
      <c r="H85" s="21">
        <f>mets[[#This Row],[coeff. w/o GAM]]</f>
        <v>-0.259743</v>
      </c>
      <c r="I85" s="161">
        <f t="shared" si="3"/>
        <v>-0.25925933298094456</v>
      </c>
      <c r="J85" s="21" cm="1">
        <f t="array" ref="J85">_xlfn.LET(_xlpm.id,mets[[#This Row],[name w/o location]],_xlpm.oldcoeff,mets[[#This Row],[normalized coeffs]],_xlpm.gam,$J$2-$G$2,_xlfn.IFS(IFERROR(MATCH(_xlpm.id,{"atp","h2o"},0),0)&gt;0,_xlpm.oldcoeff-_xlpm.gam,IFERROR(MATCH(_xlpm.id,{"adp","h","pi"},0),0)&gt;0,_xlpm.oldcoeff+_xlpm.gam,TRUE,_xlpm.oldcoeff))</f>
        <v>-0.25925933298094456</v>
      </c>
      <c r="K85" t="str" cm="1">
        <f t="array" ref="K85">"BIOSYN-"&amp;_xlfn.IFS(IFERROR(MATCH(mets[[#This Row],[category]],{0,"0",""},0),0)&gt;0,mets[[#This Row],[name]],TRUE,mets[[#This Row],[category]]&amp;"-"&amp;mets[[#This Row],[name]])</f>
        <v>BIOSYN-PROT-lystrna_c</v>
      </c>
      <c r="L85" s="149" t="str" cm="1">
        <f t="array" ref="L85">IF(IsElementOfSet_DIY(mets[[#This Row],[category]],{"ignore","PROT"}),"",_xlfn.LET(_xlpm.mw,mets[[#This Row],[MW for biomass normalization (g/mol)]],"MET-"&amp;mets[[#This Row],[name]]&amp;" --&gt; "&amp;IF((mets[[#This Row],[category]]="DNA")+(mets[[#This Row],[category]]="RNA"),"MET-ppi_c + ","")&amp;ROUND(ABS(_xlpm.mw/1000),6)&amp;" BIO-"&amp;mets[[#This Row],[name]]))</f>
        <v/>
      </c>
      <c r="M85" s="149" cm="1">
        <f t="array" ref="M8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-0.21266259090140119</v>
      </c>
      <c r="N85" s="149"/>
      <c r="O85" s="149"/>
      <c r="P85" s="149"/>
      <c r="Q85" s="149"/>
      <c r="R85" s="149"/>
      <c r="S85" s="149"/>
      <c r="T85" s="149"/>
      <c r="U85" s="149"/>
      <c r="V85" s="149"/>
    </row>
    <row r="86" spans="1:22" ht="16" x14ac:dyDescent="0.2">
      <c r="A86" s="144" t="s">
        <v>990</v>
      </c>
      <c r="B86" t="str">
        <f>SUBSTITUTE(_xlfn.TEXTBEFORE(mets[[#This Row],[pasted JSON metabolite keys and values from GSM biomass rxn]],":"),CHAR(34),"")</f>
        <v>mettrna_c</v>
      </c>
      <c r="C86" t="str">
        <f>_xlfn.TEXTBEFORE(mets[[#This Row],[name]],"_",-1)</f>
        <v>mettrna</v>
      </c>
      <c r="D86" t="str">
        <f>_xlfn.XLOOKUP(mets[[#This Row],[name w/o location]],metaboliteInfo[name w/o location],metaboliteInfo[suggested category],"")</f>
        <v>PROT</v>
      </c>
      <c r="E86" s="21">
        <f>_xlfn.XLOOKUP(mets[[#This Row],[name w/o location]],metaboliteInfo[name w/o location],metaboliteInfo[MW for biomass normalization (g/mol)],0)</f>
        <v>132.20400000000001</v>
      </c>
      <c r="F86" s="21">
        <f>_xlfn.NUMBERVALUE(SUBSTITUTE(_xlfn.TEXTAFTER(mets[[#This Row],[pasted JSON metabolite keys and values from GSM biomass rxn]],":"),",",""))</f>
        <v>-4.5069999999999999E-2</v>
      </c>
      <c r="G86" s="21" cm="1">
        <f t="array" ref="G86">_xlfn.LET(_xlpm.id,mets[[#This Row],[name w/o location]],IF(IsElementOfSet_DIY(_xlpm.id,{"atp","adp","h","pi","h2o"}),SIGN(mets[[#This Row],[raw (GSM) coefficient]])*(ABS(mets[[#This Row],[raw (GSM) coefficient]])-$J$2),mets[[#This Row],[raw (GSM) coefficient]]))</f>
        <v>-4.5069999999999999E-2</v>
      </c>
      <c r="H86" s="21">
        <f>mets[[#This Row],[coeff. w/o GAM]]</f>
        <v>-4.5069999999999999E-2</v>
      </c>
      <c r="I86" s="161">
        <f t="shared" si="3"/>
        <v>-4.4986075226093367E-2</v>
      </c>
      <c r="J86" s="21" cm="1">
        <f t="array" ref="J86">_xlfn.LET(_xlpm.id,mets[[#This Row],[name w/o location]],_xlpm.oldcoeff,mets[[#This Row],[normalized coeffs]],_xlpm.gam,$J$2-$G$2,_xlfn.IFS(IFERROR(MATCH(_xlpm.id,{"atp","h2o"},0),0)&gt;0,_xlpm.oldcoeff-_xlpm.gam,IFERROR(MATCH(_xlpm.id,{"adp","h","pi"},0),0)&gt;0,_xlpm.oldcoeff+_xlpm.gam,TRUE,_xlpm.oldcoeff))</f>
        <v>-4.4986075226093367E-2</v>
      </c>
      <c r="K86" t="str" cm="1">
        <f t="array" ref="K86">"BIOSYN-"&amp;_xlfn.IFS(IFERROR(MATCH(mets[[#This Row],[category]],{0,"0",""},0),0)&gt;0,mets[[#This Row],[name]],TRUE,mets[[#This Row],[category]]&amp;"-"&amp;mets[[#This Row],[name]])</f>
        <v>BIOSYN-PROT-mettrna_c</v>
      </c>
      <c r="L86" s="149" t="str" cm="1">
        <f t="array" ref="L86">IF(IsElementOfSet_DIY(mets[[#This Row],[category]],{"ignore","PROT"}),"",_xlfn.LET(_xlpm.mw,mets[[#This Row],[MW for biomass normalization (g/mol)]],"MET-"&amp;mets[[#This Row],[name]]&amp;" --&gt; "&amp;IF((mets[[#This Row],[category]]="DNA")+(mets[[#This Row],[category]]="RNA"),"MET-ppi_c + ","")&amp;ROUND(ABS(_xlpm.mw/1000),6)&amp;" BIO-"&amp;mets[[#This Row],[name]]))</f>
        <v/>
      </c>
      <c r="M86" s="149" cm="1">
        <f t="array" ref="M8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-3.6900717139349858E-2</v>
      </c>
      <c r="N86" s="149"/>
      <c r="O86" s="149"/>
      <c r="P86" s="149"/>
      <c r="Q86" s="149"/>
      <c r="R86" s="149"/>
      <c r="S86" s="149"/>
      <c r="T86" s="149"/>
      <c r="U86" s="149"/>
      <c r="V86" s="149"/>
    </row>
    <row r="87" spans="1:22" ht="16" x14ac:dyDescent="0.2">
      <c r="A87" s="144" t="s">
        <v>1001</v>
      </c>
      <c r="B87" t="str">
        <f>SUBSTITUTE(_xlfn.TEXTBEFORE(mets[[#This Row],[pasted JSON metabolite keys and values from GSM biomass rxn]],":"),CHAR(34),"")</f>
        <v>phetrna_c</v>
      </c>
      <c r="C87" t="str">
        <f>_xlfn.TEXTBEFORE(mets[[#This Row],[name]],"_",-1)</f>
        <v>phetrna</v>
      </c>
      <c r="D87" t="str">
        <f>_xlfn.XLOOKUP(mets[[#This Row],[name w/o location]],metaboliteInfo[name w/o location],metaboliteInfo[suggested category],"")</f>
        <v>PROT</v>
      </c>
      <c r="E87" s="21">
        <f>_xlfn.XLOOKUP(mets[[#This Row],[name w/o location]],metaboliteInfo[name w/o location],metaboliteInfo[MW for biomass normalization (g/mol)],0)</f>
        <v>148.18180000000001</v>
      </c>
      <c r="F87" s="21">
        <f>_xlfn.NUMBERVALUE(SUBSTITUTE(_xlfn.TEXTAFTER(mets[[#This Row],[pasted JSON metabolite keys and values from GSM biomass rxn]],":"),",",""))</f>
        <v>-0.14865100000000001</v>
      </c>
      <c r="G87" s="21" cm="1">
        <f t="array" ref="G87">_xlfn.LET(_xlpm.id,mets[[#This Row],[name w/o location]],IF(IsElementOfSet_DIY(_xlpm.id,{"atp","adp","h","pi","h2o"}),SIGN(mets[[#This Row],[raw (GSM) coefficient]])*(ABS(mets[[#This Row],[raw (GSM) coefficient]])-$J$2),mets[[#This Row],[raw (GSM) coefficient]]))</f>
        <v>-0.14865100000000001</v>
      </c>
      <c r="H87" s="21">
        <f>mets[[#This Row],[coeff. w/o GAM]]</f>
        <v>-0.14865100000000001</v>
      </c>
      <c r="I87" s="161">
        <f t="shared" si="3"/>
        <v>-0.14837419721397838</v>
      </c>
      <c r="J87" s="21" cm="1">
        <f t="array" ref="J87">_xlfn.LET(_xlpm.id,mets[[#This Row],[name w/o location]],_xlpm.oldcoeff,mets[[#This Row],[normalized coeffs]],_xlpm.gam,$J$2-$G$2,_xlfn.IFS(IFERROR(MATCH(_xlpm.id,{"atp","h2o"},0),0)&gt;0,_xlpm.oldcoeff-_xlpm.gam,IFERROR(MATCH(_xlpm.id,{"adp","h","pi"},0),0)&gt;0,_xlpm.oldcoeff+_xlpm.gam,TRUE,_xlpm.oldcoeff))</f>
        <v>-0.14837419721397838</v>
      </c>
      <c r="K87" t="str" cm="1">
        <f t="array" ref="K87">"BIOSYN-"&amp;_xlfn.IFS(IFERROR(MATCH(mets[[#This Row],[category]],{0,"0",""},0),0)&gt;0,mets[[#This Row],[name]],TRUE,mets[[#This Row],[category]]&amp;"-"&amp;mets[[#This Row],[name]])</f>
        <v>BIOSYN-PROT-phetrna_c</v>
      </c>
      <c r="L87" s="149" t="str" cm="1">
        <f t="array" ref="L87">IF(IsElementOfSet_DIY(mets[[#This Row],[category]],{"ignore","PROT"}),"",_xlfn.LET(_xlpm.mw,mets[[#This Row],[MW for biomass normalization (g/mol)]],"MET-"&amp;mets[[#This Row],[name]]&amp;" --&gt; "&amp;IF((mets[[#This Row],[category]]="DNA")+(mets[[#This Row],[category]]="RNA"),"MET-ppi_c + ","")&amp;ROUND(ABS(_xlpm.mw/1000),6)&amp;" BIO-"&amp;mets[[#This Row],[name]]))</f>
        <v/>
      </c>
      <c r="M87" s="149" cm="1">
        <f t="array" ref="M8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-0.12170686717287545</v>
      </c>
      <c r="N87" s="149"/>
      <c r="O87" s="149"/>
      <c r="P87" s="149"/>
      <c r="Q87" s="149"/>
      <c r="R87" s="149"/>
      <c r="S87" s="149"/>
      <c r="T87" s="149"/>
      <c r="U87" s="149"/>
      <c r="V87" s="149"/>
    </row>
    <row r="88" spans="1:22" ht="16" x14ac:dyDescent="0.2">
      <c r="A88" s="144" t="s">
        <v>1002</v>
      </c>
      <c r="B88" t="str">
        <f>SUBSTITUTE(_xlfn.TEXTBEFORE(mets[[#This Row],[pasted JSON metabolite keys and values from GSM biomass rxn]],":"),CHAR(34),"")</f>
        <v>protrna_c</v>
      </c>
      <c r="C88" t="str">
        <f>_xlfn.TEXTBEFORE(mets[[#This Row],[name]],"_",-1)</f>
        <v>protrna</v>
      </c>
      <c r="D88" t="str">
        <f>_xlfn.XLOOKUP(mets[[#This Row],[name w/o location]],metaboliteInfo[name w/o location],metaboliteInfo[suggested category],"")</f>
        <v>PROT</v>
      </c>
      <c r="E88" s="21">
        <f>_xlfn.XLOOKUP(mets[[#This Row],[name w/o location]],metaboliteInfo[name w/o location],metaboliteInfo[MW for biomass normalization (g/mol)],0)</f>
        <v>97.115179999999995</v>
      </c>
      <c r="F88" s="21">
        <f>_xlfn.NUMBERVALUE(SUBSTITUTE(_xlfn.TEXTAFTER(mets[[#This Row],[pasted JSON metabolite keys and values from GSM biomass rxn]],":"),",",""))</f>
        <v>-0.16683700000000001</v>
      </c>
      <c r="G88" s="21" cm="1">
        <f t="array" ref="G88">_xlfn.LET(_xlpm.id,mets[[#This Row],[name w/o location]],IF(IsElementOfSet_DIY(_xlpm.id,{"atp","adp","h","pi","h2o"}),SIGN(mets[[#This Row],[raw (GSM) coefficient]])*(ABS(mets[[#This Row],[raw (GSM) coefficient]])-$J$2),mets[[#This Row],[raw (GSM) coefficient]]))</f>
        <v>-0.16683700000000001</v>
      </c>
      <c r="H88" s="21">
        <f>mets[[#This Row],[coeff. w/o GAM]]</f>
        <v>-0.16683700000000001</v>
      </c>
      <c r="I88" s="161">
        <f t="shared" si="3"/>
        <v>-0.16652633309287199</v>
      </c>
      <c r="J88" s="21" cm="1">
        <f t="array" ref="J88">_xlfn.LET(_xlpm.id,mets[[#This Row],[name w/o location]],_xlpm.oldcoeff,mets[[#This Row],[normalized coeffs]],_xlpm.gam,$J$2-$G$2,_xlfn.IFS(IFERROR(MATCH(_xlpm.id,{"atp","h2o"},0),0)&gt;0,_xlpm.oldcoeff-_xlpm.gam,IFERROR(MATCH(_xlpm.id,{"adp","h","pi"},0),0)&gt;0,_xlpm.oldcoeff+_xlpm.gam,TRUE,_xlpm.oldcoeff))</f>
        <v>-0.16652633309287199</v>
      </c>
      <c r="K88" t="str" cm="1">
        <f t="array" ref="K88">"BIOSYN-"&amp;_xlfn.IFS(IFERROR(MATCH(mets[[#This Row],[category]],{0,"0",""},0),0)&gt;0,mets[[#This Row],[name]],TRUE,mets[[#This Row],[category]]&amp;"-"&amp;mets[[#This Row],[name]])</f>
        <v>BIOSYN-PROT-protrna_c</v>
      </c>
      <c r="L88" s="149" t="str" cm="1">
        <f t="array" ref="L88">IF(IsElementOfSet_DIY(mets[[#This Row],[category]],{"ignore","PROT"}),"",_xlfn.LET(_xlpm.mw,mets[[#This Row],[MW for biomass normalization (g/mol)]],"MET-"&amp;mets[[#This Row],[name]]&amp;" --&gt; "&amp;IF((mets[[#This Row],[category]]="DNA")+(mets[[#This Row],[category]]="RNA"),"MET-ppi_c + ","")&amp;ROUND(ABS(_xlpm.mw/1000),6)&amp;" BIO-"&amp;mets[[#This Row],[name]]))</f>
        <v/>
      </c>
      <c r="M88" s="149" cm="1">
        <f t="array" ref="M8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-0.13659651531789913</v>
      </c>
      <c r="N88" s="149"/>
      <c r="O88" s="149"/>
      <c r="P88" s="149"/>
      <c r="Q88" s="149"/>
      <c r="R88" s="149"/>
      <c r="S88" s="149"/>
      <c r="T88" s="149"/>
      <c r="U88" s="149"/>
      <c r="V88" s="149"/>
    </row>
    <row r="89" spans="1:22" ht="16" x14ac:dyDescent="0.2">
      <c r="A89" s="144" t="s">
        <v>1006</v>
      </c>
      <c r="B89" t="str">
        <f>SUBSTITUTE(_xlfn.TEXTBEFORE(mets[[#This Row],[pasted JSON metabolite keys and values from GSM biomass rxn]],":"),CHAR(34),"")</f>
        <v>sertrna_c</v>
      </c>
      <c r="C89" t="str">
        <f>_xlfn.TEXTBEFORE(mets[[#This Row],[name]],"_",-1)</f>
        <v>sertrna</v>
      </c>
      <c r="D89" t="str">
        <f>_xlfn.XLOOKUP(mets[[#This Row],[name w/o location]],metaboliteInfo[name w/o location],metaboliteInfo[suggested category],"")</f>
        <v>PROT</v>
      </c>
      <c r="E89" s="21">
        <f>_xlfn.XLOOKUP(mets[[#This Row],[name w/o location]],metaboliteInfo[name w/o location],metaboliteInfo[MW for biomass normalization (g/mol)],0)</f>
        <v>88.085239999999999</v>
      </c>
      <c r="F89" s="21">
        <f>_xlfn.NUMBERVALUE(SUBSTITUTE(_xlfn.TEXTAFTER(mets[[#This Row],[pasted JSON metabolite keys and values from GSM biomass rxn]],":"),",",""))</f>
        <v>-0.21071999999999999</v>
      </c>
      <c r="G89" s="21" cm="1">
        <f t="array" ref="G89">_xlfn.LET(_xlpm.id,mets[[#This Row],[name w/o location]],IF(IsElementOfSet_DIY(_xlpm.id,{"atp","adp","h","pi","h2o"}),SIGN(mets[[#This Row],[raw (GSM) coefficient]])*(ABS(mets[[#This Row],[raw (GSM) coefficient]])-$J$2),mets[[#This Row],[raw (GSM) coefficient]]))</f>
        <v>-0.21071999999999999</v>
      </c>
      <c r="H89" s="21">
        <f>mets[[#This Row],[coeff. w/o GAM]]</f>
        <v>-0.21071999999999999</v>
      </c>
      <c r="I89" s="161">
        <f t="shared" si="3"/>
        <v>-0.21032761862974028</v>
      </c>
      <c r="J89" s="21" cm="1">
        <f t="array" ref="J89">_xlfn.LET(_xlpm.id,mets[[#This Row],[name w/o location]],_xlpm.oldcoeff,mets[[#This Row],[normalized coeffs]],_xlpm.gam,$J$2-$G$2,_xlfn.IFS(IFERROR(MATCH(_xlpm.id,{"atp","h2o"},0),0)&gt;0,_xlpm.oldcoeff-_xlpm.gam,IFERROR(MATCH(_xlpm.id,{"adp","h","pi"},0),0)&gt;0,_xlpm.oldcoeff+_xlpm.gam,TRUE,_xlpm.oldcoeff))</f>
        <v>-0.21032761862974028</v>
      </c>
      <c r="K89" t="str" cm="1">
        <f t="array" ref="K89">"BIOSYN-"&amp;_xlfn.IFS(IFERROR(MATCH(mets[[#This Row],[category]],{0,"0",""},0),0)&gt;0,mets[[#This Row],[name]],TRUE,mets[[#This Row],[category]]&amp;"-"&amp;mets[[#This Row],[name]])</f>
        <v>BIOSYN-PROT-sertrna_c</v>
      </c>
      <c r="L89" s="149" t="str" cm="1">
        <f t="array" ref="L89">IF(IsElementOfSet_DIY(mets[[#This Row],[category]],{"ignore","PROT"}),"",_xlfn.LET(_xlpm.mw,mets[[#This Row],[MW for biomass normalization (g/mol)]],"MET-"&amp;mets[[#This Row],[name]]&amp;" --&gt; "&amp;IF((mets[[#This Row],[category]]="DNA")+(mets[[#This Row],[category]]="RNA"),"MET-ppi_c + ","")&amp;ROUND(ABS(_xlpm.mw/1000),6)&amp;" BIO-"&amp;mets[[#This Row],[name]]))</f>
        <v/>
      </c>
      <c r="M89" s="149" cm="1">
        <f t="array" ref="M89">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-0.17252538530294659</v>
      </c>
      <c r="N89" s="149"/>
      <c r="O89" s="149"/>
      <c r="P89" s="149"/>
      <c r="Q89" s="149"/>
      <c r="R89" s="149"/>
      <c r="S89" s="149"/>
      <c r="T89" s="149"/>
      <c r="U89" s="149"/>
      <c r="V89" s="149"/>
    </row>
    <row r="90" spans="1:22" ht="16" x14ac:dyDescent="0.2">
      <c r="A90" s="144" t="s">
        <v>1012</v>
      </c>
      <c r="B90" t="str">
        <f>SUBSTITUTE(_xlfn.TEXTBEFORE(mets[[#This Row],[pasted JSON metabolite keys and values from GSM biomass rxn]],":"),CHAR(34),"")</f>
        <v>thrtrna_c</v>
      </c>
      <c r="C90" t="str">
        <f>_xlfn.TEXTBEFORE(mets[[#This Row],[name]],"_",-1)</f>
        <v>thrtrna</v>
      </c>
      <c r="D90" t="str">
        <f>_xlfn.XLOOKUP(mets[[#This Row],[name w/o location]],metaboliteInfo[name w/o location],metaboliteInfo[suggested category],"")</f>
        <v>PROT</v>
      </c>
      <c r="E90" s="21">
        <f>_xlfn.XLOOKUP(mets[[#This Row],[name w/o location]],metaboliteInfo[name w/o location],metaboliteInfo[MW for biomass normalization (g/mol)],0)</f>
        <v>102.11181999999999</v>
      </c>
      <c r="F90" s="21">
        <f>_xlfn.NUMBERVALUE(SUBSTITUTE(_xlfn.TEXTAFTER(mets[[#This Row],[pasted JSON metabolite keys and values from GSM biomass rxn]],":"),",",""))</f>
        <v>-0.22020899999999999</v>
      </c>
      <c r="G90" s="21" cm="1">
        <f t="array" ref="G90">_xlfn.LET(_xlpm.id,mets[[#This Row],[name w/o location]],IF(IsElementOfSet_DIY(_xlpm.id,{"atp","adp","h","pi","h2o"}),SIGN(mets[[#This Row],[raw (GSM) coefficient]])*(ABS(mets[[#This Row],[raw (GSM) coefficient]])-$J$2),mets[[#This Row],[raw (GSM) coefficient]]))</f>
        <v>-0.22020899999999999</v>
      </c>
      <c r="H90" s="21">
        <f>mets[[#This Row],[coeff. w/o GAM]]</f>
        <v>-0.22020899999999999</v>
      </c>
      <c r="I90" s="161">
        <f t="shared" si="3"/>
        <v>-0.21979894917822929</v>
      </c>
      <c r="J90" s="21" cm="1">
        <f t="array" ref="J90">_xlfn.LET(_xlpm.id,mets[[#This Row],[name w/o location]],_xlpm.oldcoeff,mets[[#This Row],[normalized coeffs]],_xlpm.gam,$J$2-$G$2,_xlfn.IFS(IFERROR(MATCH(_xlpm.id,{"atp","h2o"},0),0)&gt;0,_xlpm.oldcoeff-_xlpm.gam,IFERROR(MATCH(_xlpm.id,{"adp","h","pi"},0),0)&gt;0,_xlpm.oldcoeff+_xlpm.gam,TRUE,_xlpm.oldcoeff))</f>
        <v>-0.21979894917822929</v>
      </c>
      <c r="K90" t="str" cm="1">
        <f t="array" ref="K90">"BIOSYN-"&amp;_xlfn.IFS(IFERROR(MATCH(mets[[#This Row],[category]],{0,"0",""},0),0)&gt;0,mets[[#This Row],[name]],TRUE,mets[[#This Row],[category]]&amp;"-"&amp;mets[[#This Row],[name]])</f>
        <v>BIOSYN-PROT-thrtrna_c</v>
      </c>
      <c r="L90" s="149" t="str" cm="1">
        <f t="array" ref="L90">IF(IsElementOfSet_DIY(mets[[#This Row],[category]],{"ignore","PROT"}),"",_xlfn.LET(_xlpm.mw,mets[[#This Row],[MW for biomass normalization (g/mol)]],"MET-"&amp;mets[[#This Row],[name]]&amp;" --&gt; "&amp;IF((mets[[#This Row],[category]]="DNA")+(mets[[#This Row],[category]]="RNA"),"MET-ppi_c + ","")&amp;ROUND(ABS(_xlpm.mw/1000),6)&amp;" BIO-"&amp;mets[[#This Row],[name]]))</f>
        <v/>
      </c>
      <c r="M90" s="149" cm="1">
        <f t="array" ref="M90">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-0.18029443134100495</v>
      </c>
      <c r="N90" s="149"/>
      <c r="O90" s="149"/>
      <c r="P90" s="149"/>
      <c r="Q90" s="149"/>
      <c r="R90" s="149"/>
      <c r="S90" s="149"/>
      <c r="T90" s="149"/>
      <c r="U90" s="149"/>
      <c r="V90" s="149"/>
    </row>
    <row r="91" spans="1:22" ht="16" x14ac:dyDescent="0.2">
      <c r="A91" s="144" t="s">
        <v>1033</v>
      </c>
      <c r="B91" t="str">
        <f>SUBSTITUTE(_xlfn.TEXTBEFORE(mets[[#This Row],[pasted JSON metabolite keys and values from GSM biomass rxn]],":"),CHAR(34),"")</f>
        <v>trptrna_c</v>
      </c>
      <c r="C91" t="str">
        <f>_xlfn.TEXTBEFORE(mets[[#This Row],[name]],"_",-1)</f>
        <v>trptrna</v>
      </c>
      <c r="D91" t="str">
        <f>_xlfn.XLOOKUP(mets[[#This Row],[name w/o location]],metaboliteInfo[name w/o location],metaboliteInfo[suggested category],"")</f>
        <v>PROT</v>
      </c>
      <c r="E91" s="21">
        <f>_xlfn.XLOOKUP(mets[[#This Row],[name w/o location]],metaboliteInfo[name w/o location],metaboliteInfo[MW for biomass normalization (g/mol)],0)</f>
        <v>187.21784</v>
      </c>
      <c r="F91" s="21">
        <f>_xlfn.NUMBERVALUE(SUBSTITUTE(_xlfn.TEXTAFTER(mets[[#This Row],[pasted JSON metabolite keys and values from GSM biomass rxn]],":"),",",""))</f>
        <v>-2.5697999999999999E-2</v>
      </c>
      <c r="G91" s="21" cm="1">
        <f t="array" ref="G91">_xlfn.LET(_xlpm.id,mets[[#This Row],[name w/o location]],IF(IsElementOfSet_DIY(_xlpm.id,{"atp","adp","h","pi","h2o"}),SIGN(mets[[#This Row],[raw (GSM) coefficient]])*(ABS(mets[[#This Row],[raw (GSM) coefficient]])-$J$2),mets[[#This Row],[raw (GSM) coefficient]]))</f>
        <v>-2.5697999999999999E-2</v>
      </c>
      <c r="H91" s="21">
        <f>mets[[#This Row],[coeff. w/o GAM]]</f>
        <v>-2.5697999999999999E-2</v>
      </c>
      <c r="I91" s="161">
        <f t="shared" si="3"/>
        <v>-2.5650147795876356E-2</v>
      </c>
      <c r="J91" s="21" cm="1">
        <f t="array" ref="J91">_xlfn.LET(_xlpm.id,mets[[#This Row],[name w/o location]],_xlpm.oldcoeff,mets[[#This Row],[normalized coeffs]],_xlpm.gam,$J$2-$G$2,_xlfn.IFS(IFERROR(MATCH(_xlpm.id,{"atp","h2o"},0),0)&gt;0,_xlpm.oldcoeff-_xlpm.gam,IFERROR(MATCH(_xlpm.id,{"adp","h","pi"},0),0)&gt;0,_xlpm.oldcoeff+_xlpm.gam,TRUE,_xlpm.oldcoeff))</f>
        <v>-2.5650147795876356E-2</v>
      </c>
      <c r="K91" t="str" cm="1">
        <f t="array" ref="K91">"BIOSYN-"&amp;_xlfn.IFS(IFERROR(MATCH(mets[[#This Row],[category]],{0,"0",""},0),0)&gt;0,mets[[#This Row],[name]],TRUE,mets[[#This Row],[category]]&amp;"-"&amp;mets[[#This Row],[name]])</f>
        <v>BIOSYN-PROT-trptrna_c</v>
      </c>
      <c r="L91" s="149" t="str" cm="1">
        <f t="array" ref="L91">IF(IsElementOfSet_DIY(mets[[#This Row],[category]],{"ignore","PROT"}),"",_xlfn.LET(_xlpm.mw,mets[[#This Row],[MW for biomass normalization (g/mol)]],"MET-"&amp;mets[[#This Row],[name]]&amp;" --&gt; "&amp;IF((mets[[#This Row],[category]]="DNA")+(mets[[#This Row],[category]]="RNA"),"MET-ppi_c + ","")&amp;ROUND(ABS(_xlpm.mw/1000),6)&amp;" BIO-"&amp;mets[[#This Row],[name]]))</f>
        <v/>
      </c>
      <c r="M91" s="149" cm="1">
        <f t="array" ref="M91">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-2.1040040582361055E-2</v>
      </c>
      <c r="N91" s="149"/>
      <c r="O91" s="149"/>
      <c r="P91" s="149"/>
      <c r="Q91" s="149"/>
      <c r="R91" s="149"/>
      <c r="S91" s="149"/>
      <c r="T91" s="149"/>
      <c r="U91" s="149"/>
      <c r="V91" s="149"/>
    </row>
    <row r="92" spans="1:22" ht="16" x14ac:dyDescent="0.2">
      <c r="A92" s="144" t="s">
        <v>1035</v>
      </c>
      <c r="B92" t="str">
        <f>SUBSTITUTE(_xlfn.TEXTBEFORE(mets[[#This Row],[pasted JSON metabolite keys and values from GSM biomass rxn]],":"),CHAR(34),"")</f>
        <v>tyrtrna_c</v>
      </c>
      <c r="C92" t="str">
        <f>_xlfn.TEXTBEFORE(mets[[#This Row],[name]],"_",-1)</f>
        <v>tyrtrna</v>
      </c>
      <c r="D92" t="str">
        <f>_xlfn.XLOOKUP(mets[[#This Row],[name w/o location]],metaboliteInfo[name w/o location],metaboliteInfo[suggested category],"")</f>
        <v>PROT</v>
      </c>
      <c r="E92" s="21">
        <f>_xlfn.XLOOKUP(mets[[#This Row],[name w/o location]],metaboliteInfo[name w/o location],metaboliteInfo[MW for biomass normalization (g/mol)],0)</f>
        <v>164.18119999999999</v>
      </c>
      <c r="F92" s="21">
        <f>_xlfn.NUMBERVALUE(SUBSTITUTE(_xlfn.TEXTAFTER(mets[[#This Row],[pasted JSON metabolite keys and values from GSM biomass rxn]],":"),",",""))</f>
        <v>-7.7488000000000001E-2</v>
      </c>
      <c r="G92" s="21" cm="1">
        <f t="array" ref="G92">_xlfn.LET(_xlpm.id,mets[[#This Row],[name w/o location]],IF(IsElementOfSet_DIY(_xlpm.id,{"atp","adp","h","pi","h2o"}),SIGN(mets[[#This Row],[raw (GSM) coefficient]])*(ABS(mets[[#This Row],[raw (GSM) coefficient]])-$J$2),mets[[#This Row],[raw (GSM) coefficient]]))</f>
        <v>-7.7488000000000001E-2</v>
      </c>
      <c r="H92" s="21">
        <f>mets[[#This Row],[coeff. w/o GAM]]</f>
        <v>-7.7488000000000001E-2</v>
      </c>
      <c r="I92" s="161">
        <f t="shared" si="3"/>
        <v>-7.7343709720868056E-2</v>
      </c>
      <c r="J92" s="21" cm="1">
        <f t="array" ref="J92">_xlfn.LET(_xlpm.id,mets[[#This Row],[name w/o location]],_xlpm.oldcoeff,mets[[#This Row],[normalized coeffs]],_xlpm.gam,$J$2-$G$2,_xlfn.IFS(IFERROR(MATCH(_xlpm.id,{"atp","h2o"},0),0)&gt;0,_xlpm.oldcoeff-_xlpm.gam,IFERROR(MATCH(_xlpm.id,{"adp","h","pi"},0),0)&gt;0,_xlpm.oldcoeff+_xlpm.gam,TRUE,_xlpm.oldcoeff))</f>
        <v>-7.7343709720868056E-2</v>
      </c>
      <c r="K92" t="str" cm="1">
        <f t="array" ref="K92">"BIOSYN-"&amp;_xlfn.IFS(IFERROR(MATCH(mets[[#This Row],[category]],{0,"0",""},0),0)&gt;0,mets[[#This Row],[name]],TRUE,mets[[#This Row],[category]]&amp;"-"&amp;mets[[#This Row],[name]])</f>
        <v>BIOSYN-PROT-tyrtrna_c</v>
      </c>
      <c r="L92" s="149" t="str" cm="1">
        <f t="array" ref="L92">IF(IsElementOfSet_DIY(mets[[#This Row],[category]],{"ignore","PROT"}),"",_xlfn.LET(_xlpm.mw,mets[[#This Row],[MW for biomass normalization (g/mol)]],"MET-"&amp;mets[[#This Row],[name]]&amp;" --&gt; "&amp;IF((mets[[#This Row],[category]]="DNA")+(mets[[#This Row],[category]]="RNA"),"MET-ppi_c + ","")&amp;ROUND(ABS(_xlpm.mw/1000),6)&amp;" BIO-"&amp;mets[[#This Row],[name]]))</f>
        <v/>
      </c>
      <c r="M92" s="149" cm="1">
        <f t="array" ref="M92">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-6.3442706227955226E-2</v>
      </c>
      <c r="N92" s="149"/>
      <c r="O92" s="149"/>
      <c r="P92" s="149"/>
      <c r="Q92" s="149"/>
      <c r="R92" s="149"/>
      <c r="S92" s="149"/>
      <c r="T92" s="149"/>
      <c r="U92" s="149"/>
      <c r="V92" s="149"/>
    </row>
    <row r="93" spans="1:22" ht="16" x14ac:dyDescent="0.2">
      <c r="A93" s="144" t="s">
        <v>1036</v>
      </c>
      <c r="B93" t="str">
        <f>SUBSTITUTE(_xlfn.TEXTBEFORE(mets[[#This Row],[pasted JSON metabolite keys and values from GSM biomass rxn]],":"),CHAR(34),"")</f>
        <v>valtrna_c</v>
      </c>
      <c r="C93" t="str">
        <f>_xlfn.TEXTBEFORE(mets[[#This Row],[name]],"_",-1)</f>
        <v>valtrna</v>
      </c>
      <c r="D93" t="str">
        <f>_xlfn.XLOOKUP(mets[[#This Row],[name w/o location]],metaboliteInfo[name w/o location],metaboliteInfo[suggested category],"")</f>
        <v>PROT</v>
      </c>
      <c r="E93" s="21">
        <f>_xlfn.XLOOKUP(mets[[#This Row],[name w/o location]],metaboliteInfo[name w/o location],metaboliteInfo[MW for biomass normalization (g/mol)],0)</f>
        <v>100.139</v>
      </c>
      <c r="F93" s="21">
        <f>_xlfn.NUMBERVALUE(SUBSTITUTE(_xlfn.TEXTAFTER(mets[[#This Row],[pasted JSON metabolite keys and values from GSM biomass rxn]],":"),",",""))</f>
        <v>-0.28978999999999999</v>
      </c>
      <c r="G93" s="21" cm="1">
        <f t="array" ref="G93">_xlfn.LET(_xlpm.id,mets[[#This Row],[name w/o location]],IF(IsElementOfSet_DIY(_xlpm.id,{"atp","adp","h","pi","h2o"}),SIGN(mets[[#This Row],[raw (GSM) coefficient]])*(ABS(mets[[#This Row],[raw (GSM) coefficient]])-$J$2),mets[[#This Row],[raw (GSM) coefficient]]))</f>
        <v>-0.28978999999999999</v>
      </c>
      <c r="H93" s="21">
        <f>mets[[#This Row],[coeff. w/o GAM]]</f>
        <v>-0.28978999999999999</v>
      </c>
      <c r="I93" s="161">
        <f t="shared" si="3"/>
        <v>-0.28925038251097396</v>
      </c>
      <c r="J93" s="21" cm="1">
        <f t="array" ref="J93">_xlfn.LET(_xlpm.id,mets[[#This Row],[name w/o location]],_xlpm.oldcoeff,mets[[#This Row],[normalized coeffs]],_xlpm.gam,$J$2-$G$2,_xlfn.IFS(IFERROR(MATCH(_xlpm.id,{"atp","h2o"},0),0)&gt;0,_xlpm.oldcoeff-_xlpm.gam,IFERROR(MATCH(_xlpm.id,{"adp","h","pi"},0),0)&gt;0,_xlpm.oldcoeff+_xlpm.gam,TRUE,_xlpm.oldcoeff))</f>
        <v>-0.28925038251097396</v>
      </c>
      <c r="K93" t="str" cm="1">
        <f t="array" ref="K93">"BIOSYN-"&amp;_xlfn.IFS(IFERROR(MATCH(mets[[#This Row],[category]],{0,"0",""},0),0)&gt;0,mets[[#This Row],[name]],TRUE,mets[[#This Row],[category]]&amp;"-"&amp;mets[[#This Row],[name]])</f>
        <v>BIOSYN-PROT-valtrna_c</v>
      </c>
      <c r="L93" s="149" t="str" cm="1">
        <f t="array" ref="L93">IF(IsElementOfSet_DIY(mets[[#This Row],[category]],{"ignore","PROT"}),"",_xlfn.LET(_xlpm.mw,mets[[#This Row],[MW for biomass normalization (g/mol)]],"MET-"&amp;mets[[#This Row],[name]]&amp;" --&gt; "&amp;IF((mets[[#This Row],[category]]="DNA")+(mets[[#This Row],[category]]="RNA"),"MET-ppi_c + ","")&amp;ROUND(ABS(_xlpm.mw/1000),6)&amp;" BIO-"&amp;mets[[#This Row],[name]]))</f>
        <v/>
      </c>
      <c r="M93" s="149" cm="1">
        <f t="array" ref="M93">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-0.23726334190841347</v>
      </c>
      <c r="N93" s="149"/>
      <c r="O93" s="149"/>
      <c r="P93" s="149"/>
      <c r="Q93" s="149"/>
      <c r="R93" s="149"/>
      <c r="S93" s="149"/>
      <c r="T93" s="149"/>
      <c r="U93" s="149"/>
      <c r="V93" s="149"/>
    </row>
    <row r="94" spans="1:22" ht="16" x14ac:dyDescent="0.2">
      <c r="A94" s="144" t="s">
        <v>1038</v>
      </c>
      <c r="B94" t="str">
        <f>SUBSTITUTE(_xlfn.TEXTBEFORE(mets[[#This Row],[pasted JSON metabolite keys and values from GSM biomass rxn]],":"),CHAR(34),"")</f>
        <v>atp_c</v>
      </c>
      <c r="C94" t="str">
        <f>_xlfn.TEXTBEFORE(mets[[#This Row],[name]],"_",-1)</f>
        <v>atp</v>
      </c>
      <c r="D94" t="str">
        <f>_xlfn.XLOOKUP(mets[[#This Row],[name w/o location]],metaboliteInfo[name w/o location],metaboliteInfo[suggested category],"")</f>
        <v>RNA</v>
      </c>
      <c r="E94" s="21">
        <f>_xlfn.XLOOKUP(mets[[#This Row],[name w/o location]],metaboliteInfo[name w/o location],metaboliteInfo[MW for biomass normalization (g/mol)],0)</f>
        <v>328.19800099999998</v>
      </c>
      <c r="F94" s="21">
        <f>_xlfn.NUMBERVALUE(SUBSTITUTE(_xlfn.TEXTAFTER(mets[[#This Row],[pasted JSON metabolite keys and values from GSM biomass rxn]],":"),",",""))</f>
        <v>-187.18150199999999</v>
      </c>
      <c r="G94" s="21" cm="1">
        <f t="array" ref="G94">_xlfn.LET(_xlpm.id,mets[[#This Row],[name w/o location]],IF(IsElementOfSet_DIY(_xlpm.id,{"atp","adp","h","pi","h2o"}),SIGN(mets[[#This Row],[raw (GSM) coefficient]])*(ABS(mets[[#This Row],[raw (GSM) coefficient]])-$J$2),mets[[#This Row],[raw (GSM) coefficient]]))</f>
        <v>-4.0406999999987647E-2</v>
      </c>
      <c r="H94" s="21">
        <f>mets[[#This Row],[coeff. w/o GAM]]</f>
        <v>-4.0406999999987647E-2</v>
      </c>
      <c r="I94" s="161">
        <f t="shared" si="3"/>
        <v>-4.0331758190818703E-2</v>
      </c>
      <c r="J94" s="21" cm="1">
        <f t="array" ref="J94">_xlfn.LET(_xlpm.id,mets[[#This Row],[name w/o location]],_xlpm.oldcoeff,mets[[#This Row],[normalized coeffs]],_xlpm.gam,$J$2-$G$2,_xlfn.IFS(IFERROR(MATCH(_xlpm.id,{"atp","h2o"},0),0)&gt;0,_xlpm.oldcoeff-_xlpm.gam,IFERROR(MATCH(_xlpm.id,{"adp","h","pi"},0),0)&gt;0,_xlpm.oldcoeff+_xlpm.gam,TRUE,_xlpm.oldcoeff))</f>
        <v>-180.49142675819084</v>
      </c>
      <c r="K94" t="str" cm="1">
        <f t="array" ref="K94">"BIOSYN-"&amp;_xlfn.IFS(IFERROR(MATCH(mets[[#This Row],[category]],{0,"0",""},0),0)&gt;0,mets[[#This Row],[name]],TRUE,mets[[#This Row],[category]]&amp;"-"&amp;mets[[#This Row],[name]])</f>
        <v>BIOSYN-RNA-atp_c</v>
      </c>
      <c r="L94" s="149" t="str" cm="1">
        <f t="array" ref="L94">IF(IsElementOfSet_DIY(mets[[#This Row],[category]],{"ignore","PROT"}),"",_xlfn.LET(_xlpm.mw,mets[[#This Row],[MW for biomass normalization (g/mol)]],"MET-"&amp;mets[[#This Row],[name]]&amp;" --&gt; "&amp;IF((mets[[#This Row],[category]]="DNA")+(mets[[#This Row],[category]]="RNA"),"MET-ppi_c + ","")&amp;ROUND(ABS(_xlpm.mw/1000),6)&amp;" BIO-"&amp;mets[[#This Row],[name]]))</f>
        <v>MET-atp_c --&gt; MET-ppi_c + 0.328198 BIO-atp_c</v>
      </c>
      <c r="M94" s="149" cm="1">
        <f t="array" ref="M94">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-187.17457440811683</v>
      </c>
      <c r="N94" s="149"/>
      <c r="O94" s="149"/>
      <c r="P94" s="149"/>
      <c r="Q94" s="149"/>
      <c r="R94" s="149"/>
      <c r="S94" s="149"/>
      <c r="T94" s="149"/>
      <c r="U94" s="149"/>
      <c r="V94" s="149"/>
    </row>
    <row r="95" spans="1:22" ht="16" x14ac:dyDescent="0.2">
      <c r="A95" s="144" t="s">
        <v>1039</v>
      </c>
      <c r="B95" t="str">
        <f>SUBSTITUTE(_xlfn.TEXTBEFORE(mets[[#This Row],[pasted JSON metabolite keys and values from GSM biomass rxn]],":"),CHAR(34),"")</f>
        <v>ctp_c</v>
      </c>
      <c r="C95" t="str">
        <f>_xlfn.TEXTBEFORE(mets[[#This Row],[name]],"_",-1)</f>
        <v>ctp</v>
      </c>
      <c r="D95" t="str">
        <f>_xlfn.XLOOKUP(mets[[#This Row],[name w/o location]],metaboliteInfo[name w/o location],metaboliteInfo[suggested category],"")</f>
        <v>RNA</v>
      </c>
      <c r="E95" s="21">
        <f>_xlfn.XLOOKUP(mets[[#This Row],[name w/o location]],metaboliteInfo[name w/o location],metaboliteInfo[MW for biomass normalization (g/mol)],0)</f>
        <v>304.17330100000004</v>
      </c>
      <c r="F95" s="21">
        <f>_xlfn.NUMBERVALUE(SUBSTITUTE(_xlfn.TEXTAFTER(mets[[#This Row],[pasted JSON metabolite keys and values from GSM biomass rxn]],":"),",",""))</f>
        <v>-7.0531999999999997E-2</v>
      </c>
      <c r="G95" s="21" cm="1">
        <f t="array" ref="G95">_xlfn.LET(_xlpm.id,mets[[#This Row],[name w/o location]],IF(IsElementOfSet_DIY(_xlpm.id,{"atp","adp","h","pi","h2o"}),SIGN(mets[[#This Row],[raw (GSM) coefficient]])*(ABS(mets[[#This Row],[raw (GSM) coefficient]])-$J$2),mets[[#This Row],[raw (GSM) coefficient]]))</f>
        <v>-7.0531999999999997E-2</v>
      </c>
      <c r="H95" s="21">
        <f>mets[[#This Row],[coeff. w/o GAM]]</f>
        <v>-7.0531999999999997E-2</v>
      </c>
      <c r="I95" s="161">
        <f t="shared" si="3"/>
        <v>-7.0400662477186987E-2</v>
      </c>
      <c r="J95" s="21" cm="1">
        <f t="array" ref="J95">_xlfn.LET(_xlpm.id,mets[[#This Row],[name w/o location]],_xlpm.oldcoeff,mets[[#This Row],[normalized coeffs]],_xlpm.gam,$J$2-$G$2,_xlfn.IFS(IFERROR(MATCH(_xlpm.id,{"atp","h2o"},0),0)&gt;0,_xlpm.oldcoeff-_xlpm.gam,IFERROR(MATCH(_xlpm.id,{"adp","h","pi"},0),0)&gt;0,_xlpm.oldcoeff+_xlpm.gam,TRUE,_xlpm.oldcoeff))</f>
        <v>-7.0400662477186987E-2</v>
      </c>
      <c r="K95" t="str" cm="1">
        <f t="array" ref="K95">"BIOSYN-"&amp;_xlfn.IFS(IFERROR(MATCH(mets[[#This Row],[category]],{0,"0",""},0),0)&gt;0,mets[[#This Row],[name]],TRUE,mets[[#This Row],[category]]&amp;"-"&amp;mets[[#This Row],[name]])</f>
        <v>BIOSYN-RNA-ctp_c</v>
      </c>
      <c r="L95" s="149" t="str" cm="1">
        <f t="array" ref="L95">IF(IsElementOfSet_DIY(mets[[#This Row],[category]],{"ignore","PROT"}),"",_xlfn.LET(_xlpm.mw,mets[[#This Row],[MW for biomass normalization (g/mol)]],"MET-"&amp;mets[[#This Row],[name]]&amp;" --&gt; "&amp;IF((mets[[#This Row],[category]]="DNA")+(mets[[#This Row],[category]]="RNA"),"MET-ppi_c + ","")&amp;ROUND(ABS(_xlpm.mw/1000),6)&amp;" BIO-"&amp;mets[[#This Row],[name]]))</f>
        <v>MET-ctp_c --&gt; MET-ppi_c + 0.304173 BIO-ctp_c</v>
      </c>
      <c r="M95" s="149" cm="1">
        <f t="array" ref="M95">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-5.8439617227135789E-2</v>
      </c>
      <c r="N95" s="149"/>
      <c r="O95" s="149"/>
      <c r="P95" s="149"/>
      <c r="Q95" s="149"/>
      <c r="R95" s="149"/>
      <c r="S95" s="149"/>
      <c r="T95" s="149"/>
      <c r="U95" s="149"/>
      <c r="V95" s="149"/>
    </row>
    <row r="96" spans="1:22" ht="16" x14ac:dyDescent="0.2">
      <c r="A96" s="144" t="s">
        <v>1040</v>
      </c>
      <c r="B96" t="str">
        <f>SUBSTITUTE(_xlfn.TEXTBEFORE(mets[[#This Row],[pasted JSON metabolite keys and values from GSM biomass rxn]],":"),CHAR(34),"")</f>
        <v>gtp_c</v>
      </c>
      <c r="C96" t="str">
        <f>_xlfn.TEXTBEFORE(mets[[#This Row],[name]],"_",-1)</f>
        <v>gtp</v>
      </c>
      <c r="D96" t="str">
        <f>_xlfn.XLOOKUP(mets[[#This Row],[name w/o location]],metaboliteInfo[name w/o location],metaboliteInfo[suggested category],"")</f>
        <v>RNA</v>
      </c>
      <c r="E96" s="21">
        <f>_xlfn.XLOOKUP(mets[[#This Row],[name w/o location]],metaboliteInfo[name w/o location],metaboliteInfo[MW for biomass normalization (g/mol)],0)</f>
        <v>344.19740100000001</v>
      </c>
      <c r="F96" s="21">
        <f>_xlfn.NUMBERVALUE(SUBSTITUTE(_xlfn.TEXTAFTER(mets[[#This Row],[pasted JSON metabolite keys and values from GSM biomass rxn]],":"),",",""))</f>
        <v>-6.1801000000000002E-2</v>
      </c>
      <c r="G96" s="21" cm="1">
        <f t="array" ref="G96">_xlfn.LET(_xlpm.id,mets[[#This Row],[name w/o location]],IF(IsElementOfSet_DIY(_xlpm.id,{"atp","adp","h","pi","h2o"}),SIGN(mets[[#This Row],[raw (GSM) coefficient]])*(ABS(mets[[#This Row],[raw (GSM) coefficient]])-$J$2),mets[[#This Row],[raw (GSM) coefficient]]))</f>
        <v>-6.1801000000000002E-2</v>
      </c>
      <c r="H96" s="21">
        <f>mets[[#This Row],[coeff. w/o GAM]]</f>
        <v>-6.1801000000000002E-2</v>
      </c>
      <c r="I96" s="161">
        <f t="shared" si="3"/>
        <v>-6.1685920458127277E-2</v>
      </c>
      <c r="J96" s="21" cm="1">
        <f t="array" ref="J96">_xlfn.LET(_xlpm.id,mets[[#This Row],[name w/o location]],_xlpm.oldcoeff,mets[[#This Row],[normalized coeffs]],_xlpm.gam,$J$2-$G$2,_xlfn.IFS(IFERROR(MATCH(_xlpm.id,{"atp","h2o"},0),0)&gt;0,_xlpm.oldcoeff-_xlpm.gam,IFERROR(MATCH(_xlpm.id,{"adp","h","pi"},0),0)&gt;0,_xlpm.oldcoeff+_xlpm.gam,TRUE,_xlpm.oldcoeff))</f>
        <v>-6.1685920458127277E-2</v>
      </c>
      <c r="K96" t="str" cm="1">
        <f t="array" ref="K96">"BIOSYN-"&amp;_xlfn.IFS(IFERROR(MATCH(mets[[#This Row],[category]],{0,"0",""},0),0)&gt;0,mets[[#This Row],[name]],TRUE,mets[[#This Row],[category]]&amp;"-"&amp;mets[[#This Row],[name]])</f>
        <v>BIOSYN-RNA-gtp_c</v>
      </c>
      <c r="L96" s="149" t="str" cm="1">
        <f t="array" ref="L96">IF(IsElementOfSet_DIY(mets[[#This Row],[category]],{"ignore","PROT"}),"",_xlfn.LET(_xlpm.mw,mets[[#This Row],[MW for biomass normalization (g/mol)]],"MET-"&amp;mets[[#This Row],[name]]&amp;" --&gt; "&amp;IF((mets[[#This Row],[category]]="DNA")+(mets[[#This Row],[category]]="RNA"),"MET-ppi_c + ","")&amp;ROUND(ABS(_xlpm.mw/1000),6)&amp;" BIO-"&amp;mets[[#This Row],[name]]))</f>
        <v>MET-gtp_c --&gt; MET-ppi_c + 0.344197 BIO-gtp_c</v>
      </c>
      <c r="M96" s="149" cm="1">
        <f t="array" ref="M96">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-5.1205506497110802E-2</v>
      </c>
      <c r="N96" s="149"/>
      <c r="O96" s="149"/>
      <c r="P96" s="149"/>
      <c r="Q96" s="149"/>
      <c r="R96" s="149"/>
      <c r="S96" s="149"/>
      <c r="T96" s="149"/>
      <c r="U96" s="149"/>
      <c r="V96" s="149"/>
    </row>
    <row r="97" spans="1:22" ht="16" x14ac:dyDescent="0.2">
      <c r="A97" s="144" t="s">
        <v>1043</v>
      </c>
      <c r="B97" t="str">
        <f>SUBSTITUTE(_xlfn.TEXTBEFORE(mets[[#This Row],[pasted JSON metabolite keys and values from GSM biomass rxn]],":"),CHAR(34),"")</f>
        <v>utp_c</v>
      </c>
      <c r="C97" t="str">
        <f>_xlfn.TEXTBEFORE(mets[[#This Row],[name]],"_",-1)</f>
        <v>utp</v>
      </c>
      <c r="D97" t="str">
        <f>_xlfn.XLOOKUP(mets[[#This Row],[name w/o location]],metaboliteInfo[name w/o location],metaboliteInfo[suggested category],"")</f>
        <v>RNA</v>
      </c>
      <c r="E97" s="21">
        <f>_xlfn.XLOOKUP(mets[[#This Row],[name w/o location]],metaboliteInfo[name w/o location],metaboliteInfo[MW for biomass normalization (g/mol)],0)</f>
        <v>305.15806099999998</v>
      </c>
      <c r="F97" s="21">
        <f>_xlfn.NUMBERVALUE(SUBSTITUTE(_xlfn.TEXTAFTER(mets[[#This Row],[pasted JSON metabolite keys and values from GSM biomass rxn]],":"),",",""))</f>
        <v>-3.6971999999999998E-2</v>
      </c>
      <c r="G97" s="21" cm="1">
        <f t="array" ref="G97">_xlfn.LET(_xlpm.id,mets[[#This Row],[name w/o location]],IF(IsElementOfSet_DIY(_xlpm.id,{"atp","adp","h","pi","h2o"}),SIGN(mets[[#This Row],[raw (GSM) coefficient]])*(ABS(mets[[#This Row],[raw (GSM) coefficient]])-$J$2),mets[[#This Row],[raw (GSM) coefficient]]))</f>
        <v>-3.6971999999999998E-2</v>
      </c>
      <c r="H97" s="21">
        <f>mets[[#This Row],[coeff. w/o GAM]]</f>
        <v>-3.6971999999999998E-2</v>
      </c>
      <c r="I97" s="161">
        <f t="shared" si="3"/>
        <v>-3.6903154498760242E-2</v>
      </c>
      <c r="J97" s="21" cm="1">
        <f t="array" ref="J97">_xlfn.LET(_xlpm.id,mets[[#This Row],[name w/o location]],_xlpm.oldcoeff,mets[[#This Row],[normalized coeffs]],_xlpm.gam,$J$2-$G$2,_xlfn.IFS(IFERROR(MATCH(_xlpm.id,{"atp","h2o"},0),0)&gt;0,_xlpm.oldcoeff-_xlpm.gam,IFERROR(MATCH(_xlpm.id,{"adp","h","pi"},0),0)&gt;0,_xlpm.oldcoeff+_xlpm.gam,TRUE,_xlpm.oldcoeff))</f>
        <v>-3.6903154498760242E-2</v>
      </c>
      <c r="K97" t="str" cm="1">
        <f t="array" ref="K97">"BIOSYN-"&amp;_xlfn.IFS(IFERROR(MATCH(mets[[#This Row],[category]],{0,"0",""},0),0)&gt;0,mets[[#This Row],[name]],TRUE,mets[[#This Row],[category]]&amp;"-"&amp;mets[[#This Row],[name]])</f>
        <v>BIOSYN-RNA-utp_c</v>
      </c>
      <c r="L97" s="149" t="str" cm="1">
        <f t="array" ref="L97">IF(IsElementOfSet_DIY(mets[[#This Row],[category]],{"ignore","PROT"}),"",_xlfn.LET(_xlpm.mw,mets[[#This Row],[MW for biomass normalization (g/mol)]],"MET-"&amp;mets[[#This Row],[name]]&amp;" --&gt; "&amp;IF((mets[[#This Row],[category]]="DNA")+(mets[[#This Row],[category]]="RNA"),"MET-ppi_c + ","")&amp;ROUND(ABS(_xlpm.mw/1000),6)&amp;" BIO-"&amp;mets[[#This Row],[name]]))</f>
        <v>MET-utp_c --&gt; MET-ppi_c + 0.305158 BIO-utp_c</v>
      </c>
      <c r="M97" s="149" cm="1">
        <f t="array" ref="M97">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-3.0633322862270523E-2</v>
      </c>
      <c r="N97" s="149"/>
      <c r="O97" s="149"/>
      <c r="P97" s="149"/>
      <c r="Q97" s="149"/>
      <c r="R97" s="149"/>
      <c r="S97" s="149"/>
      <c r="T97" s="149"/>
      <c r="U97" s="149"/>
      <c r="V97" s="149"/>
    </row>
    <row r="98" spans="1:22" ht="16" x14ac:dyDescent="0.2">
      <c r="A98" s="144" t="s">
        <v>1007</v>
      </c>
      <c r="B98" t="str">
        <f>SUBSTITUTE(_xlfn.TEXTBEFORE(mets[[#This Row],[pasted JSON metabolite keys and values from GSM biomass rxn]],":"),CHAR(34),"")</f>
        <v>so4_c</v>
      </c>
      <c r="C98" t="str">
        <f>_xlfn.TEXTBEFORE(mets[[#This Row],[name]],"_",-1)</f>
        <v>so4</v>
      </c>
      <c r="D98" t="str">
        <f>_xlfn.XLOOKUP(mets[[#This Row],[name w/o location]],metaboliteInfo[name w/o location],metaboliteInfo[suggested category],"")</f>
        <v>SO4</v>
      </c>
      <c r="E98" s="21">
        <f>_xlfn.XLOOKUP(mets[[#This Row],[name w/o location]],metaboliteInfo[name w/o location],metaboliteInfo[MW for biomass normalization (g/mol)],0)</f>
        <v>96.062600000000003</v>
      </c>
      <c r="F98" s="21">
        <f>_xlfn.NUMBERVALUE(SUBSTITUTE(_xlfn.TEXTAFTER(mets[[#This Row],[pasted JSON metabolite keys and values from GSM biomass rxn]],":"),",",""))</f>
        <v>-3.1223000000000001E-2</v>
      </c>
      <c r="G98" s="21" cm="1">
        <f t="array" ref="G98">_xlfn.LET(_xlpm.id,mets[[#This Row],[name w/o location]],IF(IsElementOfSet_DIY(_xlpm.id,{"atp","adp","h","pi","h2o"}),SIGN(mets[[#This Row],[raw (GSM) coefficient]])*(ABS(mets[[#This Row],[raw (GSM) coefficient]])-$J$2),mets[[#This Row],[raw (GSM) coefficient]]))</f>
        <v>-3.1223000000000001E-2</v>
      </c>
      <c r="H98" s="21">
        <f>mets[[#This Row],[coeff. w/o GAM]]</f>
        <v>-3.1223000000000001E-2</v>
      </c>
      <c r="I98" s="161">
        <f t="shared" si="3"/>
        <v>-3.1164859702336661E-2</v>
      </c>
      <c r="J98" s="21" cm="1">
        <f t="array" ref="J98">_xlfn.LET(_xlpm.id,mets[[#This Row],[name w/o location]],_xlpm.oldcoeff,mets[[#This Row],[normalized coeffs]],_xlpm.gam,$J$2-$G$2,_xlfn.IFS(IFERROR(MATCH(_xlpm.id,{"atp","h2o"},0),0)&gt;0,_xlpm.oldcoeff-_xlpm.gam,IFERROR(MATCH(_xlpm.id,{"adp","h","pi"},0),0)&gt;0,_xlpm.oldcoeff+_xlpm.gam,TRUE,_xlpm.oldcoeff))</f>
        <v>-3.1164859702336661E-2</v>
      </c>
      <c r="K98" t="str" cm="1">
        <f t="array" ref="K98">"BIOSYN-"&amp;_xlfn.IFS(IFERROR(MATCH(mets[[#This Row],[category]],{0,"0",""},0),0)&gt;0,mets[[#This Row],[name]],TRUE,mets[[#This Row],[category]]&amp;"-"&amp;mets[[#This Row],[name]])</f>
        <v>BIOSYN-SO4-so4_c</v>
      </c>
      <c r="L98" s="149" t="str" cm="1">
        <f t="array" ref="L98">IF(IsElementOfSet_DIY(mets[[#This Row],[category]],{"ignore","PROT"}),"",_xlfn.LET(_xlpm.mw,mets[[#This Row],[MW for biomass normalization (g/mol)]],"MET-"&amp;mets[[#This Row],[name]]&amp;" --&gt; "&amp;IF((mets[[#This Row],[category]]="DNA")+(mets[[#This Row],[category]]="RNA"),"MET-ppi_c + ","")&amp;ROUND(ABS(_xlpm.mw/1000),6)&amp;" BIO-"&amp;mets[[#This Row],[name]]))</f>
        <v>MET-so4_c --&gt; 0.096063 BIO-so4_c</v>
      </c>
      <c r="M98" s="149" cm="1">
        <f t="array" ref="M98">_xlfn.LET(_xlpm.gam,$J$2,_xlpm.cat,IF(LEFT(mets[[#This Row],[name w/o location]],4)="trna","PROT",mets[[#This Row],[category]]),_xlpm.multipliers,_xlfn._xlws.FILTER(_xlfn.HSTACK(biomassComponents[normalized coeffs],biomassComponents[original coeffs from input]),(biomassComponents[rxn name]="BIOSYN-"&amp;_xlpm.cat)+IF(mets[[#This Row],[name w/o location]]="ppi",((biomassComponents[rxn name]="BIOSYN-DNA"))+((biomassComponents[rxn name]="BIOSYN-RNA"))&gt;0,FALSE),{1,1}),mets[[#This Row],[normalized coeffs]]*(SUM(_xlfn.CHOOSECOLS(_xlpm.multipliers,1))/SUM(_xlfn.CHOOSECOLS(_xlpm.multipliers,2)))+_xlfn.IFS(OR(mets[[#This Row],[name w/o location]]={"atp","h2o"}),-_xlpm.gam,OR(mets[[#This Row],[name w/o location]]={"adp","h","pi"}),_xlpm.gam,TRUE,0))</f>
        <v>-3.1164859702336661E-2</v>
      </c>
      <c r="N98" s="149"/>
      <c r="O98" s="149"/>
      <c r="P98" s="149"/>
      <c r="Q98" s="149"/>
      <c r="R98" s="149"/>
      <c r="S98" s="149"/>
      <c r="T98" s="149"/>
      <c r="U98" s="149"/>
      <c r="V98" s="149"/>
    </row>
  </sheetData>
  <mergeCells count="3">
    <mergeCell ref="D4:E4"/>
    <mergeCell ref="A2:F2"/>
    <mergeCell ref="A1:F1"/>
  </mergeCells>
  <conditionalFormatting sqref="S6:S14">
    <cfRule type="expression" dxfId="37" priority="1" stopIfTrue="1">
      <formula>NOT(_xlfn.ISFORMULA(S6))</formula>
    </cfRule>
  </conditionalFormatting>
  <conditionalFormatting sqref="T6:T14">
    <cfRule type="expression" dxfId="36" priority="2"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31872-C63A-6849-A65F-0E45F8BD05F9}">
  <dimension ref="A1:AG97"/>
  <sheetViews>
    <sheetView topLeftCell="A4" zoomScale="110" zoomScaleNormal="110" workbookViewId="0">
      <selection activeCell="Q12" sqref="Q12"/>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3" width="26.5"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35.6640625" customWidth="1"/>
    <col min="22" max="22" width="30.6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731</v>
      </c>
      <c r="B1" s="182"/>
      <c r="C1" s="182"/>
      <c r="D1" s="182"/>
      <c r="E1" s="182"/>
      <c r="F1" s="182"/>
      <c r="G1" s="148" t="s">
        <v>744</v>
      </c>
      <c r="I1" s="148"/>
      <c r="J1" s="148" t="s">
        <v>743</v>
      </c>
      <c r="K1" s="148" t="s">
        <v>758</v>
      </c>
      <c r="L1" s="148"/>
      <c r="M1" s="148"/>
      <c r="N1" s="148"/>
      <c r="O1" s="148"/>
      <c r="P1" s="148"/>
      <c r="Q1" s="148"/>
      <c r="R1" s="148"/>
      <c r="S1" s="148"/>
      <c r="T1" s="148"/>
      <c r="U1" s="148"/>
      <c r="V1" s="148"/>
      <c r="W1" s="148"/>
    </row>
    <row r="2" spans="1:33" ht="13" customHeight="1" x14ac:dyDescent="0.15">
      <c r="A2" s="182"/>
      <c r="B2" s="182"/>
      <c r="C2" s="182"/>
      <c r="D2" s="182"/>
      <c r="E2" s="182"/>
      <c r="F2" s="182"/>
      <c r="G2" s="140">
        <v>2.58</v>
      </c>
      <c r="J2" s="145">
        <f>_xlfn.XLOOKUP("adp",mets24[name w/o location],mets24[raw (GSM) coefficient],0)</f>
        <v>183.67169999999999</v>
      </c>
      <c r="K2" t="str" cm="1">
        <f t="array" ref="K2">_xlfn.LET(_xlpm.array,_xlfn._xlws.SORT(_xlfn._xlws.FILTER(_xlfn.HSTACK(mets24[normalized coeff. w/ updated GAM]-mets24[normalized coeffs],"MET-"&amp;mets24[name]),(mets24[category]="GAM")+(mets24[name w/o location]="atp")+(mets24[name w/o location]="pi"))),SUBSTITUTE(_xlfn.TEXTJOIN(" + ",TRUE,ABS(_xlfn.CHOOSECOLS(_xlpm.array,1))&amp;" "&amp;_xlfn.CHOOSECOLS(_xlpm.array,2))," + "," --&gt; ",2))</f>
        <v>181.0917 MET-atp_c + 181.0917 MET-h2o_c --&gt; 181.0917 MET-adp_c + 181.0917 MET-h_c + 181.0917 MET-pi_c</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_xlfn.LET(_xlpm.coeffs,mets24[coeff. w/o GAM],-SUM(_xlfn._xlws.FILTER(_xlpm.coeffs*mets24[MW for biomass normalization (g/mol)],(IFERROR(_xlfn.NUMBERVALUE(_xlpm.coeffs),0)&lt;0)*(_xlfn.IFNA(mets24[category],"ignore")&lt;&gt;"ignore")))/1000)</f>
        <v>0.99999962297139333</v>
      </c>
      <c r="H3" s="145" cm="1">
        <f t="array" ref="H3">_xlfn.LET(_xlpm.coeffs,mets24[coeffs after extra operations],-SUM(_xlfn._xlws.FILTER(_xlpm.coeffs*mets24[MW for biomass normalization (g/mol)],(IFERROR(_xlfn.NUMBERVALUE(_xlpm.coeffs),0)&lt;0)*(_xlfn.IFNA(mets24[category],"ignore")&lt;&gt;"ignore")))/1000)</f>
        <v>0.99999962297139333</v>
      </c>
      <c r="I3" s="143" cm="1">
        <f t="array" ref="I3">_xlfn.LET(_xlpm.coeffs,mets24[normalized coeffs],-SUM(_xlfn._xlws.FILTER(_xlpm.coeffs*mets24[MW for biomass normalization (g/mol)],(IFERROR(_xlfn.NUMBERVALUE(_xlpm.coeffs),0)&lt;0)*(_xlfn.IFNA(mets24[category],"ignore")&lt;&gt;"ignore")))/1000)</f>
        <v>1.0000000000000002</v>
      </c>
      <c r="J3" s="145"/>
      <c r="L3" s="145"/>
      <c r="M3" s="145" t="str" cm="1">
        <f t="array" ref="M3">_xlfn.TEXTJOIN(","&amp;CHAR(10),TRUE,CHAR(34)&amp;mets24[name]&amp;CHAR(34)&amp;":"&amp;mets24[new GSM coeffs])</f>
        <v>"13BDglucan_c":-1.50540705602326,
"16BDglucan_en":-0.396160541059831,
"G00006_c":-0.0222410303758878,
"adp_c":183.6717,
"alatrna_c":-0.121529184900031,
"amet_c":-0.000101000038079904,
"argtrna_c":-0.0480140730507952,
"asntrna_c":-0.0577170878134034,
"asptrna_c":-0.0577170878134034,
"atp_c":-183.672545992086,
"btn_c":-0.000101000038079904,
"ca2_c":-0.00129700048900629,
"chtn_c":-0.0355920486101613,
"coa_c":-0.000101000038079904,
"ctp_c":-0.0259557572007363,
"cu2_c":-0.000115000043358306,
"cystrna_c":-0.00174100264884064,
"datp_c":-0.0152090501845579,
"dctp_c":-0.0237380783273742,
"dgtp_c":-0.0237380783273742,
"docosa_c":-0.000201999717339262,
"dttp_c":-0.0152090501845579,
"epist_c":-0.511074284847344,
"fad_c":-0.000101000038079904,
"fe2_c":-0.000670000252609262,
"glntrna_c":-0.096277146480431,
"glutrna_c":-0.096277146480431,
"glytrna_c":-0.110582168244742,
"gpianchorSC_r":-0.0255710349238715,
"gtp_c":-0.0227427872559849,
"h2o_c":-183.6717,
"h_c":183.6717,
"hdca_c":-0.00243899658708149,
"hemeA_c":-0.000101000038079904,
"histrna_c":-0.0240070365253976,
"iletrna_c":-0.0732651114688739,
"ipc_g":-0.0145539796344338,
"k_c":-0.608732229509464,
"leutrna_c":-0.0996361515909742,
"linoea_c":-0.0030809956887241,
"linolen_c":-0.0012189982942404,
"lystrna_c":-0.081724124338801,
"mettrna_c":-0.01418002157413,
"mg2_c":-0.064142024183378,
"mn2_c":-9.50000358177311E-05,
"nad_c":-0.000101000038079904,
"nadp_c":-0.000101000038079904,
"ocdca_c":-0.00207199710062847,
"ocdcea_c":-0.00633299113816608,
"oglycanSC_g":-0.0718580981408455,
"pail_c":-0.00425399404733278,
"pc_c":-0.007984988826505,
"pe_c":-0.00192899730072989,
"phetrna_c":-0.0467710711596356,
"pi_c":183.56515595983,
"ppi_c":0.157008611062037,
"protrna_c":-0.0524920798638385,
"ps_c":-0.00103399855311286,
"ribflv_c":-0.000101000038079904,
"sertrna_c":-0.0663001008719899,
"so4_c":-0.0314860118711272,
"spmd_c":-0.000101000038079904,
"tag_c":-0.0632309115201926,
"thf_c":-0.000101000038079904,
"thmpp_c":-0.000101000038079904,
"thrtrna_c":-0.0692851054135116,
"trnaala_c":0.121529184900031,
"trnaarg_c":0.0480140730507952,
"trnaasn_c":0.0577170878134034,
"trnaasp_c":0.0577170878134034,
"trnacys_c":0.00174100264884064,
"trnagln_c":0.096277146480431,
"trnaglu_c":0.096277146480431,
"trnagly_c":0.110582168244742,
"trnahis_c":0.0240070365253976,
"trnaile_c":0.0732651114688739,
"trnaleu_c":0.0996361515909742,
"trnalys_c":0.081724124338801,
"trnamet_c":0.01418002157413,
"trnaphe_c":0.0467710711596356,
"trnapro_c":0.0524920798638385,
"trnaser_c":0.0663001008719899,
"trnathr_c":0.0692851054135116,
"trnatrp_c":0.00808501230090556,
"trnatyr_c":0.0243800370928976,
"trnaval_c":0.0911771387210471,
"trptrna_c":-0.00808501230090556,
"ttcosa_c":-0.00080699887075636,
"tyrtrna_c":-0.0243800370928976,
"utp_c":-0.0136048727352449,
"valtrna_c":-0.0911771387210471,
"zn2_c":-0.00158900059909868</v>
      </c>
      <c r="N3" s="145"/>
      <c r="O3" s="145"/>
      <c r="P3" s="145"/>
      <c r="Q3" s="145"/>
      <c r="R3" s="145"/>
      <c r="S3" s="170"/>
      <c r="T3" s="171">
        <f>T9</f>
        <v>0.28980992974848896</v>
      </c>
      <c r="U3" s="145"/>
      <c r="V3" s="145" t="str" cm="1">
        <f t="array" ref="V3">_xlfn.LET(_xlpm.eqn,_xlfn.TEXTJOIN(" + ",TRUE,biomassComponents23[new GSM coeffs])&amp;" + "&amp;K2,_xlpm.reactants,"-"&amp;SUBSTITUTE(_xlfn.TEXTBEFORE(_xlpm.eqn,"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"13BDglucan_c":-1.50540705602326,
"16BDglucan_en":-0.396160541059831,
"G00006_c":-0.0222410303758878,
"chtn_c":-0.0355920486101613,
"gpianchorSC_r":-0.0255710349238715,
"oglycanSC_g":-0.0718580981408455,
"amet_c":-0.000101000038079904,
"btn_c":-0.000101000038079904,
"coa_c":-0.000101000038079904,
"fad_c":-0.000101000038079904,
"hemeA_c":-0.000101000038079904,
"nad_c":-0.000101000038079904,
"nadp_c":-0.000101000038079904,
"ribflv_c":-0.000101000038079904,
"spmd_c":-0.000101000038079904,
"thf_c":-0.000101000038079904,
"thmpp_c":-0.000101000038079904,
"datp_c":-0.0152090501845579,
"dctp_c":-0.0237380783273742,
"dgtp_c":-0.0237380783273742,
"dttp_c":-0.0152090501845579,
"docosa_c":-0.000201999717339262,
"epist_c":-0.511074284847344,
"hdca_c":-0.00243899658708149,
"ipc_g":-0.0145539796344338,
"linoea_c":-0.0030809956887241,
"linolen_c":-0.0012189982942404,
"ocdca_c":-0.00207199710062847,
"ocdcea_c":-0.00633299113816608,
"pail_c":-0.00425399404733278,
"pc_c":-0.007984988826505,
"pe_c":-0.00192899730072989,
"ps_c":-0.00103399855311286,
"tag_c":-0.0632309115201926,
"ttcosa_c":-0.00080699887075636,
"ca2_c":-0.00129700048900629,
"cu2_c":-0.000115000043358306,
"fe2_c":-0.000670000252609262,
"k_c":-0.608732229509464,
"mg2_c":-0.064142024183378,
"mn2_c":-9.50000358177311E-05,
"zn2_c":-0.00158900059909868,
"pi_c":180.98515595983,
"alatrna_c":-0.121529184900031,
"argtrna_c":-0.0480140730507952,
"asntrna_c":-0.0577170878134034,
"asptrna_c":-0.0577170878134034,
"cystrna_c":-0.00174100264884064,
"glntrna_c":-0.096277146480431,
"glutrna_c":-0.096277146480431,
"glytrna_c":-0.110582168244742,
"histrna_c":-0.0240070365253976,
"iletrna_c":-0.0732651114688739,
"leutrna_c":-0.0996361515909742,
"lystrna_c":-0.081724124338801,
"mettrna_c":-0.01418002157413,
"phetrna_c":-0.0467710711596356,
"protrna_c":-0.0524920798638385,
"sertrna_c":-0.0663001008719899,
"thrtrna_c":-0.0692851054135116,
"trptrna_c":-0.00808501230090556,
"tyrtrna_c":-0.0243800370928977,
"valtrna_c":-0.0911771387210471,
"atp_c":-181.092545992086,
"ctp_c":-0.0259557572007363,
"gtp_c":-0.0227427872559849,
"utp_c":-0.0136048727352449,
"so4_c":-0.0314860118711272,
"h2o_c":-181.0917,
"adp_c":181.0917,
"h_c":181.0917</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x14ac:dyDescent="0.2">
      <c r="A6" s="144" t="s">
        <v>1205</v>
      </c>
      <c r="B6" t="str">
        <f>SUBSTITUTE(_xlfn.TEXTBEFORE(mets24[[#This Row],[pasted JSON metabolite keys and values from GSM biomass rxn]],":"),CHAR(34),"")</f>
        <v>13BDglucan_c</v>
      </c>
      <c r="C6" t="str">
        <f>_xlfn.TEXTBEFORE(mets24[[#This Row],[name]],"_",-1)</f>
        <v>13BDglucan</v>
      </c>
      <c r="D6" t="str">
        <f>_xlfn.XLOOKUP(mets24[[#This Row],[name w/o location]],metaboliteInfo[name w/o location],metaboliteInfo[suggested category],"")</f>
        <v>CARB</v>
      </c>
      <c r="E6" s="21">
        <f>_xlfn.XLOOKUP(mets24[[#This Row],[name w/o location]],metaboliteInfo[name w/o location],metaboliteInfo[MW for biomass normalization (g/mol)],0)</f>
        <v>162.14060000000001</v>
      </c>
      <c r="F6" s="21">
        <f>_xlfn.NUMBERVALUE(SUBSTITUTE(_xlfn.TEXTAFTER(mets24[[#This Row],[pasted JSON metabolite keys and values from GSM biomass rxn]],":"),",",""))</f>
        <v>-1.5054050000000001</v>
      </c>
      <c r="G6" s="21" cm="1">
        <f t="array" ref="G6">_xlfn.LET(_xlpm.id,mets24[[#This Row],[name w/o location]],IF(IsElementOfSet_DIY(_xlpm.id,{"atp","adp","h","pi","h2o"}),SIGN(mets24[[#This Row],[raw (GSM) coefficient]])*(ABS(mets24[[#This Row],[raw (GSM) coefficient]])-$J$2),mets24[[#This Row],[raw (GSM) coefficient]]))</f>
        <v>-1.5054050000000001</v>
      </c>
      <c r="H6" s="21">
        <f>mets24[[#This Row],[coeff. w/o GAM]]</f>
        <v>-1.5054050000000001</v>
      </c>
      <c r="I6" s="161">
        <f t="shared" ref="I6:I69" si="0">H6/($H$3)</f>
        <v>-1.5054055675809637</v>
      </c>
      <c r="J6" s="21" cm="1">
        <f t="array" ref="J6">_xlfn.LET(_xlpm.id,mets24[[#This Row],[name w/o location]],_xlpm.oldcoeff,mets24[[#This Row],[normalized coeffs]],_xlpm.gam,$J$2-$G$2,_xlfn.IFS(IFERROR(MATCH(_xlpm.id,{"atp","h2o"},0),0)&gt;0,_xlpm.oldcoeff-_xlpm.gam,IFERROR(MATCH(_xlpm.id,{"adp","h","pi"},0),0)&gt;0,_xlpm.oldcoeff+_xlpm.gam,TRUE,_xlpm.oldcoeff))</f>
        <v>-1.5054055675809637</v>
      </c>
      <c r="K6" t="str" cm="1">
        <f t="array" ref="K6">"BIOSYN-"&amp;_xlfn.IFS(IFERROR(MATCH(mets24[[#This Row],[category]],{0,"0",""},0),0)&gt;0,mets24[[#This Row],[name]],TRUE,mets24[[#This Row],[category]]&amp;"-"&amp;mets24[[#This Row],[name]])</f>
        <v>BIOSYN-CARB-13BDglucan_c</v>
      </c>
      <c r="L6" s="149" t="str" cm="1">
        <f t="array" ref="L6">IF(IsElementOfSet_DIY(mets24[[#This Row],[category]],{"ignore","PROT"}),"",_xlfn.LET(_xlpm.mw,mets24[[#This Row],[MW for biomass normalization (g/mol)]],"MET-"&amp;mets24[[#This Row],[name]]&amp;" --&gt; "&amp;IF((mets24[[#This Row],[category]]="DNA")+(mets24[[#This Row],[category]]="RNA"),"MET-ppi_c + ","")&amp;ROUND(ABS(_xlpm.mw/1000),6)&amp;" BIO-"&amp;mets24[[#This Row],[name]]))</f>
        <v>MET-13BDglucan_c --&gt; 0.162141 BIO-13BDglucan_c</v>
      </c>
      <c r="M6" s="149" cm="1">
        <f t="array" ref="M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-1.5054070560232611</v>
      </c>
      <c r="N6" s="149"/>
      <c r="O6" s="162" t="str" cm="1">
        <f t="array" ref="O6:O14">"BIOSYN-"&amp;_xlfn._xlws.SORT(_xlfn.UNIQUE(_xlfn._xlws.FILTER(mets24[category],(mets24[category]&lt;&gt;0)*(mets24[category]&lt;&gt;"GAM")*(mets24[category]&lt;&gt;"ignore"))))</f>
        <v>BIOSYN-CARB</v>
      </c>
      <c r="P6" s="158" t="str">
        <f t="shared" ref="P6:P14" si="1">O6</f>
        <v>BIOSYN-CARB</v>
      </c>
      <c r="Q6" s="158" t="str">
        <f>SUBSTITUTE(LOWER(biomassComponents23[[#This Row],[rxn name]]),"biosyn-","BIO-")</f>
        <v>BIO-carb</v>
      </c>
      <c r="R6" s="160" cm="1">
        <f t="array" ref="R6">SUM(_xlfn._xlws.FILTER(-mets24[MW for biomass normalization (g/mol)]*mets24[normalized coeffs]/1000,mets24[category]=_xlfn.TEXTAFTER(O6,"BIOSYN-"),""))</f>
        <v>0.49037327045527973</v>
      </c>
      <c r="S6" s="160">
        <v>0.51100000000000001</v>
      </c>
      <c r="T6" s="160" cm="1">
        <f t="array" ref="T6">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0.49037375530290683</v>
      </c>
      <c r="U6" s="158" t="str" cm="1">
        <f t="array" ref="U6">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BIO-"&amp;mets24[name],mets24[category]=_xlfn.TEXTAFTER(O6,"BIOSYN-"),""))&amp;" --&gt; "&amp;biomassComponents23[[#This Row],[product name]]</f>
        <v>0.497758 BIO-13BDglucan_c + 0.130989 BIO-16BDglucan_en + 0.118792 BIO-G00006_c + 0.014748 BIO-chtn_c + 0.118914 BIO-gpianchorSC_r + 0.118798 BIO-oglycanSC_g --&gt; BIO-carb</v>
      </c>
      <c r="V6" s="158" t="str" cm="1">
        <f t="array" ref="V6">_xlfn.TEXTJOIN(" + ",TRUE,_xlfn._xlws.FILTER((-mets24[normalized coeffs]*biomassComponents23[[#This Row],[normalized coeffs]]/biomassComponents23[[#This Row],[original coeffs from input]])&amp;" BIO-"&amp;mets24[name],mets24[category]=_xlfn.TEXTAFTER(P6,"BIOSYN-"),""))</f>
        <v>1.50540705602326 BIO-13BDglucan_c + 0.396160541059831 BIO-16BDglucan_en + 0.0222410303758878 BIO-G00006_c + 0.0355920486101613 BIO-chtn_c + 0.0255710349238715 BIO-gpianchorSC_r + 0.0718580981408455 BIO-oglycanSC_g</v>
      </c>
      <c r="Y6" s="152" t="s">
        <v>17</v>
      </c>
      <c r="Z6" t="str">
        <f>SUBSTITUTE(Z7," --&gt; "," + "&amp;K2)</f>
        <v>0.490373755302907 BIO-carb + 0.000589004492723543 BIO-cofactor + 0.0239908882242127 BIO-dna + 0.289809929748489 BIO-lipid + 0.0255651803445843 BIO-metal + 0.0102260225012456 BIO-pi + 0.136268245113528 BIO-varbiom + 0.0201523461083386 BIO-rna + 0.00302462816397134 BIO-so4 + 181.0917 MET-atp_c + 181.0917 MET-h2o_c --&gt; 181.0917 MET-adp_c + 181.0917 MET-h_c + 181.0917 MET-pi_c</v>
      </c>
      <c r="AB6" t="str" cm="1">
        <f t="array" ref="AB6:AC71">_xlfn.LET(_xlpm.macros,_xlfn._xlws.FILTER(_xlfn.HSTACK(_xlfn.ANCHORARRAY(O6),biomassComponents23[stoichiometry (if needed)]),biomassComponents23[stoichiometry (if needed)]&lt;&gt;""),_xlfn.VSTACK(_xlfn._xlws.FILTER(ExtraRxns22[[name]:[stoichiometry]],ExtraRxns22[stoichiometry]&lt;&gt;""),_xlpm.macros,_xlfn._xlws.SORT(_xlfn._xlws.FILTER(mets24[[biomass equation name]:[biomass equation]],ISNUMBER(MATCH(mets24[category],_xlfn.TEXTAFTER(biomassComponents23[rxn name],"BIOSYN-"),0))*(mets24[biomass equation]&lt;&gt;"")))))</f>
        <v>BIOSYN-BIODILAERO</v>
      </c>
      <c r="AC6" t="str">
        <v>0.490373755302907 BIO-carb + 0.000589004492723543 BIO-cofactor + 0.0239908882242127 BIO-dna + 0.289809929748489 BIO-lipid + 0.0255651803445843 BIO-metal + 0.0102260225012456 BIO-pi + 0.136268245113528 BIO-varbiom + 0.0201523461083386 BIO-rna + 0.00302462816397134 BIO-so4 + 181.0917 MET-atp_c + 181.0917 MET-h2o_c --&gt; 181.0917 MET-adp_c + 181.0917 MET-h_c + 181.0917 MET-pi_c</v>
      </c>
    </row>
    <row r="7" spans="1:33" ht="16" x14ac:dyDescent="0.2">
      <c r="A7" s="144" t="s">
        <v>1206</v>
      </c>
      <c r="B7" t="str">
        <f>SUBSTITUTE(_xlfn.TEXTBEFORE(mets24[[#This Row],[pasted JSON metabolite keys and values from GSM biomass rxn]],":"),CHAR(34),"")</f>
        <v>16BDglucan_en</v>
      </c>
      <c r="C7" t="str">
        <f>_xlfn.TEXTBEFORE(mets24[[#This Row],[name]],"_",-1)</f>
        <v>16BDglucan</v>
      </c>
      <c r="D7" t="str">
        <f>_xlfn.XLOOKUP(mets24[[#This Row],[name w/o location]],metaboliteInfo[name w/o location],metaboliteInfo[suggested category],"")</f>
        <v>CARB</v>
      </c>
      <c r="E7" s="21">
        <f>_xlfn.XLOOKUP(mets24[[#This Row],[name w/o location]],metaboliteInfo[name w/o location],metaboliteInfo[MW for biomass normalization (g/mol)],0)</f>
        <v>162.14060000000001</v>
      </c>
      <c r="F7" s="21">
        <f>_xlfn.NUMBERVALUE(SUBSTITUTE(_xlfn.TEXTAFTER(mets24[[#This Row],[pasted JSON metabolite keys and values from GSM biomass rxn]],":"),",",""))</f>
        <v>-0.39616000000000001</v>
      </c>
      <c r="G7" s="21" cm="1">
        <f t="array" ref="G7">_xlfn.LET(_xlpm.id,mets24[[#This Row],[name w/o location]],IF(IsElementOfSet_DIY(_xlpm.id,{"atp","adp","h","pi","h2o"}),SIGN(mets24[[#This Row],[raw (GSM) coefficient]])*(ABS(mets24[[#This Row],[raw (GSM) coefficient]])-$J$2),mets24[[#This Row],[raw (GSM) coefficient]]))</f>
        <v>-0.39616000000000001</v>
      </c>
      <c r="H7" s="161">
        <f>mets24[[#This Row],[coeff. w/o GAM]]</f>
        <v>-0.39616000000000001</v>
      </c>
      <c r="I7" s="161">
        <f t="shared" si="0"/>
        <v>-0.39616014936370914</v>
      </c>
      <c r="J7" s="21" cm="1">
        <f t="array" ref="J7">_xlfn.LET(_xlpm.id,mets24[[#This Row],[name w/o location]],_xlpm.oldcoeff,mets24[[#This Row],[normalized coeffs]],_xlpm.gam,$J$2-$G$2,_xlfn.IFS(IFERROR(MATCH(_xlpm.id,{"atp","h2o"},0),0)&gt;0,_xlpm.oldcoeff-_xlpm.gam,IFERROR(MATCH(_xlpm.id,{"adp","h","pi"},0),0)&gt;0,_xlpm.oldcoeff+_xlpm.gam,TRUE,_xlpm.oldcoeff))</f>
        <v>-0.39616014936370914</v>
      </c>
      <c r="K7" t="str" cm="1">
        <f t="array" ref="K7">"BIOSYN-"&amp;_xlfn.IFS(IFERROR(MATCH(mets24[[#This Row],[category]],{0,"0",""},0),0)&gt;0,mets24[[#This Row],[name]],TRUE,mets24[[#This Row],[category]]&amp;"-"&amp;mets24[[#This Row],[name]])</f>
        <v>BIOSYN-CARB-16BDglucan_en</v>
      </c>
      <c r="L7" s="149" t="str" cm="1">
        <f t="array" ref="L7">IF(IsElementOfSet_DIY(mets24[[#This Row],[category]],{"ignore","PROT"}),"",_xlfn.LET(_xlpm.mw,mets24[[#This Row],[MW for biomass normalization (g/mol)]],"MET-"&amp;mets24[[#This Row],[name]]&amp;" --&gt; "&amp;IF((mets24[[#This Row],[category]]="DNA")+(mets24[[#This Row],[category]]="RNA"),"MET-ppi_c + ","")&amp;ROUND(ABS(_xlpm.mw/1000),6)&amp;" BIO-"&amp;mets24[[#This Row],[name]]))</f>
        <v>MET-16BDglucan_en --&gt; 0.162141 BIO-16BDglucan_en</v>
      </c>
      <c r="M7" s="149" cm="1">
        <f t="array" ref="M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-0.39616054105983112</v>
      </c>
      <c r="N7" s="149"/>
      <c r="O7" s="162" t="str">
        <v>BIOSYN-COFACTOR</v>
      </c>
      <c r="P7" s="158" t="str">
        <f t="shared" si="1"/>
        <v>BIOSYN-COFACTOR</v>
      </c>
      <c r="Q7" s="158" t="str">
        <f>SUBSTITUTE(LOWER(biomassComponents23[[#This Row],[rxn name]]),"biosyn-","BIO-")</f>
        <v>BIO-cofactor</v>
      </c>
      <c r="R7" s="160" cm="1">
        <f t="array" ref="R7">SUM(_xlfn._xlws.FILTER(-mets24[MW for biomass normalization (g/mol)]*mets24[normalized coeffs]/1000,mets24[category]=_xlfn.TEXTAFTER(O7,"BIOSYN-"),""))</f>
        <v>5.8900449272354324E-4</v>
      </c>
      <c r="S7" s="160"/>
      <c r="T7" s="160" cm="1">
        <f t="array" ref="T7">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5.8900449272354324E-4</v>
      </c>
      <c r="U7" s="158" t="str" cm="1">
        <f t="array" ref="U7">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BIO-"&amp;mets24[name],mets24[category]=_xlfn.TEXTAFTER(O7,"BIOSYN-"),""))&amp;" --&gt; "&amp;biomassComponents23[[#This Row],[product name]]</f>
        <v>0.068495 BIO-amet_c + 0.041721 BIO-btn_c + 0.130922 BIO-coa_c + 0.134184 BIO-fad_c + 0.145895 BIO-hemeA_c + 0.113589 BIO-nad_c + 0.126957 BIO-nadp_c + 0.064364 BIO-ribflv_c + 0.025425 BIO-spmd_c + 0.076035 BIO-thf_c + 0.072413 BIO-thmpp_c --&gt; BIO-cofactor</v>
      </c>
      <c r="V7" s="158" t="str" cm="1">
        <f t="array" ref="V7">_xlfn.TEXTJOIN(" + ",TRUE,_xlfn._xlws.FILTER((-mets24[normalized coeffs]*biomassComponents23[[#This Row],[normalized coeffs]]/biomassComponents23[[#This Row],[original coeffs from input]])&amp;" BIO-"&amp;mets24[name],mets24[category]=_xlfn.TEXTAFTER(P7,"BIOSYN-"),""))</f>
        <v>0.000101000038079904 BIO-amet_c + 0.000101000038079904 BIO-btn_c + 0.000101000038079904 BIO-coa_c + 0.000101000038079904 BIO-fad_c + 0.000101000038079904 BIO-hemeA_c + 0.000101000038079904 BIO-nad_c + 0.000101000038079904 BIO-nadp_c + 0.000101000038079904 BIO-ribflv_c + 0.000101000038079904 BIO-spmd_c + 0.000101000038079904 BIO-thf_c + 0.000101000038079904 BIO-thmpp_c</v>
      </c>
      <c r="Y7" s="152" t="str">
        <f>Y6&amp;"-NOGAM"</f>
        <v>BIOSYN-BIODILAERO-NOGAM</v>
      </c>
      <c r="Z7" t="str" cm="1">
        <f t="array" ref="Z7">_xlfn.TEXTJOIN(" + ",TRUE,_xlfn._xlws.FILTER(biomassComponents23[normalized coeffs]&amp;" "&amp;biomassComponents23[product name],biomassComponents23[normalized coeffs]&lt;&gt;0))&amp;" --&gt; "</f>
        <v xml:space="preserve">0.490373755302907 BIO-carb + 0.000589004492723543 BIO-cofactor + 0.0239908882242127 BIO-dna + 0.289809929748489 BIO-lipid + 0.0255651803445843 BIO-metal + 0.0102260225012456 BIO-pi + 0.136268245113528 BIO-varbiom + 0.0201523461083386 BIO-rna + 0.00302462816397134 BIO-so4 --&gt; </v>
      </c>
      <c r="AB7" t="str">
        <v>BIOSYN-BIODILAERO-NOGAM</v>
      </c>
      <c r="AC7" t="str">
        <v xml:space="preserve">0.490373755302907 BIO-carb + 0.000589004492723543 BIO-cofactor + 0.0239908882242127 BIO-dna + 0.289809929748489 BIO-lipid + 0.0255651803445843 BIO-metal + 0.0102260225012456 BIO-pi + 0.136268245113528 BIO-varbiom + 0.0201523461083386 BIO-rna + 0.00302462816397134 BIO-so4 --&gt; </v>
      </c>
    </row>
    <row r="8" spans="1:33" ht="16" x14ac:dyDescent="0.2">
      <c r="A8" s="144" t="s">
        <v>1207</v>
      </c>
      <c r="B8" t="str">
        <f>SUBSTITUTE(_xlfn.TEXTBEFORE(mets24[[#This Row],[pasted JSON metabolite keys and values from GSM biomass rxn]],":"),CHAR(34),"")</f>
        <v>G00006_c</v>
      </c>
      <c r="C8" t="str">
        <f>_xlfn.TEXTBEFORE(mets24[[#This Row],[name]],"_",-1)</f>
        <v>G00006</v>
      </c>
      <c r="D8" t="str">
        <f>_xlfn.XLOOKUP(mets24[[#This Row],[name w/o location]],metaboliteInfo[name w/o location],metaboliteInfo[suggested category],"")</f>
        <v>CARB</v>
      </c>
      <c r="E8" s="21">
        <f>_xlfn.XLOOKUP(mets24[[#This Row],[name w/o location]],metaboliteInfo[name w/o location],metaboliteInfo[MW for biomass normalization (g/mol)],0)</f>
        <v>2619.1368040000002</v>
      </c>
      <c r="F8" s="21">
        <f>_xlfn.NUMBERVALUE(SUBSTITUTE(_xlfn.TEXTAFTER(mets24[[#This Row],[pasted JSON metabolite keys and values from GSM biomass rxn]],":"),",",""))</f>
        <v>-2.2241E-2</v>
      </c>
      <c r="G8" s="21" cm="1">
        <f t="array" ref="G8">_xlfn.LET(_xlpm.id,mets24[[#This Row],[name w/o location]],IF(IsElementOfSet_DIY(_xlpm.id,{"atp","adp","h","pi","h2o"}),SIGN(mets24[[#This Row],[raw (GSM) coefficient]])*(ABS(mets24[[#This Row],[raw (GSM) coefficient]])-$J$2),mets24[[#This Row],[raw (GSM) coefficient]]))</f>
        <v>-2.2241E-2</v>
      </c>
      <c r="H8" s="21">
        <f>mets24[[#This Row],[coeff. w/o GAM]]</f>
        <v>-2.2241E-2</v>
      </c>
      <c r="I8" s="161">
        <f t="shared" si="0"/>
        <v>-2.2241008385496402E-2</v>
      </c>
      <c r="J8" s="21" cm="1">
        <f t="array" ref="J8">_xlfn.LET(_xlpm.id,mets24[[#This Row],[name w/o location]],_xlpm.oldcoeff,mets24[[#This Row],[normalized coeffs]],_xlpm.gam,$J$2-$G$2,_xlfn.IFS(IFERROR(MATCH(_xlpm.id,{"atp","h2o"},0),0)&gt;0,_xlpm.oldcoeff-_xlpm.gam,IFERROR(MATCH(_xlpm.id,{"adp","h","pi"},0),0)&gt;0,_xlpm.oldcoeff+_xlpm.gam,TRUE,_xlpm.oldcoeff))</f>
        <v>-2.2241008385496402E-2</v>
      </c>
      <c r="K8" t="str" cm="1">
        <f t="array" ref="K8">"BIOSYN-"&amp;_xlfn.IFS(IFERROR(MATCH(mets24[[#This Row],[category]],{0,"0",""},0),0)&gt;0,mets24[[#This Row],[name]],TRUE,mets24[[#This Row],[category]]&amp;"-"&amp;mets24[[#This Row],[name]])</f>
        <v>BIOSYN-CARB-G00006_c</v>
      </c>
      <c r="L8" s="149" t="str" cm="1">
        <f t="array" ref="L8">IF(IsElementOfSet_DIY(mets24[[#This Row],[category]],{"ignore","PROT"}),"",_xlfn.LET(_xlpm.mw,mets24[[#This Row],[MW for biomass normalization (g/mol)]],"MET-"&amp;mets24[[#This Row],[name]]&amp;" --&gt; "&amp;IF((mets24[[#This Row],[category]]="DNA")+(mets24[[#This Row],[category]]="RNA"),"MET-ppi_c + ","")&amp;ROUND(ABS(_xlpm.mw/1000),6)&amp;" BIO-"&amp;mets24[[#This Row],[name]]))</f>
        <v>MET-G00006_c --&gt; 2.619137 BIO-G00006_c</v>
      </c>
      <c r="M8" s="149" cm="1">
        <f t="array" ref="M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-2.2241030375887781E-2</v>
      </c>
      <c r="N8" s="149"/>
      <c r="O8" s="162" t="str">
        <v>BIOSYN-DNA</v>
      </c>
      <c r="P8" s="158" t="str">
        <f t="shared" si="1"/>
        <v>BIOSYN-DNA</v>
      </c>
      <c r="Q8" s="158" t="str">
        <f>SUBSTITUTE(LOWER(biomassComponents23[[#This Row],[rxn name]]),"biosyn-","BIO-")</f>
        <v>BIO-dna</v>
      </c>
      <c r="R8" s="160" cm="1">
        <f t="array" ref="R8">SUM(_xlfn._xlws.FILTER(-mets24[MW for biomass normalization (g/mol)]*mets24[normalized coeffs]/1000,mets24[category]=_xlfn.TEXTAFTER(O8,"BIOSYN-"),""))</f>
        <v>2.399081810787872E-2</v>
      </c>
      <c r="S8" s="160">
        <v>2.5000000000000001E-2</v>
      </c>
      <c r="T8" s="160" cm="1">
        <f t="array" ref="T8">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2.3990888224212668E-2</v>
      </c>
      <c r="U8" s="158" t="str" cm="1">
        <f t="array" ref="U8">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BIO-"&amp;mets24[name],mets24[category]=_xlfn.TEXTAFTER(O8,"BIOSYN-"),""))&amp;" --&gt; "&amp;biomassComponents23[[#This Row],[product name]]</f>
        <v>0.197919 BIO-datp_c + 0.285137 BIO-dctp_c + 0.32474 BIO-dgtp_c + 0.192205 BIO-dttp_c --&gt; BIO-dna</v>
      </c>
      <c r="V8" s="158" t="str" cm="1">
        <f t="array" ref="V8">_xlfn.TEXTJOIN(" + ",TRUE,_xlfn._xlws.FILTER((-mets24[normalized coeffs]*biomassComponents23[[#This Row],[normalized coeffs]]/biomassComponents23[[#This Row],[original coeffs from input]])&amp;" BIO-"&amp;mets24[name],mets24[category]=_xlfn.TEXTAFTER(P8,"BIOSYN-"),""))</f>
        <v>0.0152090501845579 BIO-datp_c + 0.0237380783273742 BIO-dctp_c + 0.0237380783273742 BIO-dgtp_c + 0.0152090501845579 BIO-dttp_c</v>
      </c>
      <c r="X8" s="153" t="s">
        <v>757</v>
      </c>
      <c r="Y8" t="s">
        <v>49</v>
      </c>
      <c r="Z8" t="s">
        <v>747</v>
      </c>
      <c r="AB8" t="str">
        <v>BIOSYN-PROTTOBIO</v>
      </c>
      <c r="AC8" t="str">
        <v>BIO-prot --&gt; BIO-varbiom</v>
      </c>
    </row>
    <row r="9" spans="1:33" ht="16" x14ac:dyDescent="0.2">
      <c r="A9" s="144" t="s">
        <v>1208</v>
      </c>
      <c r="B9" t="str">
        <f>SUBSTITUTE(_xlfn.TEXTBEFORE(mets24[[#This Row],[pasted JSON metabolite keys and values from GSM biomass rxn]],":"),CHAR(34),"")</f>
        <v>adp_c</v>
      </c>
      <c r="C9" t="str">
        <f>_xlfn.TEXTBEFORE(mets24[[#This Row],[name]],"_",-1)</f>
        <v>adp</v>
      </c>
      <c r="D9" t="str">
        <f>_xlfn.XLOOKUP(mets24[[#This Row],[name w/o location]],metaboliteInfo[name w/o location],metaboliteInfo[suggested category],"")</f>
        <v>GAM</v>
      </c>
      <c r="E9" s="21">
        <f>_xlfn.XLOOKUP(mets24[[#This Row],[name w/o location]],metaboliteInfo[name w/o location],metaboliteInfo[MW for biomass normalization (g/mol)],0)</f>
        <v>424.177302</v>
      </c>
      <c r="F9" s="21">
        <f>_xlfn.NUMBERVALUE(SUBSTITUTE(_xlfn.TEXTAFTER(mets24[[#This Row],[pasted JSON metabolite keys and values from GSM biomass rxn]],":"),",",""))</f>
        <v>183.67169999999999</v>
      </c>
      <c r="G9" s="21" cm="1">
        <f t="array" ref="G9">_xlfn.LET(_xlpm.id,mets24[[#This Row],[name w/o location]],IF(IsElementOfSet_DIY(_xlpm.id,{"atp","adp","h","pi","h2o"}),SIGN(mets24[[#This Row],[raw (GSM) coefficient]])*(ABS(mets24[[#This Row],[raw (GSM) coefficient]])-$J$2),mets24[[#This Row],[raw (GSM) coefficient]]))</f>
        <v>0</v>
      </c>
      <c r="H9" s="21">
        <f>mets24[[#This Row],[coeff. w/o GAM]]</f>
        <v>0</v>
      </c>
      <c r="I9" s="161">
        <f t="shared" si="0"/>
        <v>0</v>
      </c>
      <c r="J9" s="21" cm="1">
        <f t="array" ref="J9">_xlfn.LET(_xlpm.id,mets24[[#This Row],[name w/o location]],_xlpm.oldcoeff,mets24[[#This Row],[normalized coeffs]],_xlpm.gam,$J$2-$G$2,_xlfn.IFS(IFERROR(MATCH(_xlpm.id,{"atp","h2o"},0),0)&gt;0,_xlpm.oldcoeff-_xlpm.gam,IFERROR(MATCH(_xlpm.id,{"adp","h","pi"},0),0)&gt;0,_xlpm.oldcoeff+_xlpm.gam,TRUE,_xlpm.oldcoeff))</f>
        <v>181.09169999999997</v>
      </c>
      <c r="K9" t="str" cm="1">
        <f t="array" ref="K9">"BIOSYN-"&amp;_xlfn.IFS(IFERROR(MATCH(mets24[[#This Row],[category]],{0,"0",""},0),0)&gt;0,mets24[[#This Row],[name]],TRUE,mets24[[#This Row],[category]]&amp;"-"&amp;mets24[[#This Row],[name]])</f>
        <v>BIOSYN-GAM-adp_c</v>
      </c>
      <c r="L9" s="149" t="str" cm="1">
        <f t="array" ref="L9">IF(IsElementOfSet_DIY(mets24[[#This Row],[category]],{"ignore","PROT"}),"",_xlfn.LET(_xlpm.mw,mets24[[#This Row],[MW for biomass normalization (g/mol)]],"MET-"&amp;mets24[[#This Row],[name]]&amp;" --&gt; "&amp;IF((mets24[[#This Row],[category]]="DNA")+(mets24[[#This Row],[category]]="RNA"),"MET-ppi_c + ","")&amp;ROUND(ABS(_xlpm.mw/1000),6)&amp;" BIO-"&amp;mets24[[#This Row],[name]]))</f>
        <v>MET-adp_c --&gt; 0.424177 BIO-adp_c</v>
      </c>
      <c r="M9" s="149" cm="1">
        <f t="array" ref="M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183.67169999999999</v>
      </c>
      <c r="N9" s="149"/>
      <c r="O9" s="162" t="str">
        <v>BIOSYN-LIPID</v>
      </c>
      <c r="P9" s="158" t="str">
        <f t="shared" si="1"/>
        <v>BIOSYN-LIPID</v>
      </c>
      <c r="Q9" s="158" t="str">
        <f>SUBSTITUTE(LOWER(biomassComponents23[[#This Row],[rxn name]]),"biosyn-","BIO-")</f>
        <v>BIO-lipid</v>
      </c>
      <c r="R9" s="160" cm="1">
        <f t="array" ref="R9">SUM(_xlfn._xlws.FILTER(-mets24[MW for biomass normalization (g/mol)]*mets24[normalized coeffs]/1000,mets24[category]=_xlfn.TEXTAFTER(O9,"BIOSYN-"),""))</f>
        <v>0.28981044454998611</v>
      </c>
      <c r="S9" s="160">
        <v>0.30199999999999999</v>
      </c>
      <c r="T9" s="160" cm="1">
        <f t="array" ref="T9">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0.28980992974848896</v>
      </c>
      <c r="U9" s="158" t="str" cm="1">
        <f t="array" ref="U9">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BIO-"&amp;mets24[name],mets24[category]=_xlfn.TEXTAFTER(O9,"BIOSYN-"),""))&amp;" --&gt; "&amp;biomassComponents23[[#This Row],[product name]]</f>
        <v>0.000237 BIO-docosa_c + 0.703037 BIO-epist_c + 0.00215 BIO-hdca_c + 0.045964 BIO-ipc_g + 0.002971 BIO-linoea_c + 0.001167 BIO-linolen_c + 0.002027 BIO-ocdca_c + 0.00615 BIO-ocdcea_c + 0.012655 BIO-pail_c + 0.021661 BIO-pc_c + 0.004953 BIO-pe_c + 0.002805 BIO-ps_c + 0.193202 BIO-tag_c + 0.001024 BIO-ttcosa_c --&gt; BIO-lipid</v>
      </c>
      <c r="V9" s="158" t="str" cm="1">
        <f t="array" ref="V9">_xlfn.TEXTJOIN(" + ",TRUE,_xlfn._xlws.FILTER((-mets24[normalized coeffs]*biomassComponents23[[#This Row],[normalized coeffs]]/biomassComponents23[[#This Row],[original coeffs from input]])&amp;" BIO-"&amp;mets24[name],mets24[category]=_xlfn.TEXTAFTER(P9,"BIOSYN-"),""))</f>
        <v>0.000201999717339262 BIO-docosa_c + 0.511074284847344 BIO-epist_c + 0.00243899658708149 BIO-hdca_c + 0.0145539796344338 BIO-ipc_g + 0.0030809956887241 BIO-linoea_c + 0.0012189982942404 BIO-linolen_c + 0.00207199710062847 BIO-ocdca_c + 0.00633299113816608 BIO-ocdcea_c + 0.00425399404733278 BIO-pail_c + 0.007984988826505 BIO-pc_c + 0.00192899730072989 BIO-pe_c + 0.00103399855311286 BIO-ps_c + 0.0632309115201926 BIO-tag_c + 0.00080699887075636 BIO-ttcosa_c</v>
      </c>
      <c r="X9" s="153"/>
      <c r="AB9" t="str">
        <v>BIOSYN-PROTMODELED</v>
      </c>
      <c r="AC9" t="str">
        <v>BIO-protmodeled --&gt; BIO-prot</v>
      </c>
    </row>
    <row r="10" spans="1:33" ht="16" x14ac:dyDescent="0.2">
      <c r="A10" s="144" t="s">
        <v>1209</v>
      </c>
      <c r="B10" t="str">
        <f>SUBSTITUTE(_xlfn.TEXTBEFORE(mets24[[#This Row],[pasted JSON metabolite keys and values from GSM biomass rxn]],":"),CHAR(34),"")</f>
        <v>alatrna_c</v>
      </c>
      <c r="C10" t="str">
        <f>_xlfn.TEXTBEFORE(mets24[[#This Row],[name]],"_",-1)</f>
        <v>alatrna</v>
      </c>
      <c r="D10" t="str">
        <f>_xlfn.XLOOKUP(mets24[[#This Row],[name w/o location]],metaboliteInfo[name w/o location],metaboliteInfo[suggested category],"")</f>
        <v>PROT</v>
      </c>
      <c r="E10" s="21">
        <f>_xlfn.XLOOKUP(mets24[[#This Row],[name w/o location]],metaboliteInfo[name w/o location],metaboliteInfo[MW for biomass normalization (g/mol)],0)</f>
        <v>72.085840000000005</v>
      </c>
      <c r="F10" s="21">
        <f>_xlfn.NUMBERVALUE(SUBSTITUTE(_xlfn.TEXTAFTER(mets24[[#This Row],[pasted JSON metabolite keys and values from GSM biomass rxn]],":"),",",""))</f>
        <v>-0.121529</v>
      </c>
      <c r="G10" s="21" cm="1">
        <f t="array" ref="G10">_xlfn.LET(_xlpm.id,mets24[[#This Row],[name w/o location]],IF(IsElementOfSet_DIY(_xlpm.id,{"atp","adp","h","pi","h2o"}),SIGN(mets24[[#This Row],[raw (GSM) coefficient]])*(ABS(mets24[[#This Row],[raw (GSM) coefficient]])-$J$2),mets24[[#This Row],[raw (GSM) coefficient]]))</f>
        <v>-0.121529</v>
      </c>
      <c r="H10" s="21">
        <f>mets24[[#This Row],[coeff. w/o GAM]]</f>
        <v>-0.121529</v>
      </c>
      <c r="I10" s="161">
        <f t="shared" si="0"/>
        <v>-0.12152904581992681</v>
      </c>
      <c r="J10" s="21" cm="1">
        <f t="array" ref="J10">_xlfn.LET(_xlpm.id,mets24[[#This Row],[name w/o location]],_xlpm.oldcoeff,mets24[[#This Row],[normalized coeffs]],_xlpm.gam,$J$2-$G$2,_xlfn.IFS(IFERROR(MATCH(_xlpm.id,{"atp","h2o"},0),0)&gt;0,_xlpm.oldcoeff-_xlpm.gam,IFERROR(MATCH(_xlpm.id,{"adp","h","pi"},0),0)&gt;0,_xlpm.oldcoeff+_xlpm.gam,TRUE,_xlpm.oldcoeff))</f>
        <v>-0.12152904581992681</v>
      </c>
      <c r="K10" t="str" cm="1">
        <f t="array" ref="K10">"BIOSYN-"&amp;_xlfn.IFS(IFERROR(MATCH(mets24[[#This Row],[category]],{0,"0",""},0),0)&gt;0,mets24[[#This Row],[name]],TRUE,mets24[[#This Row],[category]]&amp;"-"&amp;mets24[[#This Row],[name]])</f>
        <v>BIOSYN-PROT-alatrna_c</v>
      </c>
      <c r="L10" s="149" t="str" cm="1">
        <f t="array" ref="L10">IF(IsElementOfSet_DIY(mets24[[#This Row],[category]],{"ignore","PROT"}),"",_xlfn.LET(_xlpm.mw,mets24[[#This Row],[MW for biomass normalization (g/mol)]],"MET-"&amp;mets24[[#This Row],[name]]&amp;" --&gt; "&amp;IF((mets24[[#This Row],[category]]="DNA")+(mets24[[#This Row],[category]]="RNA"),"MET-ppi_c + ","")&amp;ROUND(ABS(_xlpm.mw/1000),6)&amp;" BIO-"&amp;mets24[[#This Row],[name]]))</f>
        <v/>
      </c>
      <c r="M10" s="149" cm="1">
        <f t="array" ref="M1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-0.1215291849000311</v>
      </c>
      <c r="N10" s="149"/>
      <c r="O10" s="162" t="str">
        <v>BIOSYN-METAL</v>
      </c>
      <c r="P10" s="158" t="str">
        <f t="shared" si="1"/>
        <v>BIOSYN-METAL</v>
      </c>
      <c r="Q10" s="158" t="str">
        <f>SUBSTITUTE(LOWER(biomassComponents23[[#This Row],[rxn name]]),"biosyn-","BIO-")</f>
        <v>BIO-metal</v>
      </c>
      <c r="R10" s="160" cm="1">
        <f t="array" ref="R10">SUM(_xlfn._xlws.FILTER(-mets24[MW for biomass normalization (g/mol)]*mets24[normalized coeffs]/1000,mets24[category]=_xlfn.TEXTAFTER(O10,"BIOSYN-"),""))</f>
        <v>2.5565180344584326E-2</v>
      </c>
      <c r="S10" s="160"/>
      <c r="T10" s="160" cm="1">
        <f t="array" ref="T10">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2.5565180344584326E-2</v>
      </c>
      <c r="U10" s="158" t="str" cm="1">
        <f t="array" ref="U10">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BIO-"&amp;mets24[name],mets24[category]=_xlfn.TEXTAFTER(O10,"BIOSYN-"),""))&amp;" --&gt; "&amp;biomassComponents23[[#This Row],[product name]]</f>
        <v>0.002033 BIO-ca2_c + 0.000286 BIO-cu2_c + 0.001464 BIO-fe2_c + 0.930969 BIO-k_c + 0.06098 BIO-mg2_c + 0.000204 BIO-mn2_c + 0.004064 BIO-zn2_c --&gt; BIO-metal</v>
      </c>
      <c r="V10" s="158" t="str" cm="1">
        <f t="array" ref="V10">_xlfn.TEXTJOIN(" + ",TRUE,_xlfn._xlws.FILTER((-mets24[normalized coeffs]*biomassComponents23[[#This Row],[normalized coeffs]]/biomassComponents23[[#This Row],[original coeffs from input]])&amp;" BIO-"&amp;mets24[name],mets24[category]=_xlfn.TEXTAFTER(P10,"BIOSYN-"),""))</f>
        <v>0.00129700048900629 BIO-ca2_c + 0.000115000043358306 BIO-cu2_c + 0.000670000252609262 BIO-fe2_c + 0.608732229509464 BIO-k_c + 0.064142024183378 BIO-mg2_c + 9.50000358177311E-05 BIO-mn2_c + 0.00158900059909868 BIO-zn2_c</v>
      </c>
      <c r="X10" s="153"/>
      <c r="AB10" t="str">
        <v>BIOSYN-PROTDUMMY</v>
      </c>
      <c r="AC10" t="str">
        <v>BIO-protdummy --&gt; BIO-prot</v>
      </c>
    </row>
    <row r="11" spans="1:33" ht="16" x14ac:dyDescent="0.2">
      <c r="A11" s="144" t="s">
        <v>1210</v>
      </c>
      <c r="B11" t="str">
        <f>SUBSTITUTE(_xlfn.TEXTBEFORE(mets24[[#This Row],[pasted JSON metabolite keys and values from GSM biomass rxn]],":"),CHAR(34),"")</f>
        <v>amet_c</v>
      </c>
      <c r="C11" t="str">
        <f>_xlfn.TEXTBEFORE(mets24[[#This Row],[name]],"_",-1)</f>
        <v>amet</v>
      </c>
      <c r="D11" t="str">
        <f>_xlfn.XLOOKUP(mets24[[#This Row],[name w/o location]],metaboliteInfo[name w/o location],metaboliteInfo[suggested category],"")</f>
        <v>COFACTOR</v>
      </c>
      <c r="E11" s="21">
        <f>_xlfn.XLOOKUP(mets24[[#This Row],[name w/o location]],metaboliteInfo[name w/o location],metaboliteInfo[MW for biomass normalization (g/mol)],0)</f>
        <v>399.44531999999998</v>
      </c>
      <c r="F11" s="21">
        <f>_xlfn.NUMBERVALUE(SUBSTITUTE(_xlfn.TEXTAFTER(mets24[[#This Row],[pasted JSON metabolite keys and values from GSM biomass rxn]],":"),",",""))</f>
        <v>-1.01E-4</v>
      </c>
      <c r="G11" s="21" cm="1">
        <f t="array" ref="G11">_xlfn.LET(_xlpm.id,mets24[[#This Row],[name w/o location]],IF(IsElementOfSet_DIY(_xlpm.id,{"atp","adp","h","pi","h2o"}),SIGN(mets24[[#This Row],[raw (GSM) coefficient]])*(ABS(mets24[[#This Row],[raw (GSM) coefficient]])-$J$2),mets24[[#This Row],[raw (GSM) coefficient]]))</f>
        <v>-1.01E-4</v>
      </c>
      <c r="H11" s="21">
        <f>mets24[[#This Row],[coeff. w/o GAM]]</f>
        <v>-1.01E-4</v>
      </c>
      <c r="I11" s="161">
        <f t="shared" si="0"/>
        <v>-1.0100003807990364E-4</v>
      </c>
      <c r="J11" s="21" cm="1">
        <f t="array" ref="J11">_xlfn.LET(_xlpm.id,mets24[[#This Row],[name w/o location]],_xlpm.oldcoeff,mets24[[#This Row],[normalized coeffs]],_xlpm.gam,$J$2-$G$2,_xlfn.IFS(IFERROR(MATCH(_xlpm.id,{"atp","h2o"},0),0)&gt;0,_xlpm.oldcoeff-_xlpm.gam,IFERROR(MATCH(_xlpm.id,{"adp","h","pi"},0),0)&gt;0,_xlpm.oldcoeff+_xlpm.gam,TRUE,_xlpm.oldcoeff))</f>
        <v>-1.0100003807990364E-4</v>
      </c>
      <c r="K11" t="str" cm="1">
        <f t="array" ref="K11">"BIOSYN-"&amp;_xlfn.IFS(IFERROR(MATCH(mets24[[#This Row],[category]],{0,"0",""},0),0)&gt;0,mets24[[#This Row],[name]],TRUE,mets24[[#This Row],[category]]&amp;"-"&amp;mets24[[#This Row],[name]])</f>
        <v>BIOSYN-COFACTOR-amet_c</v>
      </c>
      <c r="L11" s="149" t="str" cm="1">
        <f t="array" ref="L11">IF(IsElementOfSet_DIY(mets24[[#This Row],[category]],{"ignore","PROT"}),"",_xlfn.LET(_xlpm.mw,mets24[[#This Row],[MW for biomass normalization (g/mol)]],"MET-"&amp;mets24[[#This Row],[name]]&amp;" --&gt; "&amp;IF((mets24[[#This Row],[category]]="DNA")+(mets24[[#This Row],[category]]="RNA"),"MET-ppi_c + ","")&amp;ROUND(ABS(_xlpm.mw/1000),6)&amp;" BIO-"&amp;mets24[[#This Row],[name]]))</f>
        <v>MET-amet_c --&gt; 0.399445 BIO-amet_c</v>
      </c>
      <c r="M11" s="149" cm="1">
        <f t="array" ref="M1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11" s="149"/>
      <c r="O11" s="162" t="str">
        <v>BIOSYN-PI</v>
      </c>
      <c r="P11" s="158" t="str">
        <f t="shared" si="1"/>
        <v>BIOSYN-PI</v>
      </c>
      <c r="Q11" s="158" t="str">
        <f>SUBSTITUTE(LOWER(biomassComponents23[[#This Row],[rxn name]]),"biosyn-","BIO-")</f>
        <v>BIO-pi</v>
      </c>
      <c r="R11" s="160" cm="1">
        <f t="array" ref="R11">SUM(_xlfn._xlws.FILTER(-mets24[MW for biomass normalization (g/mol)]*mets24[normalized coeffs]/1000,mets24[category]=_xlfn.TEXTAFTER(O11,"BIOSYN-"),""))</f>
        <v>1.0226022501245607E-2</v>
      </c>
      <c r="S11" s="160"/>
      <c r="T11" s="160" cm="1">
        <f t="array" ref="T11">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1.0226022501245607E-2</v>
      </c>
      <c r="U11" s="158" t="str" cm="1">
        <f t="array" ref="U11">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BIO-"&amp;mets24[name],mets24[category]=_xlfn.TEXTAFTER(O11,"BIOSYN-"),""))&amp;" --&gt; "&amp;biomassComponents23[[#This Row],[product name]]</f>
        <v>1 BIO-pi_c --&gt; BIO-pi</v>
      </c>
      <c r="V11" s="158" t="str" cm="1">
        <f t="array" ref="V11">_xlfn.TEXTJOIN(" + ",TRUE,_xlfn._xlws.FILTER((-mets24[normalized coeffs]*biomassComponents23[[#This Row],[normalized coeffs]]/biomassComponents23[[#This Row],[original coeffs from input]])&amp;" BIO-"&amp;mets24[name],mets24[category]=_xlfn.TEXTAFTER(P11,"BIOSYN-"),""))</f>
        <v>0.106544040170136 BIO-pi_c</v>
      </c>
      <c r="X11" s="154" t="s">
        <v>52</v>
      </c>
      <c r="Y11" s="152" t="s">
        <v>53</v>
      </c>
      <c r="Z11" s="152" t="s">
        <v>54</v>
      </c>
      <c r="AB11" t="str">
        <v>BIOSYN-PROTCYT</v>
      </c>
      <c r="AC11" t="str">
        <v>BIO-protcyt --&gt; BIO-protmodeled</v>
      </c>
    </row>
    <row r="12" spans="1:33" ht="16" x14ac:dyDescent="0.2">
      <c r="A12" s="144" t="s">
        <v>1211</v>
      </c>
      <c r="B12" t="str">
        <f>SUBSTITUTE(_xlfn.TEXTBEFORE(mets24[[#This Row],[pasted JSON metabolite keys and values from GSM biomass rxn]],":"),CHAR(34),"")</f>
        <v>argtrna_c</v>
      </c>
      <c r="C12" t="str">
        <f>_xlfn.TEXTBEFORE(mets24[[#This Row],[name]],"_",-1)</f>
        <v>argtrna</v>
      </c>
      <c r="D12" t="str">
        <f>_xlfn.XLOOKUP(mets24[[#This Row],[name w/o location]],metaboliteInfo[name w/o location],metaboliteInfo[suggested category],"")</f>
        <v>PROT</v>
      </c>
      <c r="E12" s="21">
        <f>_xlfn.XLOOKUP(mets24[[#This Row],[name w/o location]],metaboliteInfo[name w/o location],metaboliteInfo[MW for biomass normalization (g/mol)],0)</f>
        <v>158.20156</v>
      </c>
      <c r="F12" s="21">
        <f>_xlfn.NUMBERVALUE(SUBSTITUTE(_xlfn.TEXTAFTER(mets24[[#This Row],[pasted JSON metabolite keys and values from GSM biomass rxn]],":"),",",""))</f>
        <v>-4.8014000000000001E-2</v>
      </c>
      <c r="G12" s="21" cm="1">
        <f t="array" ref="G12">_xlfn.LET(_xlpm.id,mets24[[#This Row],[name w/o location]],IF(IsElementOfSet_DIY(_xlpm.id,{"atp","adp","h","pi","h2o"}),SIGN(mets24[[#This Row],[raw (GSM) coefficient]])*(ABS(mets24[[#This Row],[raw (GSM) coefficient]])-$J$2),mets24[[#This Row],[raw (GSM) coefficient]]))</f>
        <v>-4.8014000000000001E-2</v>
      </c>
      <c r="H12" s="21">
        <f>mets24[[#This Row],[coeff. w/o GAM]]</f>
        <v>-4.8014000000000001E-2</v>
      </c>
      <c r="I12" s="161">
        <f t="shared" si="0"/>
        <v>-4.8014018102658346E-2</v>
      </c>
      <c r="J12" s="21" cm="1">
        <f t="array" ref="J12">_xlfn.LET(_xlpm.id,mets24[[#This Row],[name w/o location]],_xlpm.oldcoeff,mets24[[#This Row],[normalized coeffs]],_xlpm.gam,$J$2-$G$2,_xlfn.IFS(IFERROR(MATCH(_xlpm.id,{"atp","h2o"},0),0)&gt;0,_xlpm.oldcoeff-_xlpm.gam,IFERROR(MATCH(_xlpm.id,{"adp","h","pi"},0),0)&gt;0,_xlpm.oldcoeff+_xlpm.gam,TRUE,_xlpm.oldcoeff))</f>
        <v>-4.8014018102658346E-2</v>
      </c>
      <c r="K12" t="str" cm="1">
        <f t="array" ref="K12">"BIOSYN-"&amp;_xlfn.IFS(IFERROR(MATCH(mets24[[#This Row],[category]],{0,"0",""},0),0)&gt;0,mets24[[#This Row],[name]],TRUE,mets24[[#This Row],[category]]&amp;"-"&amp;mets24[[#This Row],[name]])</f>
        <v>BIOSYN-PROT-argtrna_c</v>
      </c>
      <c r="L12" s="149" t="str" cm="1">
        <f t="array" ref="L12">IF(IsElementOfSet_DIY(mets24[[#This Row],[category]],{"ignore","PROT"}),"",_xlfn.LET(_xlpm.mw,mets24[[#This Row],[MW for biomass normalization (g/mol)]],"MET-"&amp;mets24[[#This Row],[name]]&amp;" --&gt; "&amp;IF((mets24[[#This Row],[category]]="DNA")+(mets24[[#This Row],[category]]="RNA"),"MET-ppi_c + ","")&amp;ROUND(ABS(_xlpm.mw/1000),6)&amp;" BIO-"&amp;mets24[[#This Row],[name]]))</f>
        <v/>
      </c>
      <c r="M12" s="149" cm="1">
        <f t="array" ref="M1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-4.8014073050795233E-2</v>
      </c>
      <c r="N12" s="149"/>
      <c r="O12" s="162" t="str">
        <v>BIOSYN-PROT</v>
      </c>
      <c r="P12" s="158" t="str">
        <f t="shared" si="1"/>
        <v>BIOSYN-PROT</v>
      </c>
      <c r="Q12" s="158" t="s">
        <v>21</v>
      </c>
      <c r="R12" s="160" cm="1">
        <f t="array" ref="R12">SUM(_xlfn._xlws.FILTER(-mets24[MW for biomass normalization (g/mol)]*mets24[normalized coeffs]/1000,mets24[category]=_xlfn.TEXTAFTER(O12,"BIOSYN-"),""))</f>
        <v>0.13626808916578781</v>
      </c>
      <c r="S12" s="160">
        <v>0.14199999999999999</v>
      </c>
      <c r="T12" s="160" cm="1">
        <f t="array" ref="T12">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0.13626824511352792</v>
      </c>
      <c r="U12" s="158"/>
      <c r="V12" s="158" t="str" cm="1">
        <f t="array" ref="V12">_xlfn.TEXTJOIN(" + ",TRUE,_xlfn._xlws.FILTER((-mets24[normalized coeffs]*biomassComponents23[[#This Row],[normalized coeffs]]/biomassComponents23[[#This Row],[original coeffs from input]])&amp;" BIO-"&amp;mets24[name],mets24[category]=_xlfn.TEXTAFTER(P12,"BIOSYN-"),""))</f>
        <v>0.121529184900031 BIO-alatrna_c + 0.0480140730507952 BIO-argtrna_c + 0.0577170878134034 BIO-asntrna_c + 0.0577170878134034 BIO-asptrna_c + 0.00174100264884064 BIO-cystrna_c + 0.096277146480431 BIO-glntrna_c + 0.096277146480431 BIO-glutrna_c + 0.110582168244742 BIO-glytrna_c + 0.0240070365253976 BIO-histrna_c + 0.0732651114688739 BIO-iletrna_c + 0.0996361515909742 BIO-leutrna_c + 0.081724124338801 BIO-lystrna_c + 0.01418002157413 BIO-mettrna_c + 0.0467710711596356 BIO-phetrna_c + 0.0524920798638385 BIO-protrna_c + 0.0663001008719899 BIO-sertrna_c + 0.0692851054135116 BIO-thrtrna_c + 0.00808501230090556 BIO-trptrna_c + 0.0243800370928977 BIO-tyrtrna_c + 0.0911771387210471 BIO-valtrna_c</v>
      </c>
      <c r="X12" s="154" t="s">
        <v>52</v>
      </c>
      <c r="Y12" s="152" t="s">
        <v>55</v>
      </c>
      <c r="Z12" s="152" t="s">
        <v>56</v>
      </c>
      <c r="AB12" t="str">
        <v>BIOSYN-PROTMITO</v>
      </c>
      <c r="AC12" t="str">
        <v>BIO-protmito --&gt; BIO-protmodeled</v>
      </c>
    </row>
    <row r="13" spans="1:33" ht="16" x14ac:dyDescent="0.2">
      <c r="A13" s="144" t="s">
        <v>1212</v>
      </c>
      <c r="B13" t="str">
        <f>SUBSTITUTE(_xlfn.TEXTBEFORE(mets24[[#This Row],[pasted JSON metabolite keys and values from GSM biomass rxn]],":"),CHAR(34),"")</f>
        <v>asntrna_c</v>
      </c>
      <c r="C13" t="str">
        <f>_xlfn.TEXTBEFORE(mets24[[#This Row],[name]],"_",-1)</f>
        <v>asntrna</v>
      </c>
      <c r="D13" t="str">
        <f>_xlfn.XLOOKUP(mets24[[#This Row],[name w/o location]],metaboliteInfo[name w/o location],metaboliteInfo[suggested category],"")</f>
        <v>PROT</v>
      </c>
      <c r="E13" s="21">
        <f>_xlfn.XLOOKUP(mets24[[#This Row],[name w/o location]],metaboliteInfo[name w/o location],metaboliteInfo[MW for biomass normalization (g/mol)],0)</f>
        <v>115.11058</v>
      </c>
      <c r="F13" s="21">
        <f>_xlfn.NUMBERVALUE(SUBSTITUTE(_xlfn.TEXTAFTER(mets24[[#This Row],[pasted JSON metabolite keys and values from GSM biomass rxn]],":"),",",""))</f>
        <v>-5.7716999999999997E-2</v>
      </c>
      <c r="G13" s="21" cm="1">
        <f t="array" ref="G13">_xlfn.LET(_xlpm.id,mets24[[#This Row],[name w/o location]],IF(IsElementOfSet_DIY(_xlpm.id,{"atp","adp","h","pi","h2o"}),SIGN(mets24[[#This Row],[raw (GSM) coefficient]])*(ABS(mets24[[#This Row],[raw (GSM) coefficient]])-$J$2),mets24[[#This Row],[raw (GSM) coefficient]]))</f>
        <v>-5.7716999999999997E-2</v>
      </c>
      <c r="H13" s="21">
        <f>mets24[[#This Row],[coeff. w/o GAM]]</f>
        <v>-5.7716999999999997E-2</v>
      </c>
      <c r="I13" s="161">
        <f t="shared" si="0"/>
        <v>-5.7717021760968296E-2</v>
      </c>
      <c r="J13" s="21" cm="1">
        <f t="array" ref="J13">_xlfn.LET(_xlpm.id,mets24[[#This Row],[name w/o location]],_xlpm.oldcoeff,mets24[[#This Row],[normalized coeffs]],_xlpm.gam,$J$2-$G$2,_xlfn.IFS(IFERROR(MATCH(_xlpm.id,{"atp","h2o"},0),0)&gt;0,_xlpm.oldcoeff-_xlpm.gam,IFERROR(MATCH(_xlpm.id,{"adp","h","pi"},0),0)&gt;0,_xlpm.oldcoeff+_xlpm.gam,TRUE,_xlpm.oldcoeff))</f>
        <v>-5.7717021760968296E-2</v>
      </c>
      <c r="K13" t="str" cm="1">
        <f t="array" ref="K13">"BIOSYN-"&amp;_xlfn.IFS(IFERROR(MATCH(mets24[[#This Row],[category]],{0,"0",""},0),0)&gt;0,mets24[[#This Row],[name]],TRUE,mets24[[#This Row],[category]]&amp;"-"&amp;mets24[[#This Row],[name]])</f>
        <v>BIOSYN-PROT-asntrna_c</v>
      </c>
      <c r="L13" s="149" t="str" cm="1">
        <f t="array" ref="L13">IF(IsElementOfSet_DIY(mets24[[#This Row],[category]],{"ignore","PROT"}),"",_xlfn.LET(_xlpm.mw,mets24[[#This Row],[MW for biomass normalization (g/mol)]],"MET-"&amp;mets24[[#This Row],[name]]&amp;" --&gt; "&amp;IF((mets24[[#This Row],[category]]="DNA")+(mets24[[#This Row],[category]]="RNA"),"MET-ppi_c + ","")&amp;ROUND(ABS(_xlpm.mw/1000),6)&amp;" BIO-"&amp;mets24[[#This Row],[name]]))</f>
        <v/>
      </c>
      <c r="M13" s="149" cm="1">
        <f t="array" ref="M1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-5.7717087813403352E-2</v>
      </c>
      <c r="N13" s="149"/>
      <c r="O13" s="162" t="str">
        <v>BIOSYN-RNA</v>
      </c>
      <c r="P13" s="158" t="str">
        <f t="shared" si="1"/>
        <v>BIOSYN-RNA</v>
      </c>
      <c r="Q13" s="158" t="str">
        <f>SUBSTITUTE(LOWER(biomassComponents23[[#This Row],[rxn name]]),"biosyn-","BIO-")</f>
        <v>BIO-rna</v>
      </c>
      <c r="R13" s="160" cm="1">
        <f t="array" ref="R13">SUM(_xlfn._xlws.FILTER(-mets24[MW for biomass normalization (g/mol)]*mets24[normalized coeffs]/1000,mets24[category]=_xlfn.TEXTAFTER(O13,"BIOSYN-"),""))</f>
        <v>2.0152542218542829E-2</v>
      </c>
      <c r="S13" s="160">
        <v>2.1000000000000001E-2</v>
      </c>
      <c r="T13" s="160" cm="1">
        <f t="array" ref="T13">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2.0152346108338642E-2</v>
      </c>
      <c r="U13" s="163" t="s">
        <v>81</v>
      </c>
      <c r="V13" s="158" t="str" cm="1">
        <f t="array" ref="V13">_xlfn.TEXTJOIN(" + ",TRUE,_xlfn._xlws.FILTER((-mets24[normalized coeffs]*biomassComponents23[[#This Row],[normalized coeffs]]/biomassComponents23[[#This Row],[original coeffs from input]])&amp;" BIO-"&amp;mets24[name],mets24[category]=_xlfn.TEXTAFTER(P13,"BIOSYN-"),""))</f>
        <v>0.000845992086317174 BIO-atp_c + 0.0259557572007363 BIO-ctp_c + 0.0227427872559849 BIO-gtp_c + 0.0136048727352449 BIO-utp_c</v>
      </c>
      <c r="X13" s="154" t="s">
        <v>52</v>
      </c>
      <c r="Y13" s="152" t="s">
        <v>59</v>
      </c>
      <c r="Z13" s="152" t="s">
        <v>60</v>
      </c>
      <c r="AB13" t="str">
        <v>BIOSYN-TRNA</v>
      </c>
      <c r="AC13" t="str">
        <v>0.0137949198820563 BIO-atp_c + 0.391765800247605 BIO-ctp_c + 0.388441125312002 BIO-gtp_c + 0.206030601979488 BIO-utp_c --&gt; BIO-trna</v>
      </c>
    </row>
    <row r="14" spans="1:33" ht="16" x14ac:dyDescent="0.2">
      <c r="A14" s="144" t="s">
        <v>1213</v>
      </c>
      <c r="B14" t="str">
        <f>SUBSTITUTE(_xlfn.TEXTBEFORE(mets24[[#This Row],[pasted JSON metabolite keys and values from GSM biomass rxn]],":"),CHAR(34),"")</f>
        <v>asptrna_c</v>
      </c>
      <c r="C14" t="str">
        <f>_xlfn.TEXTBEFORE(mets24[[#This Row],[name]],"_",-1)</f>
        <v>asptrna</v>
      </c>
      <c r="D14" t="str">
        <f>_xlfn.XLOOKUP(mets24[[#This Row],[name w/o location]],metaboliteInfo[name w/o location],metaboliteInfo[suggested category],"")</f>
        <v>PROT</v>
      </c>
      <c r="E14" s="21">
        <f>_xlfn.XLOOKUP(mets24[[#This Row],[name w/o location]],metaboliteInfo[name w/o location],metaboliteInfo[MW for biomass normalization (g/mol)],0)</f>
        <v>115.0874</v>
      </c>
      <c r="F14" s="21">
        <f>_xlfn.NUMBERVALUE(SUBSTITUTE(_xlfn.TEXTAFTER(mets24[[#This Row],[pasted JSON metabolite keys and values from GSM biomass rxn]],":"),",",""))</f>
        <v>-5.7716999999999997E-2</v>
      </c>
      <c r="G14" s="21" cm="1">
        <f t="array" ref="G14">_xlfn.LET(_xlpm.id,mets24[[#This Row],[name w/o location]],IF(IsElementOfSet_DIY(_xlpm.id,{"atp","adp","h","pi","h2o"}),SIGN(mets24[[#This Row],[raw (GSM) coefficient]])*(ABS(mets24[[#This Row],[raw (GSM) coefficient]])-$J$2),mets24[[#This Row],[raw (GSM) coefficient]]))</f>
        <v>-5.7716999999999997E-2</v>
      </c>
      <c r="H14" s="21">
        <f>mets24[[#This Row],[coeff. w/o GAM]]</f>
        <v>-5.7716999999999997E-2</v>
      </c>
      <c r="I14" s="161">
        <f t="shared" si="0"/>
        <v>-5.7717021760968296E-2</v>
      </c>
      <c r="J14" s="21" cm="1">
        <f t="array" ref="J14">_xlfn.LET(_xlpm.id,mets24[[#This Row],[name w/o location]],_xlpm.oldcoeff,mets24[[#This Row],[normalized coeffs]],_xlpm.gam,$J$2-$G$2,_xlfn.IFS(IFERROR(MATCH(_xlpm.id,{"atp","h2o"},0),0)&gt;0,_xlpm.oldcoeff-_xlpm.gam,IFERROR(MATCH(_xlpm.id,{"adp","h","pi"},0),0)&gt;0,_xlpm.oldcoeff+_xlpm.gam,TRUE,_xlpm.oldcoeff))</f>
        <v>-5.7717021760968296E-2</v>
      </c>
      <c r="K14" t="str" cm="1">
        <f t="array" ref="K14">"BIOSYN-"&amp;_xlfn.IFS(IFERROR(MATCH(mets24[[#This Row],[category]],{0,"0",""},0),0)&gt;0,mets24[[#This Row],[name]],TRUE,mets24[[#This Row],[category]]&amp;"-"&amp;mets24[[#This Row],[name]])</f>
        <v>BIOSYN-PROT-asptrna_c</v>
      </c>
      <c r="L14" s="149" t="str" cm="1">
        <f t="array" ref="L14">IF(IsElementOfSet_DIY(mets24[[#This Row],[category]],{"ignore","PROT"}),"",_xlfn.LET(_xlpm.mw,mets24[[#This Row],[MW for biomass normalization (g/mol)]],"MET-"&amp;mets24[[#This Row],[name]]&amp;" --&gt; "&amp;IF((mets24[[#This Row],[category]]="DNA")+(mets24[[#This Row],[category]]="RNA"),"MET-ppi_c + ","")&amp;ROUND(ABS(_xlpm.mw/1000),6)&amp;" BIO-"&amp;mets24[[#This Row],[name]]))</f>
        <v/>
      </c>
      <c r="M14" s="149" cm="1">
        <f t="array" ref="M1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-5.7717087813403352E-2</v>
      </c>
      <c r="N14" s="149"/>
      <c r="O14" s="162" t="str">
        <v>BIOSYN-SO4</v>
      </c>
      <c r="P14" s="158" t="str">
        <f t="shared" si="1"/>
        <v>BIOSYN-SO4</v>
      </c>
      <c r="Q14" s="158" t="str">
        <f>SUBSTITUTE(LOWER(biomassComponents23[[#This Row],[rxn name]]),"biosyn-","BIO-")</f>
        <v>BIO-so4</v>
      </c>
      <c r="R14" s="160" cm="1">
        <f t="array" ref="R14">SUM(_xlfn._xlws.FILTER(-mets24[MW for biomass normalization (g/mol)]*mets24[normalized coeffs]/1000,mets24[category]=_xlfn.TEXTAFTER(O14,"BIOSYN-"),""))</f>
        <v>3.0246281639713427E-3</v>
      </c>
      <c r="S14" s="160"/>
      <c r="T14" s="160" cm="1">
        <f t="array" ref="T14">IF(biomassComponents23[[#This Row],[pre-determined coeffs]]&lt;&gt;"",biomassComponents23[[#This Row],[pre-determined coeffs]]*IF(SUM(biomassComponents23[pre-determined coeffs])&gt;1,1/SUM(biomassComponents23[pre-determined coeffs]),1)*(1-SUM(_xlfn._xlws.FILTER(biomassComponents23[original coeffs from input],biomassComponents23[pre-determined coeffs]=""))),biomassComponents23[[#This Row],[original coeffs from input]])</f>
        <v>3.0246281639713427E-3</v>
      </c>
      <c r="U14" s="158" t="str" cm="1">
        <f t="array" ref="U14">_xlfn.TEXTJOIN(" + ",TRUE,_xlfn._xlws.FILTER(ROUND(-mets24[MW for biomass normalization (g/mol)]*mets24[normalized coeffs]*(biomassComponents23[[#This Row],[normalized coeffs]]/biomassComponents23[[#This Row],[original coeffs from input]])/(1000*biomassComponents23[[#This Row],[normalized coeffs]]),6)&amp;" BIO-"&amp;mets24[name],mets24[category]=_xlfn.TEXTAFTER(O14,"BIOSYN-"),""))&amp;" --&gt; "&amp;biomassComponents23[[#This Row],[product name]]</f>
        <v>1 BIO-so4_c --&gt; BIO-so4</v>
      </c>
      <c r="V14" s="158" t="str" cm="1">
        <f t="array" ref="V14">_xlfn.TEXTJOIN(" + ",TRUE,_xlfn._xlws.FILTER((-mets24[normalized coeffs]*biomassComponents23[[#This Row],[normalized coeffs]]/biomassComponents23[[#This Row],[original coeffs from input]])&amp;" BIO-"&amp;mets24[name],mets24[category]=_xlfn.TEXTAFTER(P14,"BIOSYN-"),""))</f>
        <v>0.0314860118711272 BIO-so4_c</v>
      </c>
      <c r="X14" s="154" t="s">
        <v>52</v>
      </c>
      <c r="Y14" s="152" t="s">
        <v>61</v>
      </c>
      <c r="Z14" s="152" t="s">
        <v>62</v>
      </c>
      <c r="AB14" t="str">
        <v>BIOSYN-RRNA</v>
      </c>
      <c r="AC14" t="str">
        <v>0.0137949198820563 BIO-atp_c + 0.391765800247605 BIO-ctp_c + 0.388441125312002 BIO-gtp_c + 0.206030601979488 BIO-utp_c --&gt; BIO-rrna</v>
      </c>
    </row>
    <row r="15" spans="1:33" ht="16" x14ac:dyDescent="0.2">
      <c r="A15" s="144" t="s">
        <v>1214</v>
      </c>
      <c r="B15" t="str">
        <f>SUBSTITUTE(_xlfn.TEXTBEFORE(mets24[[#This Row],[pasted JSON metabolite keys and values from GSM biomass rxn]],":"),CHAR(34),"")</f>
        <v>atp_c</v>
      </c>
      <c r="C15" t="str">
        <f>_xlfn.TEXTBEFORE(mets24[[#This Row],[name]],"_",-1)</f>
        <v>atp</v>
      </c>
      <c r="D15" t="str">
        <f>_xlfn.XLOOKUP(mets24[[#This Row],[name w/o location]],metaboliteInfo[name w/o location],metaboliteInfo[suggested category],"")</f>
        <v>RNA</v>
      </c>
      <c r="E15" s="21">
        <f>_xlfn.XLOOKUP(mets24[[#This Row],[name w/o location]],metaboliteInfo[name w/o location],metaboliteInfo[MW for biomass normalization (g/mol)],0)</f>
        <v>328.19800099999998</v>
      </c>
      <c r="F15" s="21">
        <f>_xlfn.NUMBERVALUE(SUBSTITUTE(_xlfn.TEXTAFTER(mets24[[#This Row],[pasted JSON metabolite keys and values from GSM biomass rxn]],":"),",",""))</f>
        <v>-183.67254600000001</v>
      </c>
      <c r="G15" s="21" cm="1">
        <f t="array" ref="G15">_xlfn.LET(_xlpm.id,mets24[[#This Row],[name w/o location]],IF(IsElementOfSet_DIY(_xlpm.id,{"atp","adp","h","pi","h2o"}),SIGN(mets24[[#This Row],[raw (GSM) coefficient]])*(ABS(mets24[[#This Row],[raw (GSM) coefficient]])-$J$2),mets24[[#This Row],[raw (GSM) coefficient]]))</f>
        <v>-8.4600000002410525E-4</v>
      </c>
      <c r="H15" s="21">
        <f>mets24[[#This Row],[coeff. w/o GAM]]</f>
        <v>-8.4600000002410525E-4</v>
      </c>
      <c r="I15" s="161">
        <f t="shared" si="0"/>
        <v>-8.4600031899042681E-4</v>
      </c>
      <c r="J15" s="21" cm="1">
        <f t="array" ref="J15">_xlfn.LET(_xlpm.id,mets24[[#This Row],[name w/o location]],_xlpm.oldcoeff,mets24[[#This Row],[normalized coeffs]],_xlpm.gam,$J$2-$G$2,_xlfn.IFS(IFERROR(MATCH(_xlpm.id,{"atp","h2o"},0),0)&gt;0,_xlpm.oldcoeff-_xlpm.gam,IFERROR(MATCH(_xlpm.id,{"adp","h","pi"},0),0)&gt;0,_xlpm.oldcoeff+_xlpm.gam,TRUE,_xlpm.oldcoeff))</f>
        <v>-181.09254600031898</v>
      </c>
      <c r="K15" t="str" cm="1">
        <f t="array" ref="K15">"BIOSYN-"&amp;_xlfn.IFS(IFERROR(MATCH(mets24[[#This Row],[category]],{0,"0",""},0),0)&gt;0,mets24[[#This Row],[name]],TRUE,mets24[[#This Row],[category]]&amp;"-"&amp;mets24[[#This Row],[name]])</f>
        <v>BIOSYN-RNA-atp_c</v>
      </c>
      <c r="L15" s="149" t="str" cm="1">
        <f t="array" ref="L15">IF(IsElementOfSet_DIY(mets24[[#This Row],[category]],{"ignore","PROT"}),"",_xlfn.LET(_xlpm.mw,mets24[[#This Row],[MW for biomass normalization (g/mol)]],"MET-"&amp;mets24[[#This Row],[name]]&amp;" --&gt; "&amp;IF((mets24[[#This Row],[category]]="DNA")+(mets24[[#This Row],[category]]="RNA"),"MET-ppi_c + ","")&amp;ROUND(ABS(_xlpm.mw/1000),6)&amp;" BIO-"&amp;mets24[[#This Row],[name]]))</f>
        <v>MET-atp_c --&gt; MET-ppi_c + 0.328198 BIO-atp_c</v>
      </c>
      <c r="M15" s="149" cm="1">
        <f t="array" ref="M1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-183.6725459920863</v>
      </c>
      <c r="N15" s="149"/>
      <c r="O15" s="149"/>
      <c r="P15" s="149"/>
      <c r="Q15" s="149"/>
      <c r="R15" s="149"/>
      <c r="S15" s="149"/>
      <c r="T15" s="149"/>
      <c r="U15" s="149"/>
      <c r="V15" s="149"/>
      <c r="X15" s="154"/>
      <c r="Y15" s="152" t="s">
        <v>763</v>
      </c>
      <c r="Z15" s="152" t="str" cm="1">
        <f t="array" ref="Z15">_xlfn.LET(_xlpm.RNAmass,_xlfn.XLOOKUP("BIOSYN-RNA",biomassComponents23[rxn name],biomassComponents23[normalized coeffs],0),_xlpm.coeff,1/_xlpm.RNAmass,_xlfn.TEXTJOIN(" + ",TRUE,_xlfn._xlws.FILTER(ROUND(-mets24[MW for biomass normalization (g/mol)]*mets24[normalized coeffs]/(1000),6)*_xlpm.coeff&amp;" BIO-"&amp;mets24[name],mets24[category]="RNA",""))&amp;" --&gt; "&amp;SUBSTITUTE(LOWER(ExtraRxns22[[#This Row],[name]]),"biosyn-","BIO-"))</f>
        <v>0.0137949198820563 BIO-atp_c + 0.391765800247605 BIO-ctp_c + 0.388441125312002 BIO-gtp_c + 0.206030601979488 BIO-utp_c --&gt; BIO-trna</v>
      </c>
      <c r="AB15" t="str">
        <v>BIOSYN-MRNA</v>
      </c>
      <c r="AC15" t="str">
        <v>0.0137949198820563 BIO-atp_c + 0.391765800247605 BIO-ctp_c + 0.388441125312002 BIO-gtp_c + 0.206030601979488 BIO-utp_c --&gt; BIO-mrna</v>
      </c>
    </row>
    <row r="16" spans="1:33" ht="16" x14ac:dyDescent="0.2">
      <c r="A16" s="144" t="s">
        <v>1215</v>
      </c>
      <c r="B16" t="str">
        <f>SUBSTITUTE(_xlfn.TEXTBEFORE(mets24[[#This Row],[pasted JSON metabolite keys and values from GSM biomass rxn]],":"),CHAR(34),"")</f>
        <v>btn_c</v>
      </c>
      <c r="C16" t="str">
        <f>_xlfn.TEXTBEFORE(mets24[[#This Row],[name]],"_",-1)</f>
        <v>btn</v>
      </c>
      <c r="D16" t="str">
        <f>_xlfn.XLOOKUP(mets24[[#This Row],[name w/o location]],metaboliteInfo[name w/o location],metaboliteInfo[suggested category],"")</f>
        <v>COFACTOR</v>
      </c>
      <c r="E16" s="21">
        <f>_xlfn.XLOOKUP(mets24[[#This Row],[name w/o location]],metaboliteInfo[name w/o location],metaboliteInfo[MW for biomass normalization (g/mol)],0)</f>
        <v>243.30269999999999</v>
      </c>
      <c r="F16" s="21">
        <f>_xlfn.NUMBERVALUE(SUBSTITUTE(_xlfn.TEXTAFTER(mets24[[#This Row],[pasted JSON metabolite keys and values from GSM biomass rxn]],":"),",",""))</f>
        <v>-1.01E-4</v>
      </c>
      <c r="G16" s="21" cm="1">
        <f t="array" ref="G16">_xlfn.LET(_xlpm.id,mets24[[#This Row],[name w/o location]],IF(IsElementOfSet_DIY(_xlpm.id,{"atp","adp","h","pi","h2o"}),SIGN(mets24[[#This Row],[raw (GSM) coefficient]])*(ABS(mets24[[#This Row],[raw (GSM) coefficient]])-$J$2),mets24[[#This Row],[raw (GSM) coefficient]]))</f>
        <v>-1.01E-4</v>
      </c>
      <c r="H16" s="21">
        <f>mets24[[#This Row],[coeff. w/o GAM]]</f>
        <v>-1.01E-4</v>
      </c>
      <c r="I16" s="161">
        <f t="shared" si="0"/>
        <v>-1.0100003807990364E-4</v>
      </c>
      <c r="J16" s="21" cm="1">
        <f t="array" ref="J16">_xlfn.LET(_xlpm.id,mets24[[#This Row],[name w/o location]],_xlpm.oldcoeff,mets24[[#This Row],[normalized coeffs]],_xlpm.gam,$J$2-$G$2,_xlfn.IFS(IFERROR(MATCH(_xlpm.id,{"atp","h2o"},0),0)&gt;0,_xlpm.oldcoeff-_xlpm.gam,IFERROR(MATCH(_xlpm.id,{"adp","h","pi"},0),0)&gt;0,_xlpm.oldcoeff+_xlpm.gam,TRUE,_xlpm.oldcoeff))</f>
        <v>-1.0100003807990364E-4</v>
      </c>
      <c r="K16" t="str" cm="1">
        <f t="array" ref="K16">"BIOSYN-"&amp;_xlfn.IFS(IFERROR(MATCH(mets24[[#This Row],[category]],{0,"0",""},0),0)&gt;0,mets24[[#This Row],[name]],TRUE,mets24[[#This Row],[category]]&amp;"-"&amp;mets24[[#This Row],[name]])</f>
        <v>BIOSYN-COFACTOR-btn_c</v>
      </c>
      <c r="L16" s="149" t="str" cm="1">
        <f t="array" ref="L16">IF(IsElementOfSet_DIY(mets24[[#This Row],[category]],{"ignore","PROT"}),"",_xlfn.LET(_xlpm.mw,mets24[[#This Row],[MW for biomass normalization (g/mol)]],"MET-"&amp;mets24[[#This Row],[name]]&amp;" --&gt; "&amp;IF((mets24[[#This Row],[category]]="DNA")+(mets24[[#This Row],[category]]="RNA"),"MET-ppi_c + ","")&amp;ROUND(ABS(_xlpm.mw/1000),6)&amp;" BIO-"&amp;mets24[[#This Row],[name]]))</f>
        <v>MET-btn_c --&gt; 0.243303 BIO-btn_c</v>
      </c>
      <c r="M16" s="149" cm="1">
        <f t="array" ref="M1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16" s="149"/>
      <c r="O16" s="149"/>
      <c r="P16" s="145"/>
      <c r="Q16" s="166"/>
      <c r="R16" s="95"/>
      <c r="S16" s="149"/>
      <c r="T16" s="149"/>
      <c r="U16" s="149"/>
      <c r="V16" s="149"/>
      <c r="X16" s="154"/>
      <c r="Y16" s="152" t="s">
        <v>765</v>
      </c>
      <c r="Z16" s="152" t="str" cm="1">
        <f t="array" ref="Z16">_xlfn.LET(_xlpm.RNAmass,_xlfn.XLOOKUP("BIOSYN-RNA",biomassComponents23[rxn name],biomassComponents23[normalized coeffs],0),_xlpm.coeff,1/_xlpm.RNAmass,_xlfn.TEXTJOIN(" + ",TRUE,_xlfn._xlws.FILTER(ROUND(-mets24[MW for biomass normalization (g/mol)]*mets24[normalized coeffs]/(1000),6)*_xlpm.coeff&amp;" BIO-"&amp;mets24[name],mets24[category]="RNA",""))&amp;" --&gt; "&amp;SUBSTITUTE(LOWER(ExtraRxns22[[#This Row],[name]]),"biosyn-","BIO-"))</f>
        <v>0.0137949198820563 BIO-atp_c + 0.391765800247605 BIO-ctp_c + 0.388441125312002 BIO-gtp_c + 0.206030601979488 BIO-utp_c --&gt; BIO-rrna</v>
      </c>
      <c r="AB16" t="str">
        <v>BIOSYN-CARB</v>
      </c>
      <c r="AC16" t="str">
        <v>0.497758 BIO-13BDglucan_c + 0.130989 BIO-16BDglucan_en + 0.118792 BIO-G00006_c + 0.014748 BIO-chtn_c + 0.118914 BIO-gpianchorSC_r + 0.118798 BIO-oglycanSC_g --&gt; BIO-carb</v>
      </c>
    </row>
    <row r="17" spans="1:29" ht="16" x14ac:dyDescent="0.2">
      <c r="A17" s="144" t="s">
        <v>1216</v>
      </c>
      <c r="B17" t="str">
        <f>SUBSTITUTE(_xlfn.TEXTBEFORE(mets24[[#This Row],[pasted JSON metabolite keys and values from GSM biomass rxn]],":"),CHAR(34),"")</f>
        <v>ca2_c</v>
      </c>
      <c r="C17" t="str">
        <f>_xlfn.TEXTBEFORE(mets24[[#This Row],[name]],"_",-1)</f>
        <v>ca2</v>
      </c>
      <c r="D17" t="str">
        <f>_xlfn.XLOOKUP(mets24[[#This Row],[name w/o location]],metaboliteInfo[name w/o location],metaboliteInfo[suggested category],"")</f>
        <v>METAL</v>
      </c>
      <c r="E17" s="21">
        <f>_xlfn.XLOOKUP(mets24[[#This Row],[name w/o location]],metaboliteInfo[name w/o location],metaboliteInfo[MW for biomass normalization (g/mol)],0)</f>
        <v>40.078000000000003</v>
      </c>
      <c r="F17" s="21">
        <f>_xlfn.NUMBERVALUE(SUBSTITUTE(_xlfn.TEXTAFTER(mets24[[#This Row],[pasted JSON metabolite keys and values from GSM biomass rxn]],":"),",",""))</f>
        <v>-1.297E-3</v>
      </c>
      <c r="G17" s="21" cm="1">
        <f t="array" ref="G17">_xlfn.LET(_xlpm.id,mets24[[#This Row],[name w/o location]],IF(IsElementOfSet_DIY(_xlpm.id,{"atp","adp","h","pi","h2o"}),SIGN(mets24[[#This Row],[raw (GSM) coefficient]])*(ABS(mets24[[#This Row],[raw (GSM) coefficient]])-$J$2),mets24[[#This Row],[raw (GSM) coefficient]]))</f>
        <v>-1.297E-3</v>
      </c>
      <c r="H17" s="21">
        <f>mets24[[#This Row],[coeff. w/o GAM]]</f>
        <v>-1.297E-3</v>
      </c>
      <c r="I17" s="161">
        <f t="shared" si="0"/>
        <v>-1.2970004890062873E-3</v>
      </c>
      <c r="J17" s="21" cm="1">
        <f t="array" ref="J17">_xlfn.LET(_xlpm.id,mets24[[#This Row],[name w/o location]],_xlpm.oldcoeff,mets24[[#This Row],[normalized coeffs]],_xlpm.gam,$J$2-$G$2,_xlfn.IFS(IFERROR(MATCH(_xlpm.id,{"atp","h2o"},0),0)&gt;0,_xlpm.oldcoeff-_xlpm.gam,IFERROR(MATCH(_xlpm.id,{"adp","h","pi"},0),0)&gt;0,_xlpm.oldcoeff+_xlpm.gam,TRUE,_xlpm.oldcoeff))</f>
        <v>-1.2970004890062873E-3</v>
      </c>
      <c r="K17" t="str" cm="1">
        <f t="array" ref="K17">"BIOSYN-"&amp;_xlfn.IFS(IFERROR(MATCH(mets24[[#This Row],[category]],{0,"0",""},0),0)&gt;0,mets24[[#This Row],[name]],TRUE,mets24[[#This Row],[category]]&amp;"-"&amp;mets24[[#This Row],[name]])</f>
        <v>BIOSYN-METAL-ca2_c</v>
      </c>
      <c r="L17" s="149" t="str" cm="1">
        <f t="array" ref="L17">IF(IsElementOfSet_DIY(mets24[[#This Row],[category]],{"ignore","PROT"}),"",_xlfn.LET(_xlpm.mw,mets24[[#This Row],[MW for biomass normalization (g/mol)]],"MET-"&amp;mets24[[#This Row],[name]]&amp;" --&gt; "&amp;IF((mets24[[#This Row],[category]]="DNA")+(mets24[[#This Row],[category]]="RNA"),"MET-ppi_c + ","")&amp;ROUND(ABS(_xlpm.mw/1000),6)&amp;" BIO-"&amp;mets24[[#This Row],[name]]))</f>
        <v>MET-ca2_c --&gt; 0.040078 BIO-ca2_c</v>
      </c>
      <c r="M17" s="149" cm="1">
        <f t="array" ref="M1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-1.2970004890062873E-3</v>
      </c>
      <c r="N17" s="149"/>
      <c r="O17" s="149"/>
      <c r="P17" s="169"/>
      <c r="Q17" s="169"/>
      <c r="R17" s="169"/>
      <c r="S17" s="169"/>
      <c r="T17" s="169"/>
      <c r="U17" s="169"/>
      <c r="V17" s="149"/>
      <c r="X17" s="154"/>
      <c r="Y17" s="152" t="s">
        <v>764</v>
      </c>
      <c r="Z17" s="152" t="str" cm="1">
        <f t="array" ref="Z17">_xlfn.LET(_xlpm.RNAmass,_xlfn.XLOOKUP("BIOSYN-RNA",biomassComponents23[rxn name],biomassComponents23[normalized coeffs],0),_xlpm.coeff,1/_xlpm.RNAmass,_xlfn.TEXTJOIN(" + ",TRUE,_xlfn._xlws.FILTER(ROUND(-mets24[MW for biomass normalization (g/mol)]*mets24[normalized coeffs]/(1000),6)*_xlpm.coeff&amp;" BIO-"&amp;mets24[name],mets24[category]="RNA",""))&amp;" --&gt; "&amp;SUBSTITUTE(LOWER(ExtraRxns22[[#This Row],[name]]),"biosyn-","BIO-"))</f>
        <v>0.0137949198820563 BIO-atp_c + 0.391765800247605 BIO-ctp_c + 0.388441125312002 BIO-gtp_c + 0.206030601979488 BIO-utp_c --&gt; BIO-mrna</v>
      </c>
      <c r="AB17" t="str">
        <v>BIOSYN-COFACTOR</v>
      </c>
      <c r="AC17" t="str">
        <v>0.068495 BIO-amet_c + 0.041721 BIO-btn_c + 0.130922 BIO-coa_c + 0.134184 BIO-fad_c + 0.145895 BIO-hemeA_c + 0.113589 BIO-nad_c + 0.126957 BIO-nadp_c + 0.064364 BIO-ribflv_c + 0.025425 BIO-spmd_c + 0.076035 BIO-thf_c + 0.072413 BIO-thmpp_c --&gt; BIO-cofactor</v>
      </c>
    </row>
    <row r="18" spans="1:29" ht="16" x14ac:dyDescent="0.2">
      <c r="A18" s="144" t="s">
        <v>1217</v>
      </c>
      <c r="B18" t="str">
        <f>SUBSTITUTE(_xlfn.TEXTBEFORE(mets24[[#This Row],[pasted JSON metabolite keys and values from GSM biomass rxn]],":"),CHAR(34),"")</f>
        <v>chtn_c</v>
      </c>
      <c r="C18" t="str">
        <f>_xlfn.TEXTBEFORE(mets24[[#This Row],[name]],"_",-1)</f>
        <v>chtn</v>
      </c>
      <c r="D18" t="str">
        <f>_xlfn.XLOOKUP(mets24[[#This Row],[name w/o location]],metaboliteInfo[name w/o location],metaboliteInfo[suggested category],"")</f>
        <v>CARB</v>
      </c>
      <c r="E18" s="21">
        <f>_xlfn.XLOOKUP(mets24[[#This Row],[name w/o location]],metaboliteInfo[name w/o location],metaboliteInfo[MW for biomass normalization (g/mol)],0)</f>
        <v>203.19252</v>
      </c>
      <c r="F18" s="21">
        <f>_xlfn.NUMBERVALUE(SUBSTITUTE(_xlfn.TEXTAFTER(mets24[[#This Row],[pasted JSON metabolite keys and values from GSM biomass rxn]],":"),",",""))</f>
        <v>-3.5591999999999999E-2</v>
      </c>
      <c r="G18" s="21" cm="1">
        <f t="array" ref="G18">_xlfn.LET(_xlpm.id,mets24[[#This Row],[name w/o location]],IF(IsElementOfSet_DIY(_xlpm.id,{"atp","adp","h","pi","h2o"}),SIGN(mets24[[#This Row],[raw (GSM) coefficient]])*(ABS(mets24[[#This Row],[raw (GSM) coefficient]])-$J$2),mets24[[#This Row],[raw (GSM) coefficient]]))</f>
        <v>-3.5591999999999999E-2</v>
      </c>
      <c r="H18" s="21">
        <f>mets24[[#This Row],[coeff. w/o GAM]]</f>
        <v>-3.5591999999999999E-2</v>
      </c>
      <c r="I18" s="161">
        <f t="shared" si="0"/>
        <v>-3.5592013419207223E-2</v>
      </c>
      <c r="J18" s="21" cm="1">
        <f t="array" ref="J18">_xlfn.LET(_xlpm.id,mets24[[#This Row],[name w/o location]],_xlpm.oldcoeff,mets24[[#This Row],[normalized coeffs]],_xlpm.gam,$J$2-$G$2,_xlfn.IFS(IFERROR(MATCH(_xlpm.id,{"atp","h2o"},0),0)&gt;0,_xlpm.oldcoeff-_xlpm.gam,IFERROR(MATCH(_xlpm.id,{"adp","h","pi"},0),0)&gt;0,_xlpm.oldcoeff+_xlpm.gam,TRUE,_xlpm.oldcoeff))</f>
        <v>-3.5592013419207223E-2</v>
      </c>
      <c r="K18" t="str" cm="1">
        <f t="array" ref="K18">"BIOSYN-"&amp;_xlfn.IFS(IFERROR(MATCH(mets24[[#This Row],[category]],{0,"0",""},0),0)&gt;0,mets24[[#This Row],[name]],TRUE,mets24[[#This Row],[category]]&amp;"-"&amp;mets24[[#This Row],[name]])</f>
        <v>BIOSYN-CARB-chtn_c</v>
      </c>
      <c r="L18" s="149" t="str" cm="1">
        <f t="array" ref="L18">IF(IsElementOfSet_DIY(mets24[[#This Row],[category]],{"ignore","PROT"}),"",_xlfn.LET(_xlpm.mw,mets24[[#This Row],[MW for biomass normalization (g/mol)]],"MET-"&amp;mets24[[#This Row],[name]]&amp;" --&gt; "&amp;IF((mets24[[#This Row],[category]]="DNA")+(mets24[[#This Row],[category]]="RNA"),"MET-ppi_c + ","")&amp;ROUND(ABS(_xlpm.mw/1000),6)&amp;" BIO-"&amp;mets24[[#This Row],[name]]))</f>
        <v>MET-chtn_c --&gt; 0.203193 BIO-chtn_c</v>
      </c>
      <c r="M18" s="149" cm="1">
        <f t="array" ref="M1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-3.5592048610161318E-2</v>
      </c>
      <c r="N18" s="149"/>
      <c r="O18" s="149"/>
      <c r="P18" s="168"/>
      <c r="Q18" s="168"/>
      <c r="R18" s="168"/>
      <c r="S18" s="168"/>
      <c r="T18" s="168"/>
      <c r="U18" s="149"/>
      <c r="V18" s="149"/>
      <c r="AB18" t="str">
        <v>BIOSYN-DNA</v>
      </c>
      <c r="AC18" t="str">
        <v>0.197919 BIO-datp_c + 0.285137 BIO-dctp_c + 0.32474 BIO-dgtp_c + 0.192205 BIO-dttp_c --&gt; BIO-dna</v>
      </c>
    </row>
    <row r="19" spans="1:29" ht="16" x14ac:dyDescent="0.2">
      <c r="A19" s="144" t="s">
        <v>1218</v>
      </c>
      <c r="B19" t="str">
        <f>SUBSTITUTE(_xlfn.TEXTBEFORE(mets24[[#This Row],[pasted JSON metabolite keys and values from GSM biomass rxn]],":"),CHAR(34),"")</f>
        <v>coa_c</v>
      </c>
      <c r="C19" t="str">
        <f>_xlfn.TEXTBEFORE(mets24[[#This Row],[name]],"_",-1)</f>
        <v>coa</v>
      </c>
      <c r="D19" t="str">
        <f>_xlfn.XLOOKUP(mets24[[#This Row],[name w/o location]],metaboliteInfo[name w/o location],metaboliteInfo[suggested category],"")</f>
        <v>COFACTOR</v>
      </c>
      <c r="E19" s="21">
        <f>_xlfn.XLOOKUP(mets24[[#This Row],[name w/o location]],metaboliteInfo[name w/o location],metaboliteInfo[MW for biomass normalization (g/mol)],0)</f>
        <v>763.50236299999995</v>
      </c>
      <c r="F19" s="21">
        <f>_xlfn.NUMBERVALUE(SUBSTITUTE(_xlfn.TEXTAFTER(mets24[[#This Row],[pasted JSON metabolite keys and values from GSM biomass rxn]],":"),",",""))</f>
        <v>-1.01E-4</v>
      </c>
      <c r="G19" s="21" cm="1">
        <f t="array" ref="G19">_xlfn.LET(_xlpm.id,mets24[[#This Row],[name w/o location]],IF(IsElementOfSet_DIY(_xlpm.id,{"atp","adp","h","pi","h2o"}),SIGN(mets24[[#This Row],[raw (GSM) coefficient]])*(ABS(mets24[[#This Row],[raw (GSM) coefficient]])-$J$2),mets24[[#This Row],[raw (GSM) coefficient]]))</f>
        <v>-1.01E-4</v>
      </c>
      <c r="H19" s="21">
        <f>mets24[[#This Row],[coeff. w/o GAM]]</f>
        <v>-1.01E-4</v>
      </c>
      <c r="I19" s="161">
        <f t="shared" si="0"/>
        <v>-1.0100003807990364E-4</v>
      </c>
      <c r="J19" s="21" cm="1">
        <f t="array" ref="J19">_xlfn.LET(_xlpm.id,mets24[[#This Row],[name w/o location]],_xlpm.oldcoeff,mets24[[#This Row],[normalized coeffs]],_xlpm.gam,$J$2-$G$2,_xlfn.IFS(IFERROR(MATCH(_xlpm.id,{"atp","h2o"},0),0)&gt;0,_xlpm.oldcoeff-_xlpm.gam,IFERROR(MATCH(_xlpm.id,{"adp","h","pi"},0),0)&gt;0,_xlpm.oldcoeff+_xlpm.gam,TRUE,_xlpm.oldcoeff))</f>
        <v>-1.0100003807990364E-4</v>
      </c>
      <c r="K19" t="str" cm="1">
        <f t="array" ref="K19">"BIOSYN-"&amp;_xlfn.IFS(IFERROR(MATCH(mets24[[#This Row],[category]],{0,"0",""},0),0)&gt;0,mets24[[#This Row],[name]],TRUE,mets24[[#This Row],[category]]&amp;"-"&amp;mets24[[#This Row],[name]])</f>
        <v>BIOSYN-COFACTOR-coa_c</v>
      </c>
      <c r="L19" s="149" t="str" cm="1">
        <f t="array" ref="L19">IF(IsElementOfSet_DIY(mets24[[#This Row],[category]],{"ignore","PROT"}),"",_xlfn.LET(_xlpm.mw,mets24[[#This Row],[MW for biomass normalization (g/mol)]],"MET-"&amp;mets24[[#This Row],[name]]&amp;" --&gt; "&amp;IF((mets24[[#This Row],[category]]="DNA")+(mets24[[#This Row],[category]]="RNA"),"MET-ppi_c + ","")&amp;ROUND(ABS(_xlpm.mw/1000),6)&amp;" BIO-"&amp;mets24[[#This Row],[name]]))</f>
        <v>MET-coa_c --&gt; 0.763502 BIO-coa_c</v>
      </c>
      <c r="M19" s="149" cm="1">
        <f t="array" ref="M1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19" s="149"/>
      <c r="O19" s="149"/>
      <c r="P19" s="149"/>
      <c r="Q19" s="149"/>
      <c r="R19" s="149"/>
      <c r="S19" s="149"/>
      <c r="T19" s="149"/>
      <c r="U19" s="149"/>
      <c r="V19" s="149"/>
      <c r="AB19" t="str">
        <v>BIOSYN-LIPID</v>
      </c>
      <c r="AC19" t="str">
        <v>0.000237 BIO-docosa_c + 0.703037 BIO-epist_c + 0.00215 BIO-hdca_c + 0.045964 BIO-ipc_g + 0.002971 BIO-linoea_c + 0.001167 BIO-linolen_c + 0.002027 BIO-ocdca_c + 0.00615 BIO-ocdcea_c + 0.012655 BIO-pail_c + 0.021661 BIO-pc_c + 0.004953 BIO-pe_c + 0.002805 BIO-ps_c + 0.193202 BIO-tag_c + 0.001024 BIO-ttcosa_c --&gt; BIO-lipid</v>
      </c>
    </row>
    <row r="20" spans="1:29" ht="16" x14ac:dyDescent="0.2">
      <c r="A20" s="144" t="s">
        <v>1219</v>
      </c>
      <c r="B20" t="str">
        <f>SUBSTITUTE(_xlfn.TEXTBEFORE(mets24[[#This Row],[pasted JSON metabolite keys and values from GSM biomass rxn]],":"),CHAR(34),"")</f>
        <v>ctp_c</v>
      </c>
      <c r="C20" t="str">
        <f>_xlfn.TEXTBEFORE(mets24[[#This Row],[name]],"_",-1)</f>
        <v>ctp</v>
      </c>
      <c r="D20" t="str">
        <f>_xlfn.XLOOKUP(mets24[[#This Row],[name w/o location]],metaboliteInfo[name w/o location],metaboliteInfo[suggested category],"")</f>
        <v>RNA</v>
      </c>
      <c r="E20" s="21">
        <f>_xlfn.XLOOKUP(mets24[[#This Row],[name w/o location]],metaboliteInfo[name w/o location],metaboliteInfo[MW for biomass normalization (g/mol)],0)</f>
        <v>304.17330100000004</v>
      </c>
      <c r="F20" s="21">
        <f>_xlfn.NUMBERVALUE(SUBSTITUTE(_xlfn.TEXTAFTER(mets24[[#This Row],[pasted JSON metabolite keys and values from GSM biomass rxn]],":"),",",""))</f>
        <v>-2.5956E-2</v>
      </c>
      <c r="G20" s="21" cm="1">
        <f t="array" ref="G20">_xlfn.LET(_xlpm.id,mets24[[#This Row],[name w/o location]],IF(IsElementOfSet_DIY(_xlpm.id,{"atp","adp","h","pi","h2o"}),SIGN(mets24[[#This Row],[raw (GSM) coefficient]])*(ABS(mets24[[#This Row],[raw (GSM) coefficient]])-$J$2),mets24[[#This Row],[raw (GSM) coefficient]]))</f>
        <v>-2.5956E-2</v>
      </c>
      <c r="H20" s="21">
        <f>mets24[[#This Row],[coeff. w/o GAM]]</f>
        <v>-2.5956E-2</v>
      </c>
      <c r="I20" s="161">
        <f t="shared" si="0"/>
        <v>-2.5956009786158203E-2</v>
      </c>
      <c r="J20" s="21" cm="1">
        <f t="array" ref="J20">_xlfn.LET(_xlpm.id,mets24[[#This Row],[name w/o location]],_xlpm.oldcoeff,mets24[[#This Row],[normalized coeffs]],_xlpm.gam,$J$2-$G$2,_xlfn.IFS(IFERROR(MATCH(_xlpm.id,{"atp","h2o"},0),0)&gt;0,_xlpm.oldcoeff-_xlpm.gam,IFERROR(MATCH(_xlpm.id,{"adp","h","pi"},0),0)&gt;0,_xlpm.oldcoeff+_xlpm.gam,TRUE,_xlpm.oldcoeff))</f>
        <v>-2.5956009786158203E-2</v>
      </c>
      <c r="K20" t="str" cm="1">
        <f t="array" ref="K20">"BIOSYN-"&amp;_xlfn.IFS(IFERROR(MATCH(mets24[[#This Row],[category]],{0,"0",""},0),0)&gt;0,mets24[[#This Row],[name]],TRUE,mets24[[#This Row],[category]]&amp;"-"&amp;mets24[[#This Row],[name]])</f>
        <v>BIOSYN-RNA-ctp_c</v>
      </c>
      <c r="L20" s="149" t="str" cm="1">
        <f t="array" ref="L20">IF(IsElementOfSet_DIY(mets24[[#This Row],[category]],{"ignore","PROT"}),"",_xlfn.LET(_xlpm.mw,mets24[[#This Row],[MW for biomass normalization (g/mol)]],"MET-"&amp;mets24[[#This Row],[name]]&amp;" --&gt; "&amp;IF((mets24[[#This Row],[category]]="DNA")+(mets24[[#This Row],[category]]="RNA"),"MET-ppi_c + ","")&amp;ROUND(ABS(_xlpm.mw/1000),6)&amp;" BIO-"&amp;mets24[[#This Row],[name]]))</f>
        <v>MET-ctp_c --&gt; MET-ppi_c + 0.304173 BIO-ctp_c</v>
      </c>
      <c r="M20" s="149" cm="1">
        <f t="array" ref="M2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-2.5955757200736281E-2</v>
      </c>
      <c r="N20" s="149"/>
      <c r="O20" s="149"/>
      <c r="P20" s="149"/>
      <c r="Q20" s="149"/>
      <c r="R20" s="149"/>
      <c r="S20" s="149"/>
      <c r="T20" s="149"/>
      <c r="U20" s="149"/>
      <c r="V20" s="149"/>
      <c r="AB20" t="str">
        <v>BIOSYN-METAL</v>
      </c>
      <c r="AC20" t="str">
        <v>0.002033 BIO-ca2_c + 0.000286 BIO-cu2_c + 0.001464 BIO-fe2_c + 0.930969 BIO-k_c + 0.06098 BIO-mg2_c + 0.000204 BIO-mn2_c + 0.004064 BIO-zn2_c --&gt; BIO-metal</v>
      </c>
    </row>
    <row r="21" spans="1:29" ht="16" x14ac:dyDescent="0.2">
      <c r="A21" s="144" t="s">
        <v>1220</v>
      </c>
      <c r="B21" t="str">
        <f>SUBSTITUTE(_xlfn.TEXTBEFORE(mets24[[#This Row],[pasted JSON metabolite keys and values from GSM biomass rxn]],":"),CHAR(34),"")</f>
        <v>cu2_c</v>
      </c>
      <c r="C21" t="str">
        <f>_xlfn.TEXTBEFORE(mets24[[#This Row],[name]],"_",-1)</f>
        <v>cu2</v>
      </c>
      <c r="D21" t="str">
        <f>_xlfn.XLOOKUP(mets24[[#This Row],[name w/o location]],metaboliteInfo[name w/o location],metaboliteInfo[suggested category],"")</f>
        <v>METAL</v>
      </c>
      <c r="E21" s="21">
        <f>_xlfn.XLOOKUP(mets24[[#This Row],[name w/o location]],metaboliteInfo[name w/o location],metaboliteInfo[MW for biomass normalization (g/mol)],0)</f>
        <v>63.545999999999999</v>
      </c>
      <c r="F21" s="21">
        <f>_xlfn.NUMBERVALUE(SUBSTITUTE(_xlfn.TEXTAFTER(mets24[[#This Row],[pasted JSON metabolite keys and values from GSM biomass rxn]],":"),",",""))</f>
        <v>-1.15E-4</v>
      </c>
      <c r="G21" s="21" cm="1">
        <f t="array" ref="G21">_xlfn.LET(_xlpm.id,mets24[[#This Row],[name w/o location]],IF(IsElementOfSet_DIY(_xlpm.id,{"atp","adp","h","pi","h2o"}),SIGN(mets24[[#This Row],[raw (GSM) coefficient]])*(ABS(mets24[[#This Row],[raw (GSM) coefficient]])-$J$2),mets24[[#This Row],[raw (GSM) coefficient]]))</f>
        <v>-1.15E-4</v>
      </c>
      <c r="H21" s="21">
        <f>mets24[[#This Row],[coeff. w/o GAM]]</f>
        <v>-1.15E-4</v>
      </c>
      <c r="I21" s="161">
        <f t="shared" si="0"/>
        <v>-1.1500004335830611E-4</v>
      </c>
      <c r="J21" s="21" cm="1">
        <f t="array" ref="J21">_xlfn.LET(_xlpm.id,mets24[[#This Row],[name w/o location]],_xlpm.oldcoeff,mets24[[#This Row],[normalized coeffs]],_xlpm.gam,$J$2-$G$2,_xlfn.IFS(IFERROR(MATCH(_xlpm.id,{"atp","h2o"},0),0)&gt;0,_xlpm.oldcoeff-_xlpm.gam,IFERROR(MATCH(_xlpm.id,{"adp","h","pi"},0),0)&gt;0,_xlpm.oldcoeff+_xlpm.gam,TRUE,_xlpm.oldcoeff))</f>
        <v>-1.1500004335830611E-4</v>
      </c>
      <c r="K21" t="str" cm="1">
        <f t="array" ref="K21">"BIOSYN-"&amp;_xlfn.IFS(IFERROR(MATCH(mets24[[#This Row],[category]],{0,"0",""},0),0)&gt;0,mets24[[#This Row],[name]],TRUE,mets24[[#This Row],[category]]&amp;"-"&amp;mets24[[#This Row],[name]])</f>
        <v>BIOSYN-METAL-cu2_c</v>
      </c>
      <c r="L21" s="149" t="str" cm="1">
        <f t="array" ref="L21">IF(IsElementOfSet_DIY(mets24[[#This Row],[category]],{"ignore","PROT"}),"",_xlfn.LET(_xlpm.mw,mets24[[#This Row],[MW for biomass normalization (g/mol)]],"MET-"&amp;mets24[[#This Row],[name]]&amp;" --&gt; "&amp;IF((mets24[[#This Row],[category]]="DNA")+(mets24[[#This Row],[category]]="RNA"),"MET-ppi_c + ","")&amp;ROUND(ABS(_xlpm.mw/1000),6)&amp;" BIO-"&amp;mets24[[#This Row],[name]]))</f>
        <v>MET-cu2_c --&gt; 0.063546 BIO-cu2_c</v>
      </c>
      <c r="M21" s="149" cm="1">
        <f t="array" ref="M2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-1.1500004335830611E-4</v>
      </c>
      <c r="N21" s="149"/>
      <c r="O21" s="149"/>
      <c r="P21" s="149"/>
      <c r="Q21" s="149"/>
      <c r="R21" s="149"/>
      <c r="S21" s="149"/>
      <c r="T21" s="149"/>
      <c r="U21" s="149"/>
      <c r="V21" s="149"/>
      <c r="AB21" t="str">
        <v>BIOSYN-PI</v>
      </c>
      <c r="AC21" t="str">
        <v>1 BIO-pi_c --&gt; BIO-pi</v>
      </c>
    </row>
    <row r="22" spans="1:29" ht="16" x14ac:dyDescent="0.2">
      <c r="A22" s="144" t="s">
        <v>1221</v>
      </c>
      <c r="B22" t="str">
        <f>SUBSTITUTE(_xlfn.TEXTBEFORE(mets24[[#This Row],[pasted JSON metabolite keys and values from GSM biomass rxn]],":"),CHAR(34),"")</f>
        <v>cystrna_c</v>
      </c>
      <c r="C22" t="str">
        <f>_xlfn.TEXTBEFORE(mets24[[#This Row],[name]],"_",-1)</f>
        <v>cystrna</v>
      </c>
      <c r="D22" t="str">
        <f>_xlfn.XLOOKUP(mets24[[#This Row],[name w/o location]],metaboliteInfo[name w/o location],metaboliteInfo[suggested category],"")</f>
        <v>PROT</v>
      </c>
      <c r="E22" s="21">
        <f>_xlfn.XLOOKUP(mets24[[#This Row],[name w/o location]],metaboliteInfo[name w/o location],metaboliteInfo[MW for biomass normalization (g/mol)],0)</f>
        <v>104.15084</v>
      </c>
      <c r="F22" s="21">
        <f>_xlfn.NUMBERVALUE(SUBSTITUTE(_xlfn.TEXTAFTER(mets24[[#This Row],[pasted JSON metabolite keys and values from GSM biomass rxn]],":"),",",""))</f>
        <v>-1.7409999999999999E-3</v>
      </c>
      <c r="G22" s="21" cm="1">
        <f t="array" ref="G22">_xlfn.LET(_xlpm.id,mets24[[#This Row],[name w/o location]],IF(IsElementOfSet_DIY(_xlpm.id,{"atp","adp","h","pi","h2o"}),SIGN(mets24[[#This Row],[raw (GSM) coefficient]])*(ABS(mets24[[#This Row],[raw (GSM) coefficient]])-$J$2),mets24[[#This Row],[raw (GSM) coefficient]]))</f>
        <v>-1.7409999999999999E-3</v>
      </c>
      <c r="H22" s="21">
        <f>mets24[[#This Row],[coeff. w/o GAM]]</f>
        <v>-1.7409999999999999E-3</v>
      </c>
      <c r="I22" s="161">
        <f t="shared" si="0"/>
        <v>-1.7410006564070517E-3</v>
      </c>
      <c r="J22" s="21" cm="1">
        <f t="array" ref="J22">_xlfn.LET(_xlpm.id,mets24[[#This Row],[name w/o location]],_xlpm.oldcoeff,mets24[[#This Row],[normalized coeffs]],_xlpm.gam,$J$2-$G$2,_xlfn.IFS(IFERROR(MATCH(_xlpm.id,{"atp","h2o"},0),0)&gt;0,_xlpm.oldcoeff-_xlpm.gam,IFERROR(MATCH(_xlpm.id,{"adp","h","pi"},0),0)&gt;0,_xlpm.oldcoeff+_xlpm.gam,TRUE,_xlpm.oldcoeff))</f>
        <v>-1.7410006564070517E-3</v>
      </c>
      <c r="K22" t="str" cm="1">
        <f t="array" ref="K22">"BIOSYN-"&amp;_xlfn.IFS(IFERROR(MATCH(mets24[[#This Row],[category]],{0,"0",""},0),0)&gt;0,mets24[[#This Row],[name]],TRUE,mets24[[#This Row],[category]]&amp;"-"&amp;mets24[[#This Row],[name]])</f>
        <v>BIOSYN-PROT-cystrna_c</v>
      </c>
      <c r="L22" s="149" t="str" cm="1">
        <f t="array" ref="L22">IF(IsElementOfSet_DIY(mets24[[#This Row],[category]],{"ignore","PROT"}),"",_xlfn.LET(_xlpm.mw,mets24[[#This Row],[MW for biomass normalization (g/mol)]],"MET-"&amp;mets24[[#This Row],[name]]&amp;" --&gt; "&amp;IF((mets24[[#This Row],[category]]="DNA")+(mets24[[#This Row],[category]]="RNA"),"MET-ppi_c + ","")&amp;ROUND(ABS(_xlpm.mw/1000),6)&amp;" BIO-"&amp;mets24[[#This Row],[name]]))</f>
        <v/>
      </c>
      <c r="M22" s="149" cm="1">
        <f t="array" ref="M2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-1.7410026488406402E-3</v>
      </c>
      <c r="N22" s="149"/>
      <c r="O22" s="149"/>
      <c r="P22" s="149"/>
      <c r="Q22" s="149"/>
      <c r="R22" s="149"/>
      <c r="S22" s="149"/>
      <c r="T22" s="149"/>
      <c r="U22" s="149"/>
      <c r="V22" s="149"/>
      <c r="AB22" t="str">
        <v>BIOSYN-RNA</v>
      </c>
      <c r="AC22" t="str">
        <v>0.15 BIO-trna + 0.05 BIO-mrna + 0.80 BIO-rrna --&gt; BIO-rna</v>
      </c>
    </row>
    <row r="23" spans="1:29" ht="16" x14ac:dyDescent="0.2">
      <c r="A23" s="144" t="s">
        <v>1222</v>
      </c>
      <c r="B23" t="str">
        <f>SUBSTITUTE(_xlfn.TEXTBEFORE(mets24[[#This Row],[pasted JSON metabolite keys and values from GSM biomass rxn]],":"),CHAR(34),"")</f>
        <v>datp_c</v>
      </c>
      <c r="C23" t="str">
        <f>_xlfn.TEXTBEFORE(mets24[[#This Row],[name]],"_",-1)</f>
        <v>datp</v>
      </c>
      <c r="D23" t="str">
        <f>_xlfn.XLOOKUP(mets24[[#This Row],[name w/o location]],metaboliteInfo[name w/o location],metaboliteInfo[suggested category],"")</f>
        <v>DNA</v>
      </c>
      <c r="E23" s="21">
        <f>_xlfn.XLOOKUP(mets24[[#This Row],[name w/o location]],metaboliteInfo[name w/o location],metaboliteInfo[MW for biomass normalization (g/mol)],0)</f>
        <v>312.19860099999994</v>
      </c>
      <c r="F23" s="21">
        <f>_xlfn.NUMBERVALUE(SUBSTITUTE(_xlfn.TEXTAFTER(mets24[[#This Row],[pasted JSON metabolite keys and values from GSM biomass rxn]],":"),",",""))</f>
        <v>-1.5209E-2</v>
      </c>
      <c r="G23" s="21" cm="1">
        <f t="array" ref="G23">_xlfn.LET(_xlpm.id,mets24[[#This Row],[name w/o location]],IF(IsElementOfSet_DIY(_xlpm.id,{"atp","adp","h","pi","h2o"}),SIGN(mets24[[#This Row],[raw (GSM) coefficient]])*(ABS(mets24[[#This Row],[raw (GSM) coefficient]])-$J$2),mets24[[#This Row],[raw (GSM) coefficient]]))</f>
        <v>-1.5209E-2</v>
      </c>
      <c r="H23" s="21">
        <f>mets24[[#This Row],[coeff. w/o GAM]]</f>
        <v>-1.5209E-2</v>
      </c>
      <c r="I23" s="161">
        <f t="shared" si="0"/>
        <v>-1.520900573423024E-2</v>
      </c>
      <c r="J23" s="21" cm="1">
        <f t="array" ref="J23">_xlfn.LET(_xlpm.id,mets24[[#This Row],[name w/o location]],_xlpm.oldcoeff,mets24[[#This Row],[normalized coeffs]],_xlpm.gam,$J$2-$G$2,_xlfn.IFS(IFERROR(MATCH(_xlpm.id,{"atp","h2o"},0),0)&gt;0,_xlpm.oldcoeff-_xlpm.gam,IFERROR(MATCH(_xlpm.id,{"adp","h","pi"},0),0)&gt;0,_xlpm.oldcoeff+_xlpm.gam,TRUE,_xlpm.oldcoeff))</f>
        <v>-1.520900573423024E-2</v>
      </c>
      <c r="K23" t="str" cm="1">
        <f t="array" ref="K23">"BIOSYN-"&amp;_xlfn.IFS(IFERROR(MATCH(mets24[[#This Row],[category]],{0,"0",""},0),0)&gt;0,mets24[[#This Row],[name]],TRUE,mets24[[#This Row],[category]]&amp;"-"&amp;mets24[[#This Row],[name]])</f>
        <v>BIOSYN-DNA-datp_c</v>
      </c>
      <c r="L23" s="149" t="str" cm="1">
        <f t="array" ref="L23">IF(IsElementOfSet_DIY(mets24[[#This Row],[category]],{"ignore","PROT"}),"",_xlfn.LET(_xlpm.mw,mets24[[#This Row],[MW for biomass normalization (g/mol)]],"MET-"&amp;mets24[[#This Row],[name]]&amp;" --&gt; "&amp;IF((mets24[[#This Row],[category]]="DNA")+(mets24[[#This Row],[category]]="RNA"),"MET-ppi_c + ","")&amp;ROUND(ABS(_xlpm.mw/1000),6)&amp;" BIO-"&amp;mets24[[#This Row],[name]]))</f>
        <v>MET-datp_c --&gt; MET-ppi_c + 0.312199 BIO-datp_c</v>
      </c>
      <c r="M23" s="149" cm="1">
        <f t="array" ref="M2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-1.5209050184557874E-2</v>
      </c>
      <c r="N23" s="149"/>
      <c r="O23" s="149"/>
      <c r="P23" s="149"/>
      <c r="Q23" s="149"/>
      <c r="R23" s="149"/>
      <c r="S23" s="149"/>
      <c r="T23" s="149"/>
      <c r="U23" s="149"/>
      <c r="V23" s="149"/>
      <c r="AB23" t="str">
        <v>BIOSYN-SO4</v>
      </c>
      <c r="AC23" t="str">
        <v>1 BIO-so4_c --&gt; BIO-so4</v>
      </c>
    </row>
    <row r="24" spans="1:29" ht="16" x14ac:dyDescent="0.2">
      <c r="A24" s="144" t="s">
        <v>1223</v>
      </c>
      <c r="B24" t="str">
        <f>SUBSTITUTE(_xlfn.TEXTBEFORE(mets24[[#This Row],[pasted JSON metabolite keys and values from GSM biomass rxn]],":"),CHAR(34),"")</f>
        <v>dctp_c</v>
      </c>
      <c r="C24" t="str">
        <f>_xlfn.TEXTBEFORE(mets24[[#This Row],[name]],"_",-1)</f>
        <v>dctp</v>
      </c>
      <c r="D24" t="str">
        <f>_xlfn.XLOOKUP(mets24[[#This Row],[name w/o location]],metaboliteInfo[name w/o location],metaboliteInfo[suggested category],"")</f>
        <v>DNA</v>
      </c>
      <c r="E24" s="21">
        <f>_xlfn.XLOOKUP(mets24[[#This Row],[name w/o location]],metaboliteInfo[name w/o location],metaboliteInfo[MW for biomass normalization (g/mol)],0)</f>
        <v>288.173901</v>
      </c>
      <c r="F24" s="21">
        <f>_xlfn.NUMBERVALUE(SUBSTITUTE(_xlfn.TEXTAFTER(mets24[[#This Row],[pasted JSON metabolite keys and values from GSM biomass rxn]],":"),",",""))</f>
        <v>-2.3737999999999999E-2</v>
      </c>
      <c r="G24" s="21" cm="1">
        <f t="array" ref="G24">_xlfn.LET(_xlpm.id,mets24[[#This Row],[name w/o location]],IF(IsElementOfSet_DIY(_xlpm.id,{"atp","adp","h","pi","h2o"}),SIGN(mets24[[#This Row],[raw (GSM) coefficient]])*(ABS(mets24[[#This Row],[raw (GSM) coefficient]])-$J$2),mets24[[#This Row],[raw (GSM) coefficient]]))</f>
        <v>-2.3737999999999999E-2</v>
      </c>
      <c r="H24" s="21">
        <f>mets24[[#This Row],[coeff. w/o GAM]]</f>
        <v>-2.3737999999999999E-2</v>
      </c>
      <c r="I24" s="161">
        <f t="shared" si="0"/>
        <v>-2.3738008949908438E-2</v>
      </c>
      <c r="J24" s="21" cm="1">
        <f t="array" ref="J24">_xlfn.LET(_xlpm.id,mets24[[#This Row],[name w/o location]],_xlpm.oldcoeff,mets24[[#This Row],[normalized coeffs]],_xlpm.gam,$J$2-$G$2,_xlfn.IFS(IFERROR(MATCH(_xlpm.id,{"atp","h2o"},0),0)&gt;0,_xlpm.oldcoeff-_xlpm.gam,IFERROR(MATCH(_xlpm.id,{"adp","h","pi"},0),0)&gt;0,_xlpm.oldcoeff+_xlpm.gam,TRUE,_xlpm.oldcoeff))</f>
        <v>-2.3738008949908438E-2</v>
      </c>
      <c r="K24" t="str" cm="1">
        <f t="array" ref="K24">"BIOSYN-"&amp;_xlfn.IFS(IFERROR(MATCH(mets24[[#This Row],[category]],{0,"0",""},0),0)&gt;0,mets24[[#This Row],[name]],TRUE,mets24[[#This Row],[category]]&amp;"-"&amp;mets24[[#This Row],[name]])</f>
        <v>BIOSYN-DNA-dctp_c</v>
      </c>
      <c r="L24" s="149" t="str" cm="1">
        <f t="array" ref="L24">IF(IsElementOfSet_DIY(mets24[[#This Row],[category]],{"ignore","PROT"}),"",_xlfn.LET(_xlpm.mw,mets24[[#This Row],[MW for biomass normalization (g/mol)]],"MET-"&amp;mets24[[#This Row],[name]]&amp;" --&gt; "&amp;IF((mets24[[#This Row],[category]]="DNA")+(mets24[[#This Row],[category]]="RNA"),"MET-ppi_c + ","")&amp;ROUND(ABS(_xlpm.mw/1000),6)&amp;" BIO-"&amp;mets24[[#This Row],[name]]))</f>
        <v>MET-dctp_c --&gt; MET-ppi_c + 0.288174 BIO-dctp_c</v>
      </c>
      <c r="M24" s="149" cm="1">
        <f t="array" ref="M2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-2.3738078327374238E-2</v>
      </c>
      <c r="N24" s="149"/>
      <c r="O24" s="149"/>
      <c r="P24" s="149"/>
      <c r="Q24" s="149"/>
      <c r="R24" s="149"/>
      <c r="S24" s="149"/>
      <c r="T24" s="149"/>
      <c r="U24" s="149"/>
      <c r="V24" s="149"/>
      <c r="AB24" t="str">
        <v>BIOSYN-CARB-13BDglucan_c</v>
      </c>
      <c r="AC24" t="str">
        <v>MET-13BDglucan_c --&gt; 0.162141 BIO-13BDglucan_c</v>
      </c>
    </row>
    <row r="25" spans="1:29" ht="16" x14ac:dyDescent="0.2">
      <c r="A25" s="144" t="s">
        <v>1224</v>
      </c>
      <c r="B25" t="str">
        <f>SUBSTITUTE(_xlfn.TEXTBEFORE(mets24[[#This Row],[pasted JSON metabolite keys and values from GSM biomass rxn]],":"),CHAR(34),"")</f>
        <v>dgtp_c</v>
      </c>
      <c r="C25" t="str">
        <f>_xlfn.TEXTBEFORE(mets24[[#This Row],[name]],"_",-1)</f>
        <v>dgtp</v>
      </c>
      <c r="D25" t="str">
        <f>_xlfn.XLOOKUP(mets24[[#This Row],[name w/o location]],metaboliteInfo[name w/o location],metaboliteInfo[suggested category],"")</f>
        <v>DNA</v>
      </c>
      <c r="E25" s="21">
        <f>_xlfn.XLOOKUP(mets24[[#This Row],[name w/o location]],metaboliteInfo[name w/o location],metaboliteInfo[MW for biomass normalization (g/mol)],0)</f>
        <v>328.19800099999998</v>
      </c>
      <c r="F25" s="21">
        <f>_xlfn.NUMBERVALUE(SUBSTITUTE(_xlfn.TEXTAFTER(mets24[[#This Row],[pasted JSON metabolite keys and values from GSM biomass rxn]],":"),",",""))</f>
        <v>-2.3737999999999999E-2</v>
      </c>
      <c r="G25" s="21" cm="1">
        <f t="array" ref="G25">_xlfn.LET(_xlpm.id,mets24[[#This Row],[name w/o location]],IF(IsElementOfSet_DIY(_xlpm.id,{"atp","adp","h","pi","h2o"}),SIGN(mets24[[#This Row],[raw (GSM) coefficient]])*(ABS(mets24[[#This Row],[raw (GSM) coefficient]])-$J$2),mets24[[#This Row],[raw (GSM) coefficient]]))</f>
        <v>-2.3737999999999999E-2</v>
      </c>
      <c r="H25" s="21">
        <f>mets24[[#This Row],[coeff. w/o GAM]]</f>
        <v>-2.3737999999999999E-2</v>
      </c>
      <c r="I25" s="161">
        <f t="shared" si="0"/>
        <v>-2.3738008949908438E-2</v>
      </c>
      <c r="J25" s="21" cm="1">
        <f t="array" ref="J25">_xlfn.LET(_xlpm.id,mets24[[#This Row],[name w/o location]],_xlpm.oldcoeff,mets24[[#This Row],[normalized coeffs]],_xlpm.gam,$J$2-$G$2,_xlfn.IFS(IFERROR(MATCH(_xlpm.id,{"atp","h2o"},0),0)&gt;0,_xlpm.oldcoeff-_xlpm.gam,IFERROR(MATCH(_xlpm.id,{"adp","h","pi"},0),0)&gt;0,_xlpm.oldcoeff+_xlpm.gam,TRUE,_xlpm.oldcoeff))</f>
        <v>-2.3738008949908438E-2</v>
      </c>
      <c r="K25" t="str" cm="1">
        <f t="array" ref="K25">"BIOSYN-"&amp;_xlfn.IFS(IFERROR(MATCH(mets24[[#This Row],[category]],{0,"0",""},0),0)&gt;0,mets24[[#This Row],[name]],TRUE,mets24[[#This Row],[category]]&amp;"-"&amp;mets24[[#This Row],[name]])</f>
        <v>BIOSYN-DNA-dgtp_c</v>
      </c>
      <c r="L25" s="149" t="str" cm="1">
        <f t="array" ref="L25">IF(IsElementOfSet_DIY(mets24[[#This Row],[category]],{"ignore","PROT"}),"",_xlfn.LET(_xlpm.mw,mets24[[#This Row],[MW for biomass normalization (g/mol)]],"MET-"&amp;mets24[[#This Row],[name]]&amp;" --&gt; "&amp;IF((mets24[[#This Row],[category]]="DNA")+(mets24[[#This Row],[category]]="RNA"),"MET-ppi_c + ","")&amp;ROUND(ABS(_xlpm.mw/1000),6)&amp;" BIO-"&amp;mets24[[#This Row],[name]]))</f>
        <v>MET-dgtp_c --&gt; MET-ppi_c + 0.328198 BIO-dgtp_c</v>
      </c>
      <c r="M25" s="149" cm="1">
        <f t="array" ref="M2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-2.3738078327374238E-2</v>
      </c>
      <c r="N25" s="149"/>
      <c r="O25" s="149"/>
      <c r="P25" s="149"/>
      <c r="Q25" s="149"/>
      <c r="R25" s="149"/>
      <c r="S25" s="149"/>
      <c r="T25" s="149"/>
      <c r="U25" s="149"/>
      <c r="V25" s="149"/>
      <c r="AB25" t="str">
        <v>BIOSYN-CARB-16BDglucan_en</v>
      </c>
      <c r="AC25" t="str">
        <v>MET-16BDglucan_en --&gt; 0.162141 BIO-16BDglucan_en</v>
      </c>
    </row>
    <row r="26" spans="1:29" ht="16" x14ac:dyDescent="0.2">
      <c r="A26" s="144" t="s">
        <v>1225</v>
      </c>
      <c r="B26" t="str">
        <f>SUBSTITUTE(_xlfn.TEXTBEFORE(mets24[[#This Row],[pasted JSON metabolite keys and values from GSM biomass rxn]],":"),CHAR(34),"")</f>
        <v>docosa_c</v>
      </c>
      <c r="C26" t="str">
        <f>_xlfn.TEXTBEFORE(mets24[[#This Row],[name]],"_",-1)</f>
        <v>docosa</v>
      </c>
      <c r="D26" t="str">
        <f>_xlfn.XLOOKUP(mets24[[#This Row],[name w/o location]],metaboliteInfo[name w/o location],metaboliteInfo[suggested category],"")</f>
        <v>LIPID</v>
      </c>
      <c r="E26" s="21">
        <f>_xlfn.XLOOKUP(mets24[[#This Row],[name w/o location]],metaboliteInfo[name w/o location],metaboliteInfo[MW for biomass normalization (g/mol)],0)</f>
        <v>339.57481999999999</v>
      </c>
      <c r="F26" s="21">
        <f>_xlfn.NUMBERVALUE(SUBSTITUTE(_xlfn.TEXTAFTER(mets24[[#This Row],[pasted JSON metabolite keys and values from GSM biomass rxn]],":"),",",""))</f>
        <v>-2.02E-4</v>
      </c>
      <c r="G26" s="21" cm="1">
        <f t="array" ref="G26">_xlfn.LET(_xlpm.id,mets24[[#This Row],[name w/o location]],IF(IsElementOfSet_DIY(_xlpm.id,{"atp","adp","h","pi","h2o"}),SIGN(mets24[[#This Row],[raw (GSM) coefficient]])*(ABS(mets24[[#This Row],[raw (GSM) coefficient]])-$J$2),mets24[[#This Row],[raw (GSM) coefficient]]))</f>
        <v>-2.02E-4</v>
      </c>
      <c r="H26" s="21">
        <f>mets24[[#This Row],[coeff. w/o GAM]]</f>
        <v>-2.02E-4</v>
      </c>
      <c r="I26" s="161">
        <f t="shared" si="0"/>
        <v>-2.0200007615980728E-4</v>
      </c>
      <c r="J26" s="21" cm="1">
        <f t="array" ref="J26">_xlfn.LET(_xlpm.id,mets24[[#This Row],[name w/o location]],_xlpm.oldcoeff,mets24[[#This Row],[normalized coeffs]],_xlpm.gam,$J$2-$G$2,_xlfn.IFS(IFERROR(MATCH(_xlpm.id,{"atp","h2o"},0),0)&gt;0,_xlpm.oldcoeff-_xlpm.gam,IFERROR(MATCH(_xlpm.id,{"adp","h","pi"},0),0)&gt;0,_xlpm.oldcoeff+_xlpm.gam,TRUE,_xlpm.oldcoeff))</f>
        <v>-2.0200007615980728E-4</v>
      </c>
      <c r="K26" t="str" cm="1">
        <f t="array" ref="K26">"BIOSYN-"&amp;_xlfn.IFS(IFERROR(MATCH(mets24[[#This Row],[category]],{0,"0",""},0),0)&gt;0,mets24[[#This Row],[name]],TRUE,mets24[[#This Row],[category]]&amp;"-"&amp;mets24[[#This Row],[name]])</f>
        <v>BIOSYN-LIPID-docosa_c</v>
      </c>
      <c r="L26" s="149" t="str" cm="1">
        <f t="array" ref="L26">IF(IsElementOfSet_DIY(mets24[[#This Row],[category]],{"ignore","PROT"}),"",_xlfn.LET(_xlpm.mw,mets24[[#This Row],[MW for biomass normalization (g/mol)]],"MET-"&amp;mets24[[#This Row],[name]]&amp;" --&gt; "&amp;IF((mets24[[#This Row],[category]]="DNA")+(mets24[[#This Row],[category]]="RNA"),"MET-ppi_c + ","")&amp;ROUND(ABS(_xlpm.mw/1000),6)&amp;" BIO-"&amp;mets24[[#This Row],[name]]))</f>
        <v>MET-docosa_c --&gt; 0.339575 BIO-docosa_c</v>
      </c>
      <c r="M26" s="149" cm="1">
        <f t="array" ref="M2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-2.0199971733926236E-4</v>
      </c>
      <c r="N26" s="149"/>
      <c r="O26" s="149"/>
      <c r="P26" s="149"/>
      <c r="Q26" s="149"/>
      <c r="R26" s="149"/>
      <c r="S26" s="149"/>
      <c r="T26" s="149"/>
      <c r="U26" s="149"/>
      <c r="V26" s="149"/>
      <c r="AB26" t="str">
        <v>BIOSYN-CARB-chtn_c</v>
      </c>
      <c r="AC26" t="str">
        <v>MET-chtn_c --&gt; 0.203193 BIO-chtn_c</v>
      </c>
    </row>
    <row r="27" spans="1:29" ht="16" x14ac:dyDescent="0.2">
      <c r="A27" s="144" t="s">
        <v>1226</v>
      </c>
      <c r="B27" t="str">
        <f>SUBSTITUTE(_xlfn.TEXTBEFORE(mets24[[#This Row],[pasted JSON metabolite keys and values from GSM biomass rxn]],":"),CHAR(34),"")</f>
        <v>dttp_c</v>
      </c>
      <c r="C27" t="str">
        <f>_xlfn.TEXTBEFORE(mets24[[#This Row],[name]],"_",-1)</f>
        <v>dttp</v>
      </c>
      <c r="D27" t="str">
        <f>_xlfn.XLOOKUP(mets24[[#This Row],[name w/o location]],metaboliteInfo[name w/o location],metaboliteInfo[suggested category],"")</f>
        <v>DNA</v>
      </c>
      <c r="E27" s="21">
        <f>_xlfn.XLOOKUP(mets24[[#This Row],[name w/o location]],metaboliteInfo[name w/o location],metaboliteInfo[MW for biomass normalization (g/mol)],0)</f>
        <v>303.18524100000002</v>
      </c>
      <c r="F27" s="21">
        <f>_xlfn.NUMBERVALUE(SUBSTITUTE(_xlfn.TEXTAFTER(mets24[[#This Row],[pasted JSON metabolite keys and values from GSM biomass rxn]],":"),",",""))</f>
        <v>-1.5209E-2</v>
      </c>
      <c r="G27" s="21" cm="1">
        <f t="array" ref="G27">_xlfn.LET(_xlpm.id,mets24[[#This Row],[name w/o location]],IF(IsElementOfSet_DIY(_xlpm.id,{"atp","adp","h","pi","h2o"}),SIGN(mets24[[#This Row],[raw (GSM) coefficient]])*(ABS(mets24[[#This Row],[raw (GSM) coefficient]])-$J$2),mets24[[#This Row],[raw (GSM) coefficient]]))</f>
        <v>-1.5209E-2</v>
      </c>
      <c r="H27" s="21">
        <f>mets24[[#This Row],[coeff. w/o GAM]]</f>
        <v>-1.5209E-2</v>
      </c>
      <c r="I27" s="161">
        <f t="shared" si="0"/>
        <v>-1.520900573423024E-2</v>
      </c>
      <c r="J27" s="21" cm="1">
        <f t="array" ref="J27">_xlfn.LET(_xlpm.id,mets24[[#This Row],[name w/o location]],_xlpm.oldcoeff,mets24[[#This Row],[normalized coeffs]],_xlpm.gam,$J$2-$G$2,_xlfn.IFS(IFERROR(MATCH(_xlpm.id,{"atp","h2o"},0),0)&gt;0,_xlpm.oldcoeff-_xlpm.gam,IFERROR(MATCH(_xlpm.id,{"adp","h","pi"},0),0)&gt;0,_xlpm.oldcoeff+_xlpm.gam,TRUE,_xlpm.oldcoeff))</f>
        <v>-1.520900573423024E-2</v>
      </c>
      <c r="K27" t="str" cm="1">
        <f t="array" ref="K27">"BIOSYN-"&amp;_xlfn.IFS(IFERROR(MATCH(mets24[[#This Row],[category]],{0,"0",""},0),0)&gt;0,mets24[[#This Row],[name]],TRUE,mets24[[#This Row],[category]]&amp;"-"&amp;mets24[[#This Row],[name]])</f>
        <v>BIOSYN-DNA-dttp_c</v>
      </c>
      <c r="L27" s="149" t="str" cm="1">
        <f t="array" ref="L27">IF(IsElementOfSet_DIY(mets24[[#This Row],[category]],{"ignore","PROT"}),"",_xlfn.LET(_xlpm.mw,mets24[[#This Row],[MW for biomass normalization (g/mol)]],"MET-"&amp;mets24[[#This Row],[name]]&amp;" --&gt; "&amp;IF((mets24[[#This Row],[category]]="DNA")+(mets24[[#This Row],[category]]="RNA"),"MET-ppi_c + ","")&amp;ROUND(ABS(_xlpm.mw/1000),6)&amp;" BIO-"&amp;mets24[[#This Row],[name]]))</f>
        <v>MET-dttp_c --&gt; MET-ppi_c + 0.303185 BIO-dttp_c</v>
      </c>
      <c r="M27" s="149" cm="1">
        <f t="array" ref="M2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-1.5209050184557874E-2</v>
      </c>
      <c r="N27" s="149"/>
      <c r="O27" s="149"/>
      <c r="P27" s="149"/>
      <c r="Q27" s="149"/>
      <c r="R27" s="149"/>
      <c r="S27" s="149"/>
      <c r="T27" s="149"/>
      <c r="U27" s="149"/>
      <c r="V27" s="149"/>
      <c r="AB27" t="str">
        <v>BIOSYN-CARB-G00006_c</v>
      </c>
      <c r="AC27" t="str">
        <v>MET-G00006_c --&gt; 2.619137 BIO-G00006_c</v>
      </c>
    </row>
    <row r="28" spans="1:29" ht="16" x14ac:dyDescent="0.2">
      <c r="A28" s="144" t="s">
        <v>1227</v>
      </c>
      <c r="B28" t="str">
        <f>SUBSTITUTE(_xlfn.TEXTBEFORE(mets24[[#This Row],[pasted JSON metabolite keys and values from GSM biomass rxn]],":"),CHAR(34),"")</f>
        <v>epist_c</v>
      </c>
      <c r="C28" t="str">
        <f>_xlfn.TEXTBEFORE(mets24[[#This Row],[name]],"_",-1)</f>
        <v>epist</v>
      </c>
      <c r="D28" t="str">
        <f>_xlfn.XLOOKUP(mets24[[#This Row],[name w/o location]],metaboliteInfo[name w/o location],metaboliteInfo[suggested category],"")</f>
        <v>LIPID</v>
      </c>
      <c r="E28" s="21">
        <f>_xlfn.XLOOKUP(mets24[[#This Row],[name w/o location]],metaboliteInfo[name w/o location],metaboliteInfo[MW for biomass normalization (g/mol)],0)</f>
        <v>398.66424000000001</v>
      </c>
      <c r="F28" s="21">
        <f>_xlfn.NUMBERVALUE(SUBSTITUTE(_xlfn.TEXTAFTER(mets24[[#This Row],[pasted JSON metabolite keys and values from GSM biomass rxn]],":"),",",""))</f>
        <v>-0.51107499999999995</v>
      </c>
      <c r="G28" s="21" cm="1">
        <f t="array" ref="G28">_xlfn.LET(_xlpm.id,mets24[[#This Row],[name w/o location]],IF(IsElementOfSet_DIY(_xlpm.id,{"atp","adp","h","pi","h2o"}),SIGN(mets24[[#This Row],[raw (GSM) coefficient]])*(ABS(mets24[[#This Row],[raw (GSM) coefficient]])-$J$2),mets24[[#This Row],[raw (GSM) coefficient]]))</f>
        <v>-0.51107499999999995</v>
      </c>
      <c r="H28" s="21">
        <f>mets24[[#This Row],[coeff. w/o GAM]]</f>
        <v>-0.51107499999999995</v>
      </c>
      <c r="I28" s="161">
        <f t="shared" si="0"/>
        <v>-0.51107519268996771</v>
      </c>
      <c r="J28" s="21" cm="1">
        <f t="array" ref="J28">_xlfn.LET(_xlpm.id,mets24[[#This Row],[name w/o location]],_xlpm.oldcoeff,mets24[[#This Row],[normalized coeffs]],_xlpm.gam,$J$2-$G$2,_xlfn.IFS(IFERROR(MATCH(_xlpm.id,{"atp","h2o"},0),0)&gt;0,_xlpm.oldcoeff-_xlpm.gam,IFERROR(MATCH(_xlpm.id,{"adp","h","pi"},0),0)&gt;0,_xlpm.oldcoeff+_xlpm.gam,TRUE,_xlpm.oldcoeff))</f>
        <v>-0.51107519268996771</v>
      </c>
      <c r="K28" t="str" cm="1">
        <f t="array" ref="K28">"BIOSYN-"&amp;_xlfn.IFS(IFERROR(MATCH(mets24[[#This Row],[category]],{0,"0",""},0),0)&gt;0,mets24[[#This Row],[name]],TRUE,mets24[[#This Row],[category]]&amp;"-"&amp;mets24[[#This Row],[name]])</f>
        <v>BIOSYN-LIPID-epist_c</v>
      </c>
      <c r="L28" s="149" t="str" cm="1">
        <f t="array" ref="L28">IF(IsElementOfSet_DIY(mets24[[#This Row],[category]],{"ignore","PROT"}),"",_xlfn.LET(_xlpm.mw,mets24[[#This Row],[MW for biomass normalization (g/mol)]],"MET-"&amp;mets24[[#This Row],[name]]&amp;" --&gt; "&amp;IF((mets24[[#This Row],[category]]="DNA")+(mets24[[#This Row],[category]]="RNA"),"MET-ppi_c + ","")&amp;ROUND(ABS(_xlpm.mw/1000),6)&amp;" BIO-"&amp;mets24[[#This Row],[name]]))</f>
        <v>MET-epist_c --&gt; 0.398664 BIO-epist_c</v>
      </c>
      <c r="M28" s="149" cm="1">
        <f t="array" ref="M2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-0.51107428484734396</v>
      </c>
      <c r="N28" s="149"/>
      <c r="O28" s="149"/>
      <c r="P28" s="149"/>
      <c r="Q28" s="149"/>
      <c r="R28" s="149"/>
      <c r="S28" s="149"/>
      <c r="T28" s="149"/>
      <c r="U28" s="149"/>
      <c r="V28" s="149"/>
      <c r="AB28" t="str">
        <v>BIOSYN-CARB-gpianchorSC_r</v>
      </c>
      <c r="AC28" t="str">
        <v>MET-gpianchorSC_r --&gt; 2.280413 BIO-gpianchorSC_r</v>
      </c>
    </row>
    <row r="29" spans="1:29" ht="16" x14ac:dyDescent="0.2">
      <c r="A29" s="144" t="s">
        <v>1228</v>
      </c>
      <c r="B29" t="str">
        <f>SUBSTITUTE(_xlfn.TEXTBEFORE(mets24[[#This Row],[pasted JSON metabolite keys and values from GSM biomass rxn]],":"),CHAR(34),"")</f>
        <v>fad_c</v>
      </c>
      <c r="C29" t="str">
        <f>_xlfn.TEXTBEFORE(mets24[[#This Row],[name]],"_",-1)</f>
        <v>fad</v>
      </c>
      <c r="D29" t="str">
        <f>_xlfn.XLOOKUP(mets24[[#This Row],[name w/o location]],metaboliteInfo[name w/o location],metaboliteInfo[suggested category],"")</f>
        <v>COFACTOR</v>
      </c>
      <c r="E29" s="21">
        <f>_xlfn.XLOOKUP(mets24[[#This Row],[name w/o location]],metaboliteInfo[name w/o location],metaboliteInfo[MW for biomass normalization (g/mol)],0)</f>
        <v>782.52592200000004</v>
      </c>
      <c r="F29" s="21">
        <f>_xlfn.NUMBERVALUE(SUBSTITUTE(_xlfn.TEXTAFTER(mets24[[#This Row],[pasted JSON metabolite keys and values from GSM biomass rxn]],":"),",",""))</f>
        <v>-1.01E-4</v>
      </c>
      <c r="G29" s="21" cm="1">
        <f t="array" ref="G29">_xlfn.LET(_xlpm.id,mets24[[#This Row],[name w/o location]],IF(IsElementOfSet_DIY(_xlpm.id,{"atp","adp","h","pi","h2o"}),SIGN(mets24[[#This Row],[raw (GSM) coefficient]])*(ABS(mets24[[#This Row],[raw (GSM) coefficient]])-$J$2),mets24[[#This Row],[raw (GSM) coefficient]]))</f>
        <v>-1.01E-4</v>
      </c>
      <c r="H29" s="21">
        <f>mets24[[#This Row],[coeff. w/o GAM]]</f>
        <v>-1.01E-4</v>
      </c>
      <c r="I29" s="161">
        <f t="shared" si="0"/>
        <v>-1.0100003807990364E-4</v>
      </c>
      <c r="J29" s="21" cm="1">
        <f t="array" ref="J29">_xlfn.LET(_xlpm.id,mets24[[#This Row],[name w/o location]],_xlpm.oldcoeff,mets24[[#This Row],[normalized coeffs]],_xlpm.gam,$J$2-$G$2,_xlfn.IFS(IFERROR(MATCH(_xlpm.id,{"atp","h2o"},0),0)&gt;0,_xlpm.oldcoeff-_xlpm.gam,IFERROR(MATCH(_xlpm.id,{"adp","h","pi"},0),0)&gt;0,_xlpm.oldcoeff+_xlpm.gam,TRUE,_xlpm.oldcoeff))</f>
        <v>-1.0100003807990364E-4</v>
      </c>
      <c r="K29" t="str" cm="1">
        <f t="array" ref="K29">"BIOSYN-"&amp;_xlfn.IFS(IFERROR(MATCH(mets24[[#This Row],[category]],{0,"0",""},0),0)&gt;0,mets24[[#This Row],[name]],TRUE,mets24[[#This Row],[category]]&amp;"-"&amp;mets24[[#This Row],[name]])</f>
        <v>BIOSYN-COFACTOR-fad_c</v>
      </c>
      <c r="L29" s="149" t="str" cm="1">
        <f t="array" ref="L29">IF(IsElementOfSet_DIY(mets24[[#This Row],[category]],{"ignore","PROT"}),"",_xlfn.LET(_xlpm.mw,mets24[[#This Row],[MW for biomass normalization (g/mol)]],"MET-"&amp;mets24[[#This Row],[name]]&amp;" --&gt; "&amp;IF((mets24[[#This Row],[category]]="DNA")+(mets24[[#This Row],[category]]="RNA"),"MET-ppi_c + ","")&amp;ROUND(ABS(_xlpm.mw/1000),6)&amp;" BIO-"&amp;mets24[[#This Row],[name]]))</f>
        <v>MET-fad_c --&gt; 0.782526 BIO-fad_c</v>
      </c>
      <c r="M29" s="149" cm="1">
        <f t="array" ref="M2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29" s="149"/>
      <c r="O29" s="149"/>
      <c r="P29" s="149"/>
      <c r="Q29" s="149"/>
      <c r="R29" s="149"/>
      <c r="S29" s="149"/>
      <c r="T29" s="149"/>
      <c r="U29" s="149"/>
      <c r="V29" s="149"/>
      <c r="AB29" t="str">
        <v>BIOSYN-CARB-oglycanSC_g</v>
      </c>
      <c r="AC29" t="str">
        <v>MET-oglycanSC_g --&gt; 0.810703 BIO-oglycanSC_g</v>
      </c>
    </row>
    <row r="30" spans="1:29" ht="16" x14ac:dyDescent="0.2">
      <c r="A30" s="144" t="s">
        <v>1229</v>
      </c>
      <c r="B30" t="str">
        <f>SUBSTITUTE(_xlfn.TEXTBEFORE(mets24[[#This Row],[pasted JSON metabolite keys and values from GSM biomass rxn]],":"),CHAR(34),"")</f>
        <v>fe2_c</v>
      </c>
      <c r="C30" t="str">
        <f>_xlfn.TEXTBEFORE(mets24[[#This Row],[name]],"_",-1)</f>
        <v>fe2</v>
      </c>
      <c r="D30" t="str">
        <f>_xlfn.XLOOKUP(mets24[[#This Row],[name w/o location]],metaboliteInfo[name w/o location],metaboliteInfo[suggested category],"")</f>
        <v>METAL</v>
      </c>
      <c r="E30" s="21">
        <f>_xlfn.XLOOKUP(mets24[[#This Row],[name w/o location]],metaboliteInfo[name w/o location],metaboliteInfo[MW for biomass normalization (g/mol)],0)</f>
        <v>55.844999999999999</v>
      </c>
      <c r="F30" s="21">
        <f>_xlfn.NUMBERVALUE(SUBSTITUTE(_xlfn.TEXTAFTER(mets24[[#This Row],[pasted JSON metabolite keys and values from GSM biomass rxn]],":"),",",""))</f>
        <v>-6.7000000000000002E-4</v>
      </c>
      <c r="G30" s="21" cm="1">
        <f t="array" ref="G30">_xlfn.LET(_xlpm.id,mets24[[#This Row],[name w/o location]],IF(IsElementOfSet_DIY(_xlpm.id,{"atp","adp","h","pi","h2o"}),SIGN(mets24[[#This Row],[raw (GSM) coefficient]])*(ABS(mets24[[#This Row],[raw (GSM) coefficient]])-$J$2),mets24[[#This Row],[raw (GSM) coefficient]]))</f>
        <v>-6.7000000000000002E-4</v>
      </c>
      <c r="H30" s="21">
        <f>mets24[[#This Row],[coeff. w/o GAM]]</f>
        <v>-6.7000000000000002E-4</v>
      </c>
      <c r="I30" s="161">
        <f t="shared" si="0"/>
        <v>-6.7000025260926176E-4</v>
      </c>
      <c r="J30" s="21" cm="1">
        <f t="array" ref="J30">_xlfn.LET(_xlpm.id,mets24[[#This Row],[name w/o location]],_xlpm.oldcoeff,mets24[[#This Row],[normalized coeffs]],_xlpm.gam,$J$2-$G$2,_xlfn.IFS(IFERROR(MATCH(_xlpm.id,{"atp","h2o"},0),0)&gt;0,_xlpm.oldcoeff-_xlpm.gam,IFERROR(MATCH(_xlpm.id,{"adp","h","pi"},0),0)&gt;0,_xlpm.oldcoeff+_xlpm.gam,TRUE,_xlpm.oldcoeff))</f>
        <v>-6.7000025260926176E-4</v>
      </c>
      <c r="K30" t="str" cm="1">
        <f t="array" ref="K30">"BIOSYN-"&amp;_xlfn.IFS(IFERROR(MATCH(mets24[[#This Row],[category]],{0,"0",""},0),0)&gt;0,mets24[[#This Row],[name]],TRUE,mets24[[#This Row],[category]]&amp;"-"&amp;mets24[[#This Row],[name]])</f>
        <v>BIOSYN-METAL-fe2_c</v>
      </c>
      <c r="L30" s="149" t="str" cm="1">
        <f t="array" ref="L30">IF(IsElementOfSet_DIY(mets24[[#This Row],[category]],{"ignore","PROT"}),"",_xlfn.LET(_xlpm.mw,mets24[[#This Row],[MW for biomass normalization (g/mol)]],"MET-"&amp;mets24[[#This Row],[name]]&amp;" --&gt; "&amp;IF((mets24[[#This Row],[category]]="DNA")+(mets24[[#This Row],[category]]="RNA"),"MET-ppi_c + ","")&amp;ROUND(ABS(_xlpm.mw/1000),6)&amp;" BIO-"&amp;mets24[[#This Row],[name]]))</f>
        <v>MET-fe2_c --&gt; 0.055845 BIO-fe2_c</v>
      </c>
      <c r="M30" s="149" cm="1">
        <f t="array" ref="M3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-6.7000025260926176E-4</v>
      </c>
      <c r="N30" s="149"/>
      <c r="O30" s="149"/>
      <c r="P30" s="149"/>
      <c r="Q30" s="149"/>
      <c r="R30" s="149"/>
      <c r="S30" s="149"/>
      <c r="T30" s="149"/>
      <c r="U30" s="149"/>
      <c r="V30" s="149"/>
      <c r="AB30" t="str">
        <v>BIOSYN-COFACTOR-amet_c</v>
      </c>
      <c r="AC30" t="str">
        <v>MET-amet_c --&gt; 0.399445 BIO-amet_c</v>
      </c>
    </row>
    <row r="31" spans="1:29" ht="16" x14ac:dyDescent="0.2">
      <c r="A31" s="144" t="s">
        <v>1230</v>
      </c>
      <c r="B31" t="str">
        <f>SUBSTITUTE(_xlfn.TEXTBEFORE(mets24[[#This Row],[pasted JSON metabolite keys and values from GSM biomass rxn]],":"),CHAR(34),"")</f>
        <v>glntrna_c</v>
      </c>
      <c r="C31" t="str">
        <f>_xlfn.TEXTBEFORE(mets24[[#This Row],[name]],"_",-1)</f>
        <v>glntrna</v>
      </c>
      <c r="D31" t="str">
        <f>_xlfn.XLOOKUP(mets24[[#This Row],[name w/o location]],metaboliteInfo[name w/o location],metaboliteInfo[suggested category],"")</f>
        <v>PROT</v>
      </c>
      <c r="E31" s="21">
        <f>_xlfn.XLOOKUP(mets24[[#This Row],[name w/o location]],metaboliteInfo[name w/o location],metaboliteInfo[MW for biomass normalization (g/mol)],0)</f>
        <v>129.13715999999999</v>
      </c>
      <c r="F31" s="21">
        <f>_xlfn.NUMBERVALUE(SUBSTITUTE(_xlfn.TEXTAFTER(mets24[[#This Row],[pasted JSON metabolite keys and values from GSM biomass rxn]],":"),",",""))</f>
        <v>-9.6277000000000001E-2</v>
      </c>
      <c r="G31" s="21" cm="1">
        <f t="array" ref="G31">_xlfn.LET(_xlpm.id,mets24[[#This Row],[name w/o location]],IF(IsElementOfSet_DIY(_xlpm.id,{"atp","adp","h","pi","h2o"}),SIGN(mets24[[#This Row],[raw (GSM) coefficient]])*(ABS(mets24[[#This Row],[raw (GSM) coefficient]])-$J$2),mets24[[#This Row],[raw (GSM) coefficient]]))</f>
        <v>-9.6277000000000001E-2</v>
      </c>
      <c r="H31" s="21">
        <f>mets24[[#This Row],[coeff. w/o GAM]]</f>
        <v>-9.6277000000000001E-2</v>
      </c>
      <c r="I31" s="161">
        <f t="shared" si="0"/>
        <v>-9.6277036299196858E-2</v>
      </c>
      <c r="J31" s="21" cm="1">
        <f t="array" ref="J31">_xlfn.LET(_xlpm.id,mets24[[#This Row],[name w/o location]],_xlpm.oldcoeff,mets24[[#This Row],[normalized coeffs]],_xlpm.gam,$J$2-$G$2,_xlfn.IFS(IFERROR(MATCH(_xlpm.id,{"atp","h2o"},0),0)&gt;0,_xlpm.oldcoeff-_xlpm.gam,IFERROR(MATCH(_xlpm.id,{"adp","h","pi"},0),0)&gt;0,_xlpm.oldcoeff+_xlpm.gam,TRUE,_xlpm.oldcoeff))</f>
        <v>-9.6277036299196858E-2</v>
      </c>
      <c r="K31" t="str" cm="1">
        <f t="array" ref="K31">"BIOSYN-"&amp;_xlfn.IFS(IFERROR(MATCH(mets24[[#This Row],[category]],{0,"0",""},0),0)&gt;0,mets24[[#This Row],[name]],TRUE,mets24[[#This Row],[category]]&amp;"-"&amp;mets24[[#This Row],[name]])</f>
        <v>BIOSYN-PROT-glntrna_c</v>
      </c>
      <c r="L31" s="149" t="str" cm="1">
        <f t="array" ref="L31">IF(IsElementOfSet_DIY(mets24[[#This Row],[category]],{"ignore","PROT"}),"",_xlfn.LET(_xlpm.mw,mets24[[#This Row],[MW for biomass normalization (g/mol)]],"MET-"&amp;mets24[[#This Row],[name]]&amp;" --&gt; "&amp;IF((mets24[[#This Row],[category]]="DNA")+(mets24[[#This Row],[category]]="RNA"),"MET-ppi_c + ","")&amp;ROUND(ABS(_xlpm.mw/1000),6)&amp;" BIO-"&amp;mets24[[#This Row],[name]]))</f>
        <v/>
      </c>
      <c r="M31" s="149" cm="1">
        <f t="array" ref="M3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-9.6277146480430981E-2</v>
      </c>
      <c r="N31" s="149"/>
      <c r="O31" s="149"/>
      <c r="P31" s="149"/>
      <c r="Q31" s="149"/>
      <c r="R31" s="149"/>
      <c r="S31" s="149"/>
      <c r="T31" s="149"/>
      <c r="U31" s="149"/>
      <c r="V31" s="149"/>
      <c r="AB31" t="str">
        <v>BIOSYN-COFACTOR-btn_c</v>
      </c>
      <c r="AC31" t="str">
        <v>MET-btn_c --&gt; 0.243303 BIO-btn_c</v>
      </c>
    </row>
    <row r="32" spans="1:29" ht="16" x14ac:dyDescent="0.2">
      <c r="A32" s="144" t="s">
        <v>1231</v>
      </c>
      <c r="B32" t="str">
        <f>SUBSTITUTE(_xlfn.TEXTBEFORE(mets24[[#This Row],[pasted JSON metabolite keys and values from GSM biomass rxn]],":"),CHAR(34),"")</f>
        <v>glutrna_c</v>
      </c>
      <c r="C32" t="str">
        <f>_xlfn.TEXTBEFORE(mets24[[#This Row],[name]],"_",-1)</f>
        <v>glutrna</v>
      </c>
      <c r="D32" t="str">
        <f>_xlfn.XLOOKUP(mets24[[#This Row],[name w/o location]],metaboliteInfo[name w/o location],metaboliteInfo[suggested category],"")</f>
        <v>PROT</v>
      </c>
      <c r="E32" s="21">
        <f>_xlfn.XLOOKUP(mets24[[#This Row],[name w/o location]],metaboliteInfo[name w/o location],metaboliteInfo[MW for biomass normalization (g/mol)],0)</f>
        <v>129.11398</v>
      </c>
      <c r="F32" s="21">
        <f>_xlfn.NUMBERVALUE(SUBSTITUTE(_xlfn.TEXTAFTER(mets24[[#This Row],[pasted JSON metabolite keys and values from GSM biomass rxn]],":"),",",""))</f>
        <v>-9.6277000000000001E-2</v>
      </c>
      <c r="G32" s="21" cm="1">
        <f t="array" ref="G32">_xlfn.LET(_xlpm.id,mets24[[#This Row],[name w/o location]],IF(IsElementOfSet_DIY(_xlpm.id,{"atp","adp","h","pi","h2o"}),SIGN(mets24[[#This Row],[raw (GSM) coefficient]])*(ABS(mets24[[#This Row],[raw (GSM) coefficient]])-$J$2),mets24[[#This Row],[raw (GSM) coefficient]]))</f>
        <v>-9.6277000000000001E-2</v>
      </c>
      <c r="H32" s="21">
        <f>mets24[[#This Row],[coeff. w/o GAM]]</f>
        <v>-9.6277000000000001E-2</v>
      </c>
      <c r="I32" s="161">
        <f t="shared" si="0"/>
        <v>-9.6277036299196858E-2</v>
      </c>
      <c r="J32" s="21" cm="1">
        <f t="array" ref="J32">_xlfn.LET(_xlpm.id,mets24[[#This Row],[name w/o location]],_xlpm.oldcoeff,mets24[[#This Row],[normalized coeffs]],_xlpm.gam,$J$2-$G$2,_xlfn.IFS(IFERROR(MATCH(_xlpm.id,{"atp","h2o"},0),0)&gt;0,_xlpm.oldcoeff-_xlpm.gam,IFERROR(MATCH(_xlpm.id,{"adp","h","pi"},0),0)&gt;0,_xlpm.oldcoeff+_xlpm.gam,TRUE,_xlpm.oldcoeff))</f>
        <v>-9.6277036299196858E-2</v>
      </c>
      <c r="K32" t="str" cm="1">
        <f t="array" ref="K32">"BIOSYN-"&amp;_xlfn.IFS(IFERROR(MATCH(mets24[[#This Row],[category]],{0,"0",""},0),0)&gt;0,mets24[[#This Row],[name]],TRUE,mets24[[#This Row],[category]]&amp;"-"&amp;mets24[[#This Row],[name]])</f>
        <v>BIOSYN-PROT-glutrna_c</v>
      </c>
      <c r="L32" s="149" t="str" cm="1">
        <f t="array" ref="L32">IF(IsElementOfSet_DIY(mets24[[#This Row],[category]],{"ignore","PROT"}),"",_xlfn.LET(_xlpm.mw,mets24[[#This Row],[MW for biomass normalization (g/mol)]],"MET-"&amp;mets24[[#This Row],[name]]&amp;" --&gt; "&amp;IF((mets24[[#This Row],[category]]="DNA")+(mets24[[#This Row],[category]]="RNA"),"MET-ppi_c + ","")&amp;ROUND(ABS(_xlpm.mw/1000),6)&amp;" BIO-"&amp;mets24[[#This Row],[name]]))</f>
        <v/>
      </c>
      <c r="M32" s="149" cm="1">
        <f t="array" ref="M3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-9.6277146480430981E-2</v>
      </c>
      <c r="N32" s="149"/>
      <c r="O32" s="149"/>
      <c r="P32" s="149"/>
      <c r="Q32" s="149"/>
      <c r="R32" s="149"/>
      <c r="S32" s="149"/>
      <c r="T32" s="149"/>
      <c r="U32" s="149"/>
      <c r="V32" s="149"/>
      <c r="AB32" t="str">
        <v>BIOSYN-COFACTOR-coa_c</v>
      </c>
      <c r="AC32" t="str">
        <v>MET-coa_c --&gt; 0.763502 BIO-coa_c</v>
      </c>
    </row>
    <row r="33" spans="1:29" ht="16" x14ac:dyDescent="0.2">
      <c r="A33" s="144" t="s">
        <v>1232</v>
      </c>
      <c r="B33" t="str">
        <f>SUBSTITUTE(_xlfn.TEXTBEFORE(mets24[[#This Row],[pasted JSON metabolite keys and values from GSM biomass rxn]],":"),CHAR(34),"")</f>
        <v>glytrna_c</v>
      </c>
      <c r="C33" t="str">
        <f>_xlfn.TEXTBEFORE(mets24[[#This Row],[name]],"_",-1)</f>
        <v>glytrna</v>
      </c>
      <c r="D33" t="str">
        <f>_xlfn.XLOOKUP(mets24[[#This Row],[name w/o location]],metaboliteInfo[name w/o location],metaboliteInfo[suggested category],"")</f>
        <v>PROT</v>
      </c>
      <c r="E33" s="21">
        <f>_xlfn.XLOOKUP(mets24[[#This Row],[name w/o location]],metaboliteInfo[name w/o location],metaboliteInfo[MW for biomass normalization (g/mol)],0)</f>
        <v>58.059260000000002</v>
      </c>
      <c r="F33" s="21">
        <f>_xlfn.NUMBERVALUE(SUBSTITUTE(_xlfn.TEXTAFTER(mets24[[#This Row],[pasted JSON metabolite keys and values from GSM biomass rxn]],":"),",",""))</f>
        <v>-0.110582</v>
      </c>
      <c r="G33" s="21" cm="1">
        <f t="array" ref="G33">_xlfn.LET(_xlpm.id,mets24[[#This Row],[name w/o location]],IF(IsElementOfSet_DIY(_xlpm.id,{"atp","adp","h","pi","h2o"}),SIGN(mets24[[#This Row],[raw (GSM) coefficient]])*(ABS(mets24[[#This Row],[raw (GSM) coefficient]])-$J$2),mets24[[#This Row],[raw (GSM) coefficient]]))</f>
        <v>-0.110582</v>
      </c>
      <c r="H33" s="21">
        <f>mets24[[#This Row],[coeff. w/o GAM]]</f>
        <v>-0.110582</v>
      </c>
      <c r="I33" s="161">
        <f t="shared" si="0"/>
        <v>-0.1105820416925931</v>
      </c>
      <c r="J33" s="21" cm="1">
        <f t="array" ref="J33">_xlfn.LET(_xlpm.id,mets24[[#This Row],[name w/o location]],_xlpm.oldcoeff,mets24[[#This Row],[normalized coeffs]],_xlpm.gam,$J$2-$G$2,_xlfn.IFS(IFERROR(MATCH(_xlpm.id,{"atp","h2o"},0),0)&gt;0,_xlpm.oldcoeff-_xlpm.gam,IFERROR(MATCH(_xlpm.id,{"adp","h","pi"},0),0)&gt;0,_xlpm.oldcoeff+_xlpm.gam,TRUE,_xlpm.oldcoeff))</f>
        <v>-0.1105820416925931</v>
      </c>
      <c r="K33" t="str" cm="1">
        <f t="array" ref="K33">"BIOSYN-"&amp;_xlfn.IFS(IFERROR(MATCH(mets24[[#This Row],[category]],{0,"0",""},0),0)&gt;0,mets24[[#This Row],[name]],TRUE,mets24[[#This Row],[category]]&amp;"-"&amp;mets24[[#This Row],[name]])</f>
        <v>BIOSYN-PROT-glytrna_c</v>
      </c>
      <c r="L33" s="149" t="str" cm="1">
        <f t="array" ref="L33">IF(IsElementOfSet_DIY(mets24[[#This Row],[category]],{"ignore","PROT"}),"",_xlfn.LET(_xlpm.mw,mets24[[#This Row],[MW for biomass normalization (g/mol)]],"MET-"&amp;mets24[[#This Row],[name]]&amp;" --&gt; "&amp;IF((mets24[[#This Row],[category]]="DNA")+(mets24[[#This Row],[category]]="RNA"),"MET-ppi_c + ","")&amp;ROUND(ABS(_xlpm.mw/1000),6)&amp;" BIO-"&amp;mets24[[#This Row],[name]]))</f>
        <v/>
      </c>
      <c r="M33" s="149" cm="1">
        <f t="array" ref="M3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-0.11058216824474192</v>
      </c>
      <c r="N33" s="149"/>
      <c r="O33" s="149"/>
      <c r="P33" s="149"/>
      <c r="Q33" s="149"/>
      <c r="R33" s="149"/>
      <c r="S33" s="149"/>
      <c r="T33" s="149"/>
      <c r="U33" s="149"/>
      <c r="V33" s="149"/>
      <c r="AB33" t="str">
        <v>BIOSYN-COFACTOR-fad_c</v>
      </c>
      <c r="AC33" t="str">
        <v>MET-fad_c --&gt; 0.782526 BIO-fad_c</v>
      </c>
    </row>
    <row r="34" spans="1:29" ht="16" x14ac:dyDescent="0.2">
      <c r="A34" s="144" t="s">
        <v>1233</v>
      </c>
      <c r="B34" t="str">
        <f>SUBSTITUTE(_xlfn.TEXTBEFORE(mets24[[#This Row],[pasted JSON metabolite keys and values from GSM biomass rxn]],":"),CHAR(34),"")</f>
        <v>gpianchorSC_r</v>
      </c>
      <c r="C34" t="str">
        <f>_xlfn.TEXTBEFORE(mets24[[#This Row],[name]],"_",-1)</f>
        <v>gpianchorSC</v>
      </c>
      <c r="D34" t="str">
        <f>_xlfn.XLOOKUP(mets24[[#This Row],[name w/o location]],metaboliteInfo[name w/o location],metaboliteInfo[suggested category],"")</f>
        <v>CARB</v>
      </c>
      <c r="E34" s="21">
        <f>_xlfn.XLOOKUP(mets24[[#This Row],[name w/o location]],metaboliteInfo[name w/o location],metaboliteInfo[MW for biomass normalization (g/mol)],0)</f>
        <v>2280.41334042176</v>
      </c>
      <c r="F34" s="21">
        <f>_xlfn.NUMBERVALUE(SUBSTITUTE(_xlfn.TEXTAFTER(mets24[[#This Row],[pasted JSON metabolite keys and values from GSM biomass rxn]],":"),",",""))</f>
        <v>-2.5571E-2</v>
      </c>
      <c r="G34" s="21" cm="1">
        <f t="array" ref="G34">_xlfn.LET(_xlpm.id,mets24[[#This Row],[name w/o location]],IF(IsElementOfSet_DIY(_xlpm.id,{"atp","adp","h","pi","h2o"}),SIGN(mets24[[#This Row],[raw (GSM) coefficient]])*(ABS(mets24[[#This Row],[raw (GSM) coefficient]])-$J$2),mets24[[#This Row],[raw (GSM) coefficient]]))</f>
        <v>-2.5571E-2</v>
      </c>
      <c r="H34" s="21">
        <f>mets24[[#This Row],[coeff. w/o GAM]]</f>
        <v>-2.5571E-2</v>
      </c>
      <c r="I34" s="161">
        <f t="shared" si="0"/>
        <v>-2.5571009641002135E-2</v>
      </c>
      <c r="J34" s="21" cm="1">
        <f t="array" ref="J34">_xlfn.LET(_xlpm.id,mets24[[#This Row],[name w/o location]],_xlpm.oldcoeff,mets24[[#This Row],[normalized coeffs]],_xlpm.gam,$J$2-$G$2,_xlfn.IFS(IFERROR(MATCH(_xlpm.id,{"atp","h2o"},0),0)&gt;0,_xlpm.oldcoeff-_xlpm.gam,IFERROR(MATCH(_xlpm.id,{"adp","h","pi"},0),0)&gt;0,_xlpm.oldcoeff+_xlpm.gam,TRUE,_xlpm.oldcoeff))</f>
        <v>-2.5571009641002135E-2</v>
      </c>
      <c r="K34" t="str" cm="1">
        <f t="array" ref="K34">"BIOSYN-"&amp;_xlfn.IFS(IFERROR(MATCH(mets24[[#This Row],[category]],{0,"0",""},0),0)&gt;0,mets24[[#This Row],[name]],TRUE,mets24[[#This Row],[category]]&amp;"-"&amp;mets24[[#This Row],[name]])</f>
        <v>BIOSYN-CARB-gpianchorSC_r</v>
      </c>
      <c r="L34" s="149" t="str" cm="1">
        <f t="array" ref="L34">IF(IsElementOfSet_DIY(mets24[[#This Row],[category]],{"ignore","PROT"}),"",_xlfn.LET(_xlpm.mw,mets24[[#This Row],[MW for biomass normalization (g/mol)]],"MET-"&amp;mets24[[#This Row],[name]]&amp;" --&gt; "&amp;IF((mets24[[#This Row],[category]]="DNA")+(mets24[[#This Row],[category]]="RNA"),"MET-ppi_c + ","")&amp;ROUND(ABS(_xlpm.mw/1000),6)&amp;" BIO-"&amp;mets24[[#This Row],[name]]))</f>
        <v>MET-gpianchorSC_r --&gt; 2.280413 BIO-gpianchorSC_r</v>
      </c>
      <c r="M34" s="149" cm="1">
        <f t="array" ref="M3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-2.557103492387152E-2</v>
      </c>
      <c r="N34" s="149"/>
      <c r="O34" s="149"/>
      <c r="P34" s="149"/>
      <c r="Q34" s="149"/>
      <c r="R34" s="149"/>
      <c r="S34" s="149"/>
      <c r="T34" s="149"/>
      <c r="U34" s="149"/>
      <c r="V34" s="149"/>
      <c r="AB34" t="str">
        <v>BIOSYN-COFACTOR-hemeA_c</v>
      </c>
      <c r="AC34" t="str">
        <v>MET-hemeA_c --&gt; 0.850821 BIO-hemeA_c</v>
      </c>
    </row>
    <row r="35" spans="1:29" ht="16" x14ac:dyDescent="0.2">
      <c r="A35" s="144" t="s">
        <v>1234</v>
      </c>
      <c r="B35" t="str">
        <f>SUBSTITUTE(_xlfn.TEXTBEFORE(mets24[[#This Row],[pasted JSON metabolite keys and values from GSM biomass rxn]],":"),CHAR(34),"")</f>
        <v>gtp_c</v>
      </c>
      <c r="C35" t="str">
        <f>_xlfn.TEXTBEFORE(mets24[[#This Row],[name]],"_",-1)</f>
        <v>gtp</v>
      </c>
      <c r="D35" t="str">
        <f>_xlfn.XLOOKUP(mets24[[#This Row],[name w/o location]],metaboliteInfo[name w/o location],metaboliteInfo[suggested category],"")</f>
        <v>RNA</v>
      </c>
      <c r="E35" s="21">
        <f>_xlfn.XLOOKUP(mets24[[#This Row],[name w/o location]],metaboliteInfo[name w/o location],metaboliteInfo[MW for biomass normalization (g/mol)],0)</f>
        <v>344.19740100000001</v>
      </c>
      <c r="F35" s="21">
        <f>_xlfn.NUMBERVALUE(SUBSTITUTE(_xlfn.TEXTAFTER(mets24[[#This Row],[pasted JSON metabolite keys and values from GSM biomass rxn]],":"),",",""))</f>
        <v>-2.2742999999999999E-2</v>
      </c>
      <c r="G35" s="21" cm="1">
        <f t="array" ref="G35">_xlfn.LET(_xlpm.id,mets24[[#This Row],[name w/o location]],IF(IsElementOfSet_DIY(_xlpm.id,{"atp","adp","h","pi","h2o"}),SIGN(mets24[[#This Row],[raw (GSM) coefficient]])*(ABS(mets24[[#This Row],[raw (GSM) coefficient]])-$J$2),mets24[[#This Row],[raw (GSM) coefficient]]))</f>
        <v>-2.2742999999999999E-2</v>
      </c>
      <c r="H35" s="21">
        <f>mets24[[#This Row],[coeff. w/o GAM]]</f>
        <v>-2.2742999999999999E-2</v>
      </c>
      <c r="I35" s="161">
        <f t="shared" si="0"/>
        <v>-2.2743008574764835E-2</v>
      </c>
      <c r="J35" s="21" cm="1">
        <f t="array" ref="J35">_xlfn.LET(_xlpm.id,mets24[[#This Row],[name w/o location]],_xlpm.oldcoeff,mets24[[#This Row],[normalized coeffs]],_xlpm.gam,$J$2-$G$2,_xlfn.IFS(IFERROR(MATCH(_xlpm.id,{"atp","h2o"},0),0)&gt;0,_xlpm.oldcoeff-_xlpm.gam,IFERROR(MATCH(_xlpm.id,{"adp","h","pi"},0),0)&gt;0,_xlpm.oldcoeff+_xlpm.gam,TRUE,_xlpm.oldcoeff))</f>
        <v>-2.2743008574764835E-2</v>
      </c>
      <c r="K35" t="str" cm="1">
        <f t="array" ref="K35">"BIOSYN-"&amp;_xlfn.IFS(IFERROR(MATCH(mets24[[#This Row],[category]],{0,"0",""},0),0)&gt;0,mets24[[#This Row],[name]],TRUE,mets24[[#This Row],[category]]&amp;"-"&amp;mets24[[#This Row],[name]])</f>
        <v>BIOSYN-RNA-gtp_c</v>
      </c>
      <c r="L35" s="149" t="str" cm="1">
        <f t="array" ref="L35">IF(IsElementOfSet_DIY(mets24[[#This Row],[category]],{"ignore","PROT"}),"",_xlfn.LET(_xlpm.mw,mets24[[#This Row],[MW for biomass normalization (g/mol)]],"MET-"&amp;mets24[[#This Row],[name]]&amp;" --&gt; "&amp;IF((mets24[[#This Row],[category]]="DNA")+(mets24[[#This Row],[category]]="RNA"),"MET-ppi_c + ","")&amp;ROUND(ABS(_xlpm.mw/1000),6)&amp;" BIO-"&amp;mets24[[#This Row],[name]]))</f>
        <v>MET-gtp_c --&gt; MET-ppi_c + 0.344197 BIO-gtp_c</v>
      </c>
      <c r="M35" s="149" cm="1">
        <f t="array" ref="M3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-2.2742787255984949E-2</v>
      </c>
      <c r="N35" s="149"/>
      <c r="O35" s="149"/>
      <c r="P35" s="149"/>
      <c r="Q35" s="149"/>
      <c r="R35" s="149"/>
      <c r="S35" s="149"/>
      <c r="T35" s="149"/>
      <c r="U35" s="149"/>
      <c r="V35" s="149"/>
      <c r="AB35" t="str">
        <v>BIOSYN-COFACTOR-nad_c</v>
      </c>
      <c r="AC35" t="str">
        <v>MET-nad_c --&gt; 0.662417 BIO-nad_c</v>
      </c>
    </row>
    <row r="36" spans="1:29" ht="16" x14ac:dyDescent="0.2">
      <c r="A36" s="144" t="s">
        <v>1235</v>
      </c>
      <c r="B36" t="str">
        <f>SUBSTITUTE(_xlfn.TEXTBEFORE(mets24[[#This Row],[pasted JSON metabolite keys and values from GSM biomass rxn]],":"),CHAR(34),"")</f>
        <v>h2o_c</v>
      </c>
      <c r="C36" t="str">
        <f>_xlfn.TEXTBEFORE(mets24[[#This Row],[name]],"_",-1)</f>
        <v>h2o</v>
      </c>
      <c r="D36" t="str">
        <f>_xlfn.XLOOKUP(mets24[[#This Row],[name w/o location]],metaboliteInfo[name w/o location],metaboliteInfo[suggested category],"")</f>
        <v>GAM</v>
      </c>
      <c r="E36" s="21">
        <f>_xlfn.XLOOKUP(mets24[[#This Row],[name w/o location]],metaboliteInfo[name w/o location],metaboliteInfo[MW for biomass normalization (g/mol)],0)</f>
        <v>18.015280000000001</v>
      </c>
      <c r="F36" s="21">
        <f>_xlfn.NUMBERVALUE(SUBSTITUTE(_xlfn.TEXTAFTER(mets24[[#This Row],[pasted JSON metabolite keys and values from GSM biomass rxn]],":"),",",""))</f>
        <v>-183.67169999999999</v>
      </c>
      <c r="G36" s="21" cm="1">
        <f t="array" ref="G36">_xlfn.LET(_xlpm.id,mets24[[#This Row],[name w/o location]],IF(IsElementOfSet_DIY(_xlpm.id,{"atp","adp","h","pi","h2o"}),SIGN(mets24[[#This Row],[raw (GSM) coefficient]])*(ABS(mets24[[#This Row],[raw (GSM) coefficient]])-$J$2),mets24[[#This Row],[raw (GSM) coefficient]]))</f>
        <v>0</v>
      </c>
      <c r="H36" s="21">
        <f>mets24[[#This Row],[coeff. w/o GAM]]</f>
        <v>0</v>
      </c>
      <c r="I36" s="161">
        <f t="shared" si="0"/>
        <v>0</v>
      </c>
      <c r="J36" s="21" cm="1">
        <f t="array" ref="J36">_xlfn.LET(_xlpm.id,mets24[[#This Row],[name w/o location]],_xlpm.oldcoeff,mets24[[#This Row],[normalized coeffs]],_xlpm.gam,$J$2-$G$2,_xlfn.IFS(IFERROR(MATCH(_xlpm.id,{"atp","h2o"},0),0)&gt;0,_xlpm.oldcoeff-_xlpm.gam,IFERROR(MATCH(_xlpm.id,{"adp","h","pi"},0),0)&gt;0,_xlpm.oldcoeff+_xlpm.gam,TRUE,_xlpm.oldcoeff))</f>
        <v>-181.09169999999997</v>
      </c>
      <c r="K36" t="str" cm="1">
        <f t="array" ref="K36">"BIOSYN-"&amp;_xlfn.IFS(IFERROR(MATCH(mets24[[#This Row],[category]],{0,"0",""},0),0)&gt;0,mets24[[#This Row],[name]],TRUE,mets24[[#This Row],[category]]&amp;"-"&amp;mets24[[#This Row],[name]])</f>
        <v>BIOSYN-GAM-h2o_c</v>
      </c>
      <c r="L36" s="149" t="str" cm="1">
        <f t="array" ref="L36">IF(IsElementOfSet_DIY(mets24[[#This Row],[category]],{"ignore","PROT"}),"",_xlfn.LET(_xlpm.mw,mets24[[#This Row],[MW for biomass normalization (g/mol)]],"MET-"&amp;mets24[[#This Row],[name]]&amp;" --&gt; "&amp;IF((mets24[[#This Row],[category]]="DNA")+(mets24[[#This Row],[category]]="RNA"),"MET-ppi_c + ","")&amp;ROUND(ABS(_xlpm.mw/1000),6)&amp;" BIO-"&amp;mets24[[#This Row],[name]]))</f>
        <v>MET-h2o_c --&gt; 0.018015 BIO-h2o_c</v>
      </c>
      <c r="M36" s="149" cm="1">
        <f t="array" ref="M3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-183.67169999999999</v>
      </c>
      <c r="N36" s="149"/>
      <c r="O36" s="149"/>
      <c r="P36" s="149"/>
      <c r="Q36" s="149"/>
      <c r="R36" s="149"/>
      <c r="S36" s="149"/>
      <c r="T36" s="149"/>
      <c r="U36" s="149"/>
      <c r="V36" s="149"/>
      <c r="AB36" t="str">
        <v>BIOSYN-COFACTOR-nadp_c</v>
      </c>
      <c r="AC36" t="str">
        <v>MET-nadp_c --&gt; 0.740381 BIO-nadp_c</v>
      </c>
    </row>
    <row r="37" spans="1:29" ht="16" x14ac:dyDescent="0.2">
      <c r="A37" s="144" t="s">
        <v>1236</v>
      </c>
      <c r="B37" t="str">
        <f>SUBSTITUTE(_xlfn.TEXTBEFORE(mets24[[#This Row],[pasted JSON metabolite keys and values from GSM biomass rxn]],":"),CHAR(34),"")</f>
        <v>h_c</v>
      </c>
      <c r="C37" t="str">
        <f>_xlfn.TEXTBEFORE(mets24[[#This Row],[name]],"_",-1)</f>
        <v>h</v>
      </c>
      <c r="D37" t="str">
        <f>_xlfn.XLOOKUP(mets24[[#This Row],[name w/o location]],metaboliteInfo[name w/o location],metaboliteInfo[suggested category],"")</f>
        <v>GAM</v>
      </c>
      <c r="E37" s="21">
        <f>_xlfn.XLOOKUP(mets24[[#This Row],[name w/o location]],metaboliteInfo[name w/o location],metaboliteInfo[MW for biomass normalization (g/mol)],0)</f>
        <v>1.0079400000000001</v>
      </c>
      <c r="F37" s="21">
        <f>_xlfn.NUMBERVALUE(SUBSTITUTE(_xlfn.TEXTAFTER(mets24[[#This Row],[pasted JSON metabolite keys and values from GSM biomass rxn]],":"),",",""))</f>
        <v>183.67169999999999</v>
      </c>
      <c r="G37" s="21" cm="1">
        <f t="array" ref="G37">_xlfn.LET(_xlpm.id,mets24[[#This Row],[name w/o location]],IF(IsElementOfSet_DIY(_xlpm.id,{"atp","adp","h","pi","h2o"}),SIGN(mets24[[#This Row],[raw (GSM) coefficient]])*(ABS(mets24[[#This Row],[raw (GSM) coefficient]])-$J$2),mets24[[#This Row],[raw (GSM) coefficient]]))</f>
        <v>0</v>
      </c>
      <c r="H37" s="21">
        <f>mets24[[#This Row],[coeff. w/o GAM]]</f>
        <v>0</v>
      </c>
      <c r="I37" s="161">
        <f t="shared" si="0"/>
        <v>0</v>
      </c>
      <c r="J37" s="21" cm="1">
        <f t="array" ref="J37">_xlfn.LET(_xlpm.id,mets24[[#This Row],[name w/o location]],_xlpm.oldcoeff,mets24[[#This Row],[normalized coeffs]],_xlpm.gam,$J$2-$G$2,_xlfn.IFS(IFERROR(MATCH(_xlpm.id,{"atp","h2o"},0),0)&gt;0,_xlpm.oldcoeff-_xlpm.gam,IFERROR(MATCH(_xlpm.id,{"adp","h","pi"},0),0)&gt;0,_xlpm.oldcoeff+_xlpm.gam,TRUE,_xlpm.oldcoeff))</f>
        <v>181.09169999999997</v>
      </c>
      <c r="K37" t="str" cm="1">
        <f t="array" ref="K37">"BIOSYN-"&amp;_xlfn.IFS(IFERROR(MATCH(mets24[[#This Row],[category]],{0,"0",""},0),0)&gt;0,mets24[[#This Row],[name]],TRUE,mets24[[#This Row],[category]]&amp;"-"&amp;mets24[[#This Row],[name]])</f>
        <v>BIOSYN-GAM-h_c</v>
      </c>
      <c r="L37" s="149" t="str" cm="1">
        <f t="array" ref="L37">IF(IsElementOfSet_DIY(mets24[[#This Row],[category]],{"ignore","PROT"}),"",_xlfn.LET(_xlpm.mw,mets24[[#This Row],[MW for biomass normalization (g/mol)]],"MET-"&amp;mets24[[#This Row],[name]]&amp;" --&gt; "&amp;IF((mets24[[#This Row],[category]]="DNA")+(mets24[[#This Row],[category]]="RNA"),"MET-ppi_c + ","")&amp;ROUND(ABS(_xlpm.mw/1000),6)&amp;" BIO-"&amp;mets24[[#This Row],[name]]))</f>
        <v>MET-h_c --&gt; 0.001008 BIO-h_c</v>
      </c>
      <c r="M37" s="149" cm="1">
        <f t="array" ref="M3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183.67169999999999</v>
      </c>
      <c r="N37" s="149"/>
      <c r="O37" s="149"/>
      <c r="P37" s="149"/>
      <c r="Q37" s="149"/>
      <c r="R37" s="149"/>
      <c r="S37" s="149"/>
      <c r="T37" s="149"/>
      <c r="U37" s="149"/>
      <c r="V37" s="149"/>
      <c r="AB37" t="str">
        <v>BIOSYN-COFACTOR-ribflv_c</v>
      </c>
      <c r="AC37" t="str">
        <v>MET-ribflv_c --&gt; 0.375356 BIO-ribflv_c</v>
      </c>
    </row>
    <row r="38" spans="1:29" ht="16" x14ac:dyDescent="0.2">
      <c r="A38" s="144" t="s">
        <v>1237</v>
      </c>
      <c r="B38" t="str">
        <f>SUBSTITUTE(_xlfn.TEXTBEFORE(mets24[[#This Row],[pasted JSON metabolite keys and values from GSM biomass rxn]],":"),CHAR(34),"")</f>
        <v>hdca_c</v>
      </c>
      <c r="C38" t="str">
        <f>_xlfn.TEXTBEFORE(mets24[[#This Row],[name]],"_",-1)</f>
        <v>hdca</v>
      </c>
      <c r="D38" t="str">
        <f>_xlfn.XLOOKUP(mets24[[#This Row],[name w/o location]],metaboliteInfo[name w/o location],metaboliteInfo[suggested category],"")</f>
        <v>LIPID</v>
      </c>
      <c r="E38" s="21">
        <f>_xlfn.XLOOKUP(mets24[[#This Row],[name w/o location]],metaboliteInfo[name w/o location],metaboliteInfo[MW for biomass normalization (g/mol)],0)</f>
        <v>255.41533999999999</v>
      </c>
      <c r="F38" s="21">
        <f>_xlfn.NUMBERVALUE(SUBSTITUTE(_xlfn.TEXTAFTER(mets24[[#This Row],[pasted JSON metabolite keys and values from GSM biomass rxn]],":"),",",""))</f>
        <v>-2.4390000000000002E-3</v>
      </c>
      <c r="G38" s="21" cm="1">
        <f t="array" ref="G38">_xlfn.LET(_xlpm.id,mets24[[#This Row],[name w/o location]],IF(IsElementOfSet_DIY(_xlpm.id,{"atp","adp","h","pi","h2o"}),SIGN(mets24[[#This Row],[raw (GSM) coefficient]])*(ABS(mets24[[#This Row],[raw (GSM) coefficient]])-$J$2),mets24[[#This Row],[raw (GSM) coefficient]]))</f>
        <v>-2.4390000000000002E-3</v>
      </c>
      <c r="H38" s="21">
        <f>mets24[[#This Row],[coeff. w/o GAM]]</f>
        <v>-2.4390000000000002E-3</v>
      </c>
      <c r="I38" s="161">
        <f t="shared" si="0"/>
        <v>-2.4390009195731184E-3</v>
      </c>
      <c r="J38" s="21" cm="1">
        <f t="array" ref="J38">_xlfn.LET(_xlpm.id,mets24[[#This Row],[name w/o location]],_xlpm.oldcoeff,mets24[[#This Row],[normalized coeffs]],_xlpm.gam,$J$2-$G$2,_xlfn.IFS(IFERROR(MATCH(_xlpm.id,{"atp","h2o"},0),0)&gt;0,_xlpm.oldcoeff-_xlpm.gam,IFERROR(MATCH(_xlpm.id,{"adp","h","pi"},0),0)&gt;0,_xlpm.oldcoeff+_xlpm.gam,TRUE,_xlpm.oldcoeff))</f>
        <v>-2.4390009195731184E-3</v>
      </c>
      <c r="K38" t="str" cm="1">
        <f t="array" ref="K38">"BIOSYN-"&amp;_xlfn.IFS(IFERROR(MATCH(mets24[[#This Row],[category]],{0,"0",""},0),0)&gt;0,mets24[[#This Row],[name]],TRUE,mets24[[#This Row],[category]]&amp;"-"&amp;mets24[[#This Row],[name]])</f>
        <v>BIOSYN-LIPID-hdca_c</v>
      </c>
      <c r="L38" s="149" t="str" cm="1">
        <f t="array" ref="L38">IF(IsElementOfSet_DIY(mets24[[#This Row],[category]],{"ignore","PROT"}),"",_xlfn.LET(_xlpm.mw,mets24[[#This Row],[MW for biomass normalization (g/mol)]],"MET-"&amp;mets24[[#This Row],[name]]&amp;" --&gt; "&amp;IF((mets24[[#This Row],[category]]="DNA")+(mets24[[#This Row],[category]]="RNA"),"MET-ppi_c + ","")&amp;ROUND(ABS(_xlpm.mw/1000),6)&amp;" BIO-"&amp;mets24[[#This Row],[name]]))</f>
        <v>MET-hdca_c --&gt; 0.255415 BIO-hdca_c</v>
      </c>
      <c r="M38" s="149" cm="1">
        <f t="array" ref="M3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-2.4389965870814895E-3</v>
      </c>
      <c r="N38" s="149"/>
      <c r="O38" s="149"/>
      <c r="P38" s="149"/>
      <c r="Q38" s="149"/>
      <c r="R38" s="149"/>
      <c r="S38" s="149"/>
      <c r="T38" s="149"/>
      <c r="U38" s="149"/>
      <c r="V38" s="149"/>
      <c r="AB38" t="str">
        <v>BIOSYN-COFACTOR-spmd_c</v>
      </c>
      <c r="AC38" t="str">
        <v>MET-spmd_c --&gt; 0.14827 BIO-spmd_c</v>
      </c>
    </row>
    <row r="39" spans="1:29" ht="16" x14ac:dyDescent="0.2">
      <c r="A39" s="144" t="s">
        <v>1238</v>
      </c>
      <c r="B39" t="str">
        <f>SUBSTITUTE(_xlfn.TEXTBEFORE(mets24[[#This Row],[pasted JSON metabolite keys and values from GSM biomass rxn]],":"),CHAR(34),"")</f>
        <v>hemeA_c</v>
      </c>
      <c r="C39" t="str">
        <f>_xlfn.TEXTBEFORE(mets24[[#This Row],[name]],"_",-1)</f>
        <v>hemeA</v>
      </c>
      <c r="D39" t="str">
        <f>_xlfn.XLOOKUP(mets24[[#This Row],[name w/o location]],metaboliteInfo[name w/o location],metaboliteInfo[suggested category],"")</f>
        <v>COFACTOR</v>
      </c>
      <c r="E39" s="21">
        <f>_xlfn.XLOOKUP(mets24[[#This Row],[name w/o location]],metaboliteInfo[name w/o location],metaboliteInfo[MW for biomass normalization (g/mol)],0)</f>
        <v>850.82126000000005</v>
      </c>
      <c r="F39" s="21">
        <f>_xlfn.NUMBERVALUE(SUBSTITUTE(_xlfn.TEXTAFTER(mets24[[#This Row],[pasted JSON metabolite keys and values from GSM biomass rxn]],":"),",",""))</f>
        <v>-1.01E-4</v>
      </c>
      <c r="G39" s="21" cm="1">
        <f t="array" ref="G39">_xlfn.LET(_xlpm.id,mets24[[#This Row],[name w/o location]],IF(IsElementOfSet_DIY(_xlpm.id,{"atp","adp","h","pi","h2o"}),SIGN(mets24[[#This Row],[raw (GSM) coefficient]])*(ABS(mets24[[#This Row],[raw (GSM) coefficient]])-$J$2),mets24[[#This Row],[raw (GSM) coefficient]]))</f>
        <v>-1.01E-4</v>
      </c>
      <c r="H39" s="21">
        <f>mets24[[#This Row],[coeff. w/o GAM]]</f>
        <v>-1.01E-4</v>
      </c>
      <c r="I39" s="161">
        <f t="shared" si="0"/>
        <v>-1.0100003807990364E-4</v>
      </c>
      <c r="J39" s="21" cm="1">
        <f t="array" ref="J39">_xlfn.LET(_xlpm.id,mets24[[#This Row],[name w/o location]],_xlpm.oldcoeff,mets24[[#This Row],[normalized coeffs]],_xlpm.gam,$J$2-$G$2,_xlfn.IFS(IFERROR(MATCH(_xlpm.id,{"atp","h2o"},0),0)&gt;0,_xlpm.oldcoeff-_xlpm.gam,IFERROR(MATCH(_xlpm.id,{"adp","h","pi"},0),0)&gt;0,_xlpm.oldcoeff+_xlpm.gam,TRUE,_xlpm.oldcoeff))</f>
        <v>-1.0100003807990364E-4</v>
      </c>
      <c r="K39" t="str" cm="1">
        <f t="array" ref="K39">"BIOSYN-"&amp;_xlfn.IFS(IFERROR(MATCH(mets24[[#This Row],[category]],{0,"0",""},0),0)&gt;0,mets24[[#This Row],[name]],TRUE,mets24[[#This Row],[category]]&amp;"-"&amp;mets24[[#This Row],[name]])</f>
        <v>BIOSYN-COFACTOR-hemeA_c</v>
      </c>
      <c r="L39" s="149" t="str" cm="1">
        <f t="array" ref="L39">IF(IsElementOfSet_DIY(mets24[[#This Row],[category]],{"ignore","PROT"}),"",_xlfn.LET(_xlpm.mw,mets24[[#This Row],[MW for biomass normalization (g/mol)]],"MET-"&amp;mets24[[#This Row],[name]]&amp;" --&gt; "&amp;IF((mets24[[#This Row],[category]]="DNA")+(mets24[[#This Row],[category]]="RNA"),"MET-ppi_c + ","")&amp;ROUND(ABS(_xlpm.mw/1000),6)&amp;" BIO-"&amp;mets24[[#This Row],[name]]))</f>
        <v>MET-hemeA_c --&gt; 0.850821 BIO-hemeA_c</v>
      </c>
      <c r="M39" s="149" cm="1">
        <f t="array" ref="M3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39" s="149"/>
      <c r="O39" s="149"/>
      <c r="P39" s="149"/>
      <c r="Q39" s="149"/>
      <c r="R39" s="149"/>
      <c r="S39" s="149"/>
      <c r="T39" s="149"/>
      <c r="U39" s="149"/>
      <c r="V39" s="149"/>
      <c r="AB39" t="str">
        <v>BIOSYN-COFACTOR-thf_c</v>
      </c>
      <c r="AC39" t="str">
        <v>MET-thf_c --&gt; 0.443413 BIO-thf_c</v>
      </c>
    </row>
    <row r="40" spans="1:29" ht="16" x14ac:dyDescent="0.2">
      <c r="A40" s="144" t="s">
        <v>1239</v>
      </c>
      <c r="B40" t="str">
        <f>SUBSTITUTE(_xlfn.TEXTBEFORE(mets24[[#This Row],[pasted JSON metabolite keys and values from GSM biomass rxn]],":"),CHAR(34),"")</f>
        <v>histrna_c</v>
      </c>
      <c r="C40" t="str">
        <f>_xlfn.TEXTBEFORE(mets24[[#This Row],[name]],"_",-1)</f>
        <v>histrna</v>
      </c>
      <c r="D40" t="str">
        <f>_xlfn.XLOOKUP(mets24[[#This Row],[name w/o location]],metaboliteInfo[name w/o location],metaboliteInfo[suggested category],"")</f>
        <v>PROT</v>
      </c>
      <c r="E40" s="21">
        <f>_xlfn.XLOOKUP(mets24[[#This Row],[name w/o location]],metaboliteInfo[name w/o location],metaboliteInfo[MW for biomass normalization (g/mol)],0)</f>
        <v>138.14722</v>
      </c>
      <c r="F40" s="21">
        <f>_xlfn.NUMBERVALUE(SUBSTITUTE(_xlfn.TEXTAFTER(mets24[[#This Row],[pasted JSON metabolite keys and values from GSM biomass rxn]],":"),",",""))</f>
        <v>-2.4007000000000001E-2</v>
      </c>
      <c r="G40" s="21" cm="1">
        <f t="array" ref="G40">_xlfn.LET(_xlpm.id,mets24[[#This Row],[name w/o location]],IF(IsElementOfSet_DIY(_xlpm.id,{"atp","adp","h","pi","h2o"}),SIGN(mets24[[#This Row],[raw (GSM) coefficient]])*(ABS(mets24[[#This Row],[raw (GSM) coefficient]])-$J$2),mets24[[#This Row],[raw (GSM) coefficient]]))</f>
        <v>-2.4007000000000001E-2</v>
      </c>
      <c r="H40" s="21">
        <f>mets24[[#This Row],[coeff. w/o GAM]]</f>
        <v>-2.4007000000000001E-2</v>
      </c>
      <c r="I40" s="161">
        <f t="shared" si="0"/>
        <v>-2.4007009051329173E-2</v>
      </c>
      <c r="J40" s="21" cm="1">
        <f t="array" ref="J40">_xlfn.LET(_xlpm.id,mets24[[#This Row],[name w/o location]],_xlpm.oldcoeff,mets24[[#This Row],[normalized coeffs]],_xlpm.gam,$J$2-$G$2,_xlfn.IFS(IFERROR(MATCH(_xlpm.id,{"atp","h2o"},0),0)&gt;0,_xlpm.oldcoeff-_xlpm.gam,IFERROR(MATCH(_xlpm.id,{"adp","h","pi"},0),0)&gt;0,_xlpm.oldcoeff+_xlpm.gam,TRUE,_xlpm.oldcoeff))</f>
        <v>-2.4007009051329173E-2</v>
      </c>
      <c r="K40" t="str" cm="1">
        <f t="array" ref="K40">"BIOSYN-"&amp;_xlfn.IFS(IFERROR(MATCH(mets24[[#This Row],[category]],{0,"0",""},0),0)&gt;0,mets24[[#This Row],[name]],TRUE,mets24[[#This Row],[category]]&amp;"-"&amp;mets24[[#This Row],[name]])</f>
        <v>BIOSYN-PROT-histrna_c</v>
      </c>
      <c r="L40" s="149" t="str" cm="1">
        <f t="array" ref="L40">IF(IsElementOfSet_DIY(mets24[[#This Row],[category]],{"ignore","PROT"}),"",_xlfn.LET(_xlpm.mw,mets24[[#This Row],[MW for biomass normalization (g/mol)]],"MET-"&amp;mets24[[#This Row],[name]]&amp;" --&gt; "&amp;IF((mets24[[#This Row],[category]]="DNA")+(mets24[[#This Row],[category]]="RNA"),"MET-ppi_c + ","")&amp;ROUND(ABS(_xlpm.mw/1000),6)&amp;" BIO-"&amp;mets24[[#This Row],[name]]))</f>
        <v/>
      </c>
      <c r="M40" s="149" cm="1">
        <f t="array" ref="M4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-2.4007036525397617E-2</v>
      </c>
      <c r="N40" s="149"/>
      <c r="O40" s="149"/>
      <c r="P40" s="149"/>
      <c r="Q40" s="149"/>
      <c r="R40" s="149"/>
      <c r="S40" s="149"/>
      <c r="T40" s="149"/>
      <c r="U40" s="149"/>
      <c r="V40" s="149"/>
      <c r="AB40" t="str">
        <v>BIOSYN-COFACTOR-thmpp_c</v>
      </c>
      <c r="AC40" t="str">
        <v>MET-thmpp_c --&gt; 0.422291 BIO-thmpp_c</v>
      </c>
    </row>
    <row r="41" spans="1:29" ht="16" x14ac:dyDescent="0.2">
      <c r="A41" s="144" t="s">
        <v>1240</v>
      </c>
      <c r="B41" t="str">
        <f>SUBSTITUTE(_xlfn.TEXTBEFORE(mets24[[#This Row],[pasted JSON metabolite keys and values from GSM biomass rxn]],":"),CHAR(34),"")</f>
        <v>iletrna_c</v>
      </c>
      <c r="C41" t="str">
        <f>_xlfn.TEXTBEFORE(mets24[[#This Row],[name]],"_",-1)</f>
        <v>iletrna</v>
      </c>
      <c r="D41" t="str">
        <f>_xlfn.XLOOKUP(mets24[[#This Row],[name w/o location]],metaboliteInfo[name w/o location],metaboliteInfo[suggested category],"")</f>
        <v>PROT</v>
      </c>
      <c r="E41" s="21">
        <f>_xlfn.XLOOKUP(mets24[[#This Row],[name w/o location]],metaboliteInfo[name w/o location],metaboliteInfo[MW for biomass normalization (g/mol)],0)</f>
        <v>114.16558000000001</v>
      </c>
      <c r="F41" s="21">
        <f>_xlfn.NUMBERVALUE(SUBSTITUTE(_xlfn.TEXTAFTER(mets24[[#This Row],[pasted JSON metabolite keys and values from GSM biomass rxn]],":"),",",""))</f>
        <v>-7.3264999999999997E-2</v>
      </c>
      <c r="G41" s="21" cm="1">
        <f t="array" ref="G41">_xlfn.LET(_xlpm.id,mets24[[#This Row],[name w/o location]],IF(IsElementOfSet_DIY(_xlpm.id,{"atp","adp","h","pi","h2o"}),SIGN(mets24[[#This Row],[raw (GSM) coefficient]])*(ABS(mets24[[#This Row],[raw (GSM) coefficient]])-$J$2),mets24[[#This Row],[raw (GSM) coefficient]]))</f>
        <v>-7.3264999999999997E-2</v>
      </c>
      <c r="H41" s="21">
        <f>mets24[[#This Row],[coeff. w/o GAM]]</f>
        <v>-7.3264999999999997E-2</v>
      </c>
      <c r="I41" s="161">
        <f t="shared" si="0"/>
        <v>-7.3265027623011278E-2</v>
      </c>
      <c r="J41" s="21" cm="1">
        <f t="array" ref="J41">_xlfn.LET(_xlpm.id,mets24[[#This Row],[name w/o location]],_xlpm.oldcoeff,mets24[[#This Row],[normalized coeffs]],_xlpm.gam,$J$2-$G$2,_xlfn.IFS(IFERROR(MATCH(_xlpm.id,{"atp","h2o"},0),0)&gt;0,_xlpm.oldcoeff-_xlpm.gam,IFERROR(MATCH(_xlpm.id,{"adp","h","pi"},0),0)&gt;0,_xlpm.oldcoeff+_xlpm.gam,TRUE,_xlpm.oldcoeff))</f>
        <v>-7.3265027623011278E-2</v>
      </c>
      <c r="K41" t="str" cm="1">
        <f t="array" ref="K41">"BIOSYN-"&amp;_xlfn.IFS(IFERROR(MATCH(mets24[[#This Row],[category]],{0,"0",""},0),0)&gt;0,mets24[[#This Row],[name]],TRUE,mets24[[#This Row],[category]]&amp;"-"&amp;mets24[[#This Row],[name]])</f>
        <v>BIOSYN-PROT-iletrna_c</v>
      </c>
      <c r="L41" s="149" t="str" cm="1">
        <f t="array" ref="L41">IF(IsElementOfSet_DIY(mets24[[#This Row],[category]],{"ignore","PROT"}),"",_xlfn.LET(_xlpm.mw,mets24[[#This Row],[MW for biomass normalization (g/mol)]],"MET-"&amp;mets24[[#This Row],[name]]&amp;" --&gt; "&amp;IF((mets24[[#This Row],[category]]="DNA")+(mets24[[#This Row],[category]]="RNA"),"MET-ppi_c + ","")&amp;ROUND(ABS(_xlpm.mw/1000),6)&amp;" BIO-"&amp;mets24[[#This Row],[name]]))</f>
        <v/>
      </c>
      <c r="M41" s="149" cm="1">
        <f t="array" ref="M4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-7.326511146887392E-2</v>
      </c>
      <c r="N41" s="149"/>
      <c r="O41" s="149"/>
      <c r="P41" s="149"/>
      <c r="Q41" s="149"/>
      <c r="R41" s="149"/>
      <c r="S41" s="149"/>
      <c r="T41" s="149"/>
      <c r="U41" s="149"/>
      <c r="V41" s="149"/>
      <c r="AB41" t="str">
        <v>BIOSYN-DNA-datp_c</v>
      </c>
      <c r="AC41" t="str">
        <v>MET-datp_c --&gt; MET-ppi_c + 0.312199 BIO-datp_c</v>
      </c>
    </row>
    <row r="42" spans="1:29" ht="16" x14ac:dyDescent="0.2">
      <c r="A42" s="144" t="s">
        <v>1241</v>
      </c>
      <c r="B42" t="str">
        <f>SUBSTITUTE(_xlfn.TEXTBEFORE(mets24[[#This Row],[pasted JSON metabolite keys and values from GSM biomass rxn]],":"),CHAR(34),"")</f>
        <v>ipc_g</v>
      </c>
      <c r="C42" t="str">
        <f>_xlfn.TEXTBEFORE(mets24[[#This Row],[name]],"_",-1)</f>
        <v>ipc</v>
      </c>
      <c r="D42" t="str">
        <f>_xlfn.XLOOKUP(mets24[[#This Row],[name w/o location]],metaboliteInfo[name w/o location],metaboliteInfo[suggested category],"")</f>
        <v>LIPID</v>
      </c>
      <c r="E42" s="21">
        <f>_xlfn.XLOOKUP(mets24[[#This Row],[name w/o location]],metaboliteInfo[name w/o location],metaboliteInfo[MW for biomass normalization (g/mol)],0)</f>
        <v>915.26344200000005</v>
      </c>
      <c r="F42" s="21">
        <f>_xlfn.NUMBERVALUE(SUBSTITUTE(_xlfn.TEXTAFTER(mets24[[#This Row],[pasted JSON metabolite keys and values from GSM biomass rxn]],":"),",",""))</f>
        <v>-1.4553999999999999E-2</v>
      </c>
      <c r="G42" s="21" cm="1">
        <f t="array" ref="G42">_xlfn.LET(_xlpm.id,mets24[[#This Row],[name w/o location]],IF(IsElementOfSet_DIY(_xlpm.id,{"atp","adp","h","pi","h2o"}),SIGN(mets24[[#This Row],[raw (GSM) coefficient]])*(ABS(mets24[[#This Row],[raw (GSM) coefficient]])-$J$2),mets24[[#This Row],[raw (GSM) coefficient]]))</f>
        <v>-1.4553999999999999E-2</v>
      </c>
      <c r="H42" s="21">
        <f>mets24[[#This Row],[coeff. w/o GAM]]</f>
        <v>-1.4553999999999999E-2</v>
      </c>
      <c r="I42" s="161">
        <f t="shared" si="0"/>
        <v>-1.455400548727641E-2</v>
      </c>
      <c r="J42" s="21" cm="1">
        <f t="array" ref="J42">_xlfn.LET(_xlpm.id,mets24[[#This Row],[name w/o location]],_xlpm.oldcoeff,mets24[[#This Row],[normalized coeffs]],_xlpm.gam,$J$2-$G$2,_xlfn.IFS(IFERROR(MATCH(_xlpm.id,{"atp","h2o"},0),0)&gt;0,_xlpm.oldcoeff-_xlpm.gam,IFERROR(MATCH(_xlpm.id,{"adp","h","pi"},0),0)&gt;0,_xlpm.oldcoeff+_xlpm.gam,TRUE,_xlpm.oldcoeff))</f>
        <v>-1.455400548727641E-2</v>
      </c>
      <c r="K42" t="str" cm="1">
        <f t="array" ref="K42">"BIOSYN-"&amp;_xlfn.IFS(IFERROR(MATCH(mets24[[#This Row],[category]],{0,"0",""},0),0)&gt;0,mets24[[#This Row],[name]],TRUE,mets24[[#This Row],[category]]&amp;"-"&amp;mets24[[#This Row],[name]])</f>
        <v>BIOSYN-LIPID-ipc_g</v>
      </c>
      <c r="L42" s="149" t="str" cm="1">
        <f t="array" ref="L42">IF(IsElementOfSet_DIY(mets24[[#This Row],[category]],{"ignore","PROT"}),"",_xlfn.LET(_xlpm.mw,mets24[[#This Row],[MW for biomass normalization (g/mol)]],"MET-"&amp;mets24[[#This Row],[name]]&amp;" --&gt; "&amp;IF((mets24[[#This Row],[category]]="DNA")+(mets24[[#This Row],[category]]="RNA"),"MET-ppi_c + ","")&amp;ROUND(ABS(_xlpm.mw/1000),6)&amp;" BIO-"&amp;mets24[[#This Row],[name]]))</f>
        <v>MET-ipc_g --&gt; 0.915263 BIO-ipc_g</v>
      </c>
      <c r="M42" s="149" cm="1">
        <f t="array" ref="M4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-1.4553979634433783E-2</v>
      </c>
      <c r="N42" s="149"/>
      <c r="O42" s="149"/>
      <c r="P42" s="149"/>
      <c r="Q42" s="149"/>
      <c r="R42" s="149"/>
      <c r="S42" s="149"/>
      <c r="T42" s="149"/>
      <c r="U42" s="149"/>
      <c r="V42" s="149"/>
      <c r="AB42" t="str">
        <v>BIOSYN-DNA-dctp_c</v>
      </c>
      <c r="AC42" t="str">
        <v>MET-dctp_c --&gt; MET-ppi_c + 0.288174 BIO-dctp_c</v>
      </c>
    </row>
    <row r="43" spans="1:29" ht="16" x14ac:dyDescent="0.2">
      <c r="A43" s="144" t="s">
        <v>1242</v>
      </c>
      <c r="B43" t="str">
        <f>SUBSTITUTE(_xlfn.TEXTBEFORE(mets24[[#This Row],[pasted JSON metabolite keys and values from GSM biomass rxn]],":"),CHAR(34),"")</f>
        <v>k_c</v>
      </c>
      <c r="C43" t="str">
        <f>_xlfn.TEXTBEFORE(mets24[[#This Row],[name]],"_",-1)</f>
        <v>k</v>
      </c>
      <c r="D43" t="str">
        <f>_xlfn.XLOOKUP(mets24[[#This Row],[name w/o location]],metaboliteInfo[name w/o location],metaboliteInfo[suggested category],"")</f>
        <v>METAL</v>
      </c>
      <c r="E43" s="21">
        <f>_xlfn.XLOOKUP(mets24[[#This Row],[name w/o location]],metaboliteInfo[name w/o location],metaboliteInfo[MW for biomass normalization (g/mol)],0)</f>
        <v>39.098300000000002</v>
      </c>
      <c r="F43" s="21">
        <f>_xlfn.NUMBERVALUE(SUBSTITUTE(_xlfn.TEXTAFTER(mets24[[#This Row],[pasted JSON metabolite keys and values from GSM biomass rxn]],":"),",",""))</f>
        <v>-0.60873200000000005</v>
      </c>
      <c r="G43" s="21" cm="1">
        <f t="array" ref="G43">_xlfn.LET(_xlpm.id,mets24[[#This Row],[name w/o location]],IF(IsElementOfSet_DIY(_xlpm.id,{"atp","adp","h","pi","h2o"}),SIGN(mets24[[#This Row],[raw (GSM) coefficient]])*(ABS(mets24[[#This Row],[raw (GSM) coefficient]])-$J$2),mets24[[#This Row],[raw (GSM) coefficient]]))</f>
        <v>-0.60873200000000005</v>
      </c>
      <c r="H43" s="21">
        <f>mets24[[#This Row],[coeff. w/o GAM]]</f>
        <v>-0.60873200000000005</v>
      </c>
      <c r="I43" s="161">
        <f t="shared" si="0"/>
        <v>-0.60873222950946437</v>
      </c>
      <c r="J43" s="21" cm="1">
        <f t="array" ref="J43">_xlfn.LET(_xlpm.id,mets24[[#This Row],[name w/o location]],_xlpm.oldcoeff,mets24[[#This Row],[normalized coeffs]],_xlpm.gam,$J$2-$G$2,_xlfn.IFS(IFERROR(MATCH(_xlpm.id,{"atp","h2o"},0),0)&gt;0,_xlpm.oldcoeff-_xlpm.gam,IFERROR(MATCH(_xlpm.id,{"adp","h","pi"},0),0)&gt;0,_xlpm.oldcoeff+_xlpm.gam,TRUE,_xlpm.oldcoeff))</f>
        <v>-0.60873222950946437</v>
      </c>
      <c r="K43" t="str" cm="1">
        <f t="array" ref="K43">"BIOSYN-"&amp;_xlfn.IFS(IFERROR(MATCH(mets24[[#This Row],[category]],{0,"0",""},0),0)&gt;0,mets24[[#This Row],[name]],TRUE,mets24[[#This Row],[category]]&amp;"-"&amp;mets24[[#This Row],[name]])</f>
        <v>BIOSYN-METAL-k_c</v>
      </c>
      <c r="L43" s="149" t="str" cm="1">
        <f t="array" ref="L43">IF(IsElementOfSet_DIY(mets24[[#This Row],[category]],{"ignore","PROT"}),"",_xlfn.LET(_xlpm.mw,mets24[[#This Row],[MW for biomass normalization (g/mol)]],"MET-"&amp;mets24[[#This Row],[name]]&amp;" --&gt; "&amp;IF((mets24[[#This Row],[category]]="DNA")+(mets24[[#This Row],[category]]="RNA"),"MET-ppi_c + ","")&amp;ROUND(ABS(_xlpm.mw/1000),6)&amp;" BIO-"&amp;mets24[[#This Row],[name]]))</f>
        <v>MET-k_c --&gt; 0.039098 BIO-k_c</v>
      </c>
      <c r="M43" s="149" cm="1">
        <f t="array" ref="M4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-0.60873222950946437</v>
      </c>
      <c r="N43" s="149"/>
      <c r="O43" s="149"/>
      <c r="P43" s="149"/>
      <c r="Q43" s="149"/>
      <c r="R43" s="149"/>
      <c r="S43" s="149"/>
      <c r="T43" s="149"/>
      <c r="U43" s="149"/>
      <c r="V43" s="149"/>
      <c r="AB43" t="str">
        <v>BIOSYN-DNA-dgtp_c</v>
      </c>
      <c r="AC43" t="str">
        <v>MET-dgtp_c --&gt; MET-ppi_c + 0.328198 BIO-dgtp_c</v>
      </c>
    </row>
    <row r="44" spans="1:29" ht="16" x14ac:dyDescent="0.2">
      <c r="A44" s="144" t="s">
        <v>1243</v>
      </c>
      <c r="B44" t="str">
        <f>SUBSTITUTE(_xlfn.TEXTBEFORE(mets24[[#This Row],[pasted JSON metabolite keys and values from GSM biomass rxn]],":"),CHAR(34),"")</f>
        <v>leutrna_c</v>
      </c>
      <c r="C44" t="str">
        <f>_xlfn.TEXTBEFORE(mets24[[#This Row],[name]],"_",-1)</f>
        <v>leutrna</v>
      </c>
      <c r="D44" t="str">
        <f>_xlfn.XLOOKUP(mets24[[#This Row],[name w/o location]],metaboliteInfo[name w/o location],metaboliteInfo[suggested category],"")</f>
        <v>PROT</v>
      </c>
      <c r="E44" s="21">
        <f>_xlfn.XLOOKUP(mets24[[#This Row],[name w/o location]],metaboliteInfo[name w/o location],metaboliteInfo[MW for biomass normalization (g/mol)],0)</f>
        <v>114.16558000000001</v>
      </c>
      <c r="F44" s="21">
        <f>_xlfn.NUMBERVALUE(SUBSTITUTE(_xlfn.TEXTAFTER(mets24[[#This Row],[pasted JSON metabolite keys and values from GSM biomass rxn]],":"),",",""))</f>
        <v>-9.9636000000000002E-2</v>
      </c>
      <c r="G44" s="21" cm="1">
        <f t="array" ref="G44">_xlfn.LET(_xlpm.id,mets24[[#This Row],[name w/o location]],IF(IsElementOfSet_DIY(_xlpm.id,{"atp","adp","h","pi","h2o"}),SIGN(mets24[[#This Row],[raw (GSM) coefficient]])*(ABS(mets24[[#This Row],[raw (GSM) coefficient]])-$J$2),mets24[[#This Row],[raw (GSM) coefficient]]))</f>
        <v>-9.9636000000000002E-2</v>
      </c>
      <c r="H44" s="21">
        <f>mets24[[#This Row],[coeff. w/o GAM]]</f>
        <v>-9.9636000000000002E-2</v>
      </c>
      <c r="I44" s="161">
        <f t="shared" si="0"/>
        <v>-9.9636037565636423E-2</v>
      </c>
      <c r="J44" s="21" cm="1">
        <f t="array" ref="J44">_xlfn.LET(_xlpm.id,mets24[[#This Row],[name w/o location]],_xlpm.oldcoeff,mets24[[#This Row],[normalized coeffs]],_xlpm.gam,$J$2-$G$2,_xlfn.IFS(IFERROR(MATCH(_xlpm.id,{"atp","h2o"},0),0)&gt;0,_xlpm.oldcoeff-_xlpm.gam,IFERROR(MATCH(_xlpm.id,{"adp","h","pi"},0),0)&gt;0,_xlpm.oldcoeff+_xlpm.gam,TRUE,_xlpm.oldcoeff))</f>
        <v>-9.9636037565636423E-2</v>
      </c>
      <c r="K44" t="str" cm="1">
        <f t="array" ref="K44">"BIOSYN-"&amp;_xlfn.IFS(IFERROR(MATCH(mets24[[#This Row],[category]],{0,"0",""},0),0)&gt;0,mets24[[#This Row],[name]],TRUE,mets24[[#This Row],[category]]&amp;"-"&amp;mets24[[#This Row],[name]])</f>
        <v>BIOSYN-PROT-leutrna_c</v>
      </c>
      <c r="L44" s="149" t="str" cm="1">
        <f t="array" ref="L44">IF(IsElementOfSet_DIY(mets24[[#This Row],[category]],{"ignore","PROT"}),"",_xlfn.LET(_xlpm.mw,mets24[[#This Row],[MW for biomass normalization (g/mol)]],"MET-"&amp;mets24[[#This Row],[name]]&amp;" --&gt; "&amp;IF((mets24[[#This Row],[category]]="DNA")+(mets24[[#This Row],[category]]="RNA"),"MET-ppi_c + ","")&amp;ROUND(ABS(_xlpm.mw/1000),6)&amp;" BIO-"&amp;mets24[[#This Row],[name]]))</f>
        <v/>
      </c>
      <c r="M44" s="149" cm="1">
        <f t="array" ref="M4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-9.9636151590974179E-2</v>
      </c>
      <c r="N44" s="149"/>
      <c r="O44" s="149"/>
      <c r="P44" s="149"/>
      <c r="Q44" s="149"/>
      <c r="R44" s="149"/>
      <c r="S44" s="149"/>
      <c r="T44" s="149"/>
      <c r="U44" s="149"/>
      <c r="V44" s="149"/>
      <c r="AB44" t="str">
        <v>BIOSYN-DNA-dttp_c</v>
      </c>
      <c r="AC44" t="str">
        <v>MET-dttp_c --&gt; MET-ppi_c + 0.303185 BIO-dttp_c</v>
      </c>
    </row>
    <row r="45" spans="1:29" ht="16" x14ac:dyDescent="0.2">
      <c r="A45" s="144" t="s">
        <v>1244</v>
      </c>
      <c r="B45" t="str">
        <f>SUBSTITUTE(_xlfn.TEXTBEFORE(mets24[[#This Row],[pasted JSON metabolite keys and values from GSM biomass rxn]],":"),CHAR(34),"")</f>
        <v>linoea_c</v>
      </c>
      <c r="C45" t="str">
        <f>_xlfn.TEXTBEFORE(mets24[[#This Row],[name]],"_",-1)</f>
        <v>linoea</v>
      </c>
      <c r="D45" t="str">
        <f>_xlfn.XLOOKUP(mets24[[#This Row],[name w/o location]],metaboliteInfo[name w/o location],metaboliteInfo[suggested category],"")</f>
        <v>LIPID</v>
      </c>
      <c r="E45" s="21">
        <f>_xlfn.XLOOKUP(mets24[[#This Row],[name w/o location]],metaboliteInfo[name w/o location],metaboliteInfo[MW for biomass normalization (g/mol)],0)</f>
        <v>279.43673999999999</v>
      </c>
      <c r="F45" s="21">
        <f>_xlfn.NUMBERVALUE(SUBSTITUTE(_xlfn.TEXTAFTER(mets24[[#This Row],[pasted JSON metabolite keys and values from GSM biomass rxn]],":"),",",""))</f>
        <v>-3.081E-3</v>
      </c>
      <c r="G45" s="21" cm="1">
        <f t="array" ref="G45">_xlfn.LET(_xlpm.id,mets24[[#This Row],[name w/o location]],IF(IsElementOfSet_DIY(_xlpm.id,{"atp","adp","h","pi","h2o"}),SIGN(mets24[[#This Row],[raw (GSM) coefficient]])*(ABS(mets24[[#This Row],[raw (GSM) coefficient]])-$J$2),mets24[[#This Row],[raw (GSM) coefficient]]))</f>
        <v>-3.081E-3</v>
      </c>
      <c r="H45" s="21">
        <f>mets24[[#This Row],[coeff. w/o GAM]]</f>
        <v>-3.081E-3</v>
      </c>
      <c r="I45" s="161">
        <f t="shared" si="0"/>
        <v>-3.0810011616255752E-3</v>
      </c>
      <c r="J45" s="21" cm="1">
        <f t="array" ref="J45">_xlfn.LET(_xlpm.id,mets24[[#This Row],[name w/o location]],_xlpm.oldcoeff,mets24[[#This Row],[normalized coeffs]],_xlpm.gam,$J$2-$G$2,_xlfn.IFS(IFERROR(MATCH(_xlpm.id,{"atp","h2o"},0),0)&gt;0,_xlpm.oldcoeff-_xlpm.gam,IFERROR(MATCH(_xlpm.id,{"adp","h","pi"},0),0)&gt;0,_xlpm.oldcoeff+_xlpm.gam,TRUE,_xlpm.oldcoeff))</f>
        <v>-3.0810011616255752E-3</v>
      </c>
      <c r="K45" t="str" cm="1">
        <f t="array" ref="K45">"BIOSYN-"&amp;_xlfn.IFS(IFERROR(MATCH(mets24[[#This Row],[category]],{0,"0",""},0),0)&gt;0,mets24[[#This Row],[name]],TRUE,mets24[[#This Row],[category]]&amp;"-"&amp;mets24[[#This Row],[name]])</f>
        <v>BIOSYN-LIPID-linoea_c</v>
      </c>
      <c r="L45" s="149" t="str" cm="1">
        <f t="array" ref="L45">IF(IsElementOfSet_DIY(mets24[[#This Row],[category]],{"ignore","PROT"}),"",_xlfn.LET(_xlpm.mw,mets24[[#This Row],[MW for biomass normalization (g/mol)]],"MET-"&amp;mets24[[#This Row],[name]]&amp;" --&gt; "&amp;IF((mets24[[#This Row],[category]]="DNA")+(mets24[[#This Row],[category]]="RNA"),"MET-ppi_c + ","")&amp;ROUND(ABS(_xlpm.mw/1000),6)&amp;" BIO-"&amp;mets24[[#This Row],[name]]))</f>
        <v>MET-linoea_c --&gt; 0.279437 BIO-linoea_c</v>
      </c>
      <c r="M45" s="149" cm="1">
        <f t="array" ref="M4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-3.0809956887240956E-3</v>
      </c>
      <c r="N45" s="149"/>
      <c r="O45" s="149"/>
      <c r="P45" s="149"/>
      <c r="Q45" s="149"/>
      <c r="R45" s="149"/>
      <c r="S45" s="149"/>
      <c r="T45" s="149"/>
      <c r="U45" s="149"/>
      <c r="V45" s="149"/>
      <c r="AB45" t="str">
        <v>BIOSYN-LIPID-docosa_c</v>
      </c>
      <c r="AC45" t="str">
        <v>MET-docosa_c --&gt; 0.339575 BIO-docosa_c</v>
      </c>
    </row>
    <row r="46" spans="1:29" ht="16" x14ac:dyDescent="0.2">
      <c r="A46" s="144" t="s">
        <v>1245</v>
      </c>
      <c r="B46" t="str">
        <f>SUBSTITUTE(_xlfn.TEXTBEFORE(mets24[[#This Row],[pasted JSON metabolite keys and values from GSM biomass rxn]],":"),CHAR(34),"")</f>
        <v>linolen_c</v>
      </c>
      <c r="C46" t="str">
        <f>_xlfn.TEXTBEFORE(mets24[[#This Row],[name]],"_",-1)</f>
        <v>linolen</v>
      </c>
      <c r="D46" t="str">
        <f>_xlfn.XLOOKUP(mets24[[#This Row],[name w/o location]],metaboliteInfo[name w/o location],metaboliteInfo[suggested category],"")</f>
        <v>LIPID</v>
      </c>
      <c r="E46" s="21">
        <f>_xlfn.XLOOKUP(mets24[[#This Row],[name w/o location]],metaboliteInfo[name w/o location],metaboliteInfo[MW for biomass normalization (g/mol)],0)</f>
        <v>277.42086</v>
      </c>
      <c r="F46" s="21">
        <f>_xlfn.NUMBERVALUE(SUBSTITUTE(_xlfn.TEXTAFTER(mets24[[#This Row],[pasted JSON metabolite keys and values from GSM biomass rxn]],":"),",",""))</f>
        <v>-1.219E-3</v>
      </c>
      <c r="G46" s="21" cm="1">
        <f t="array" ref="G46">_xlfn.LET(_xlpm.id,mets24[[#This Row],[name w/o location]],IF(IsElementOfSet_DIY(_xlpm.id,{"atp","adp","h","pi","h2o"}),SIGN(mets24[[#This Row],[raw (GSM) coefficient]])*(ABS(mets24[[#This Row],[raw (GSM) coefficient]])-$J$2),mets24[[#This Row],[raw (GSM) coefficient]]))</f>
        <v>-1.219E-3</v>
      </c>
      <c r="H46" s="21">
        <f>mets24[[#This Row],[coeff. w/o GAM]]</f>
        <v>-1.219E-3</v>
      </c>
      <c r="I46" s="161">
        <f t="shared" si="0"/>
        <v>-1.2190004595980448E-3</v>
      </c>
      <c r="J46" s="21" cm="1">
        <f t="array" ref="J46">_xlfn.LET(_xlpm.id,mets24[[#This Row],[name w/o location]],_xlpm.oldcoeff,mets24[[#This Row],[normalized coeffs]],_xlpm.gam,$J$2-$G$2,_xlfn.IFS(IFERROR(MATCH(_xlpm.id,{"atp","h2o"},0),0)&gt;0,_xlpm.oldcoeff-_xlpm.gam,IFERROR(MATCH(_xlpm.id,{"adp","h","pi"},0),0)&gt;0,_xlpm.oldcoeff+_xlpm.gam,TRUE,_xlpm.oldcoeff))</f>
        <v>-1.2190004595980448E-3</v>
      </c>
      <c r="K46" t="str" cm="1">
        <f t="array" ref="K46">"BIOSYN-"&amp;_xlfn.IFS(IFERROR(MATCH(mets24[[#This Row],[category]],{0,"0",""},0),0)&gt;0,mets24[[#This Row],[name]],TRUE,mets24[[#This Row],[category]]&amp;"-"&amp;mets24[[#This Row],[name]])</f>
        <v>BIOSYN-LIPID-linolen_c</v>
      </c>
      <c r="L46" s="149" t="str" cm="1">
        <f t="array" ref="L46">IF(IsElementOfSet_DIY(mets24[[#This Row],[category]],{"ignore","PROT"}),"",_xlfn.LET(_xlpm.mw,mets24[[#This Row],[MW for biomass normalization (g/mol)]],"MET-"&amp;mets24[[#This Row],[name]]&amp;" --&gt; "&amp;IF((mets24[[#This Row],[category]]="DNA")+(mets24[[#This Row],[category]]="RNA"),"MET-ppi_c + ","")&amp;ROUND(ABS(_xlpm.mw/1000),6)&amp;" BIO-"&amp;mets24[[#This Row],[name]]))</f>
        <v>MET-linolen_c --&gt; 0.277421 BIO-linolen_c</v>
      </c>
      <c r="M46" s="149" cm="1">
        <f t="array" ref="M4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-1.2189982942404001E-3</v>
      </c>
      <c r="N46" s="149"/>
      <c r="O46" s="149"/>
      <c r="P46" s="149"/>
      <c r="Q46" s="149"/>
      <c r="R46" s="149"/>
      <c r="S46" s="149"/>
      <c r="T46" s="149"/>
      <c r="U46" s="149"/>
      <c r="V46" s="149"/>
      <c r="AB46" t="str">
        <v>BIOSYN-LIPID-epist_c</v>
      </c>
      <c r="AC46" t="str">
        <v>MET-epist_c --&gt; 0.398664 BIO-epist_c</v>
      </c>
    </row>
    <row r="47" spans="1:29" ht="16" x14ac:dyDescent="0.2">
      <c r="A47" s="144" t="s">
        <v>1246</v>
      </c>
      <c r="B47" t="str">
        <f>SUBSTITUTE(_xlfn.TEXTBEFORE(mets24[[#This Row],[pasted JSON metabolite keys and values from GSM biomass rxn]],":"),CHAR(34),"")</f>
        <v>lystrna_c</v>
      </c>
      <c r="C47" t="str">
        <f>_xlfn.TEXTBEFORE(mets24[[#This Row],[name]],"_",-1)</f>
        <v>lystrna</v>
      </c>
      <c r="D47" t="str">
        <f>_xlfn.XLOOKUP(mets24[[#This Row],[name w/o location]],metaboliteInfo[name w/o location],metaboliteInfo[suggested category],"")</f>
        <v>PROT</v>
      </c>
      <c r="E47" s="21">
        <f>_xlfn.XLOOKUP(mets24[[#This Row],[name w/o location]],metaboliteInfo[name w/o location],metaboliteInfo[MW for biomass normalization (g/mol)],0)</f>
        <v>130.18816000000001</v>
      </c>
      <c r="F47" s="21">
        <f>_xlfn.NUMBERVALUE(SUBSTITUTE(_xlfn.TEXTAFTER(mets24[[#This Row],[pasted JSON metabolite keys and values from GSM biomass rxn]],":"),",",""))</f>
        <v>-8.1724000000000005E-2</v>
      </c>
      <c r="G47" s="21" cm="1">
        <f t="array" ref="G47">_xlfn.LET(_xlpm.id,mets24[[#This Row],[name w/o location]],IF(IsElementOfSet_DIY(_xlpm.id,{"atp","adp","h","pi","h2o"}),SIGN(mets24[[#This Row],[raw (GSM) coefficient]])*(ABS(mets24[[#This Row],[raw (GSM) coefficient]])-$J$2),mets24[[#This Row],[raw (GSM) coefficient]]))</f>
        <v>-8.1724000000000005E-2</v>
      </c>
      <c r="H47" s="21">
        <f>mets24[[#This Row],[coeff. w/o GAM]]</f>
        <v>-8.1724000000000005E-2</v>
      </c>
      <c r="I47" s="161">
        <f t="shared" si="0"/>
        <v>-8.1724030812297468E-2</v>
      </c>
      <c r="J47" s="21" cm="1">
        <f t="array" ref="J47">_xlfn.LET(_xlpm.id,mets24[[#This Row],[name w/o location]],_xlpm.oldcoeff,mets24[[#This Row],[normalized coeffs]],_xlpm.gam,$J$2-$G$2,_xlfn.IFS(IFERROR(MATCH(_xlpm.id,{"atp","h2o"},0),0)&gt;0,_xlpm.oldcoeff-_xlpm.gam,IFERROR(MATCH(_xlpm.id,{"adp","h","pi"},0),0)&gt;0,_xlpm.oldcoeff+_xlpm.gam,TRUE,_xlpm.oldcoeff))</f>
        <v>-8.1724030812297468E-2</v>
      </c>
      <c r="K47" t="str" cm="1">
        <f t="array" ref="K47">"BIOSYN-"&amp;_xlfn.IFS(IFERROR(MATCH(mets24[[#This Row],[category]],{0,"0",""},0),0)&gt;0,mets24[[#This Row],[name]],TRUE,mets24[[#This Row],[category]]&amp;"-"&amp;mets24[[#This Row],[name]])</f>
        <v>BIOSYN-PROT-lystrna_c</v>
      </c>
      <c r="L47" s="149" t="str" cm="1">
        <f t="array" ref="L47">IF(IsElementOfSet_DIY(mets24[[#This Row],[category]],{"ignore","PROT"}),"",_xlfn.LET(_xlpm.mw,mets24[[#This Row],[MW for biomass normalization (g/mol)]],"MET-"&amp;mets24[[#This Row],[name]]&amp;" --&gt; "&amp;IF((mets24[[#This Row],[category]]="DNA")+(mets24[[#This Row],[category]]="RNA"),"MET-ppi_c + ","")&amp;ROUND(ABS(_xlpm.mw/1000),6)&amp;" BIO-"&amp;mets24[[#This Row],[name]]))</f>
        <v/>
      </c>
      <c r="M47" s="149" cm="1">
        <f t="array" ref="M4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-8.1724124338800969E-2</v>
      </c>
      <c r="N47" s="149"/>
      <c r="O47" s="149"/>
      <c r="P47" s="149"/>
      <c r="Q47" s="149"/>
      <c r="R47" s="149"/>
      <c r="S47" s="149"/>
      <c r="T47" s="149"/>
      <c r="U47" s="149"/>
      <c r="V47" s="149"/>
      <c r="AB47" t="str">
        <v>BIOSYN-LIPID-hdca_c</v>
      </c>
      <c r="AC47" t="str">
        <v>MET-hdca_c --&gt; 0.255415 BIO-hdca_c</v>
      </c>
    </row>
    <row r="48" spans="1:29" ht="16" x14ac:dyDescent="0.2">
      <c r="A48" s="144" t="s">
        <v>1247</v>
      </c>
      <c r="B48" t="str">
        <f>SUBSTITUTE(_xlfn.TEXTBEFORE(mets24[[#This Row],[pasted JSON metabolite keys and values from GSM biomass rxn]],":"),CHAR(34),"")</f>
        <v>mettrna_c</v>
      </c>
      <c r="C48" t="str">
        <f>_xlfn.TEXTBEFORE(mets24[[#This Row],[name]],"_",-1)</f>
        <v>mettrna</v>
      </c>
      <c r="D48" t="str">
        <f>_xlfn.XLOOKUP(mets24[[#This Row],[name w/o location]],metaboliteInfo[name w/o location],metaboliteInfo[suggested category],"")</f>
        <v>PROT</v>
      </c>
      <c r="E48" s="21">
        <f>_xlfn.XLOOKUP(mets24[[#This Row],[name w/o location]],metaboliteInfo[name w/o location],metaboliteInfo[MW for biomass normalization (g/mol)],0)</f>
        <v>132.20400000000001</v>
      </c>
      <c r="F48" s="21">
        <f>_xlfn.NUMBERVALUE(SUBSTITUTE(_xlfn.TEXTAFTER(mets24[[#This Row],[pasted JSON metabolite keys and values from GSM biomass rxn]],":"),",",""))</f>
        <v>-1.418E-2</v>
      </c>
      <c r="G48" s="21" cm="1">
        <f t="array" ref="G48">_xlfn.LET(_xlpm.id,mets24[[#This Row],[name w/o location]],IF(IsElementOfSet_DIY(_xlpm.id,{"atp","adp","h","pi","h2o"}),SIGN(mets24[[#This Row],[raw (GSM) coefficient]])*(ABS(mets24[[#This Row],[raw (GSM) coefficient]])-$J$2),mets24[[#This Row],[raw (GSM) coefficient]]))</f>
        <v>-1.418E-2</v>
      </c>
      <c r="H48" s="21">
        <f>mets24[[#This Row],[coeff. w/o GAM]]</f>
        <v>-1.418E-2</v>
      </c>
      <c r="I48" s="161">
        <f t="shared" si="0"/>
        <v>-1.4180005346267658E-2</v>
      </c>
      <c r="J48" s="21" cm="1">
        <f t="array" ref="J48">_xlfn.LET(_xlpm.id,mets24[[#This Row],[name w/o location]],_xlpm.oldcoeff,mets24[[#This Row],[normalized coeffs]],_xlpm.gam,$J$2-$G$2,_xlfn.IFS(IFERROR(MATCH(_xlpm.id,{"atp","h2o"},0),0)&gt;0,_xlpm.oldcoeff-_xlpm.gam,IFERROR(MATCH(_xlpm.id,{"adp","h","pi"},0),0)&gt;0,_xlpm.oldcoeff+_xlpm.gam,TRUE,_xlpm.oldcoeff))</f>
        <v>-1.4180005346267658E-2</v>
      </c>
      <c r="K48" t="str" cm="1">
        <f t="array" ref="K48">"BIOSYN-"&amp;_xlfn.IFS(IFERROR(MATCH(mets24[[#This Row],[category]],{0,"0",""},0),0)&gt;0,mets24[[#This Row],[name]],TRUE,mets24[[#This Row],[category]]&amp;"-"&amp;mets24[[#This Row],[name]])</f>
        <v>BIOSYN-PROT-mettrna_c</v>
      </c>
      <c r="L48" s="149" t="str" cm="1">
        <f t="array" ref="L48">IF(IsElementOfSet_DIY(mets24[[#This Row],[category]],{"ignore","PROT"}),"",_xlfn.LET(_xlpm.mw,mets24[[#This Row],[MW for biomass normalization (g/mol)]],"MET-"&amp;mets24[[#This Row],[name]]&amp;" --&gt; "&amp;IF((mets24[[#This Row],[category]]="DNA")+(mets24[[#This Row],[category]]="RNA"),"MET-ppi_c + ","")&amp;ROUND(ABS(_xlpm.mw/1000),6)&amp;" BIO-"&amp;mets24[[#This Row],[name]]))</f>
        <v/>
      </c>
      <c r="M48" s="149" cm="1">
        <f t="array" ref="M4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-1.418002157412997E-2</v>
      </c>
      <c r="N48" s="149"/>
      <c r="O48" s="149"/>
      <c r="P48" s="149"/>
      <c r="Q48" s="149"/>
      <c r="R48" s="149"/>
      <c r="S48" s="149"/>
      <c r="T48" s="149"/>
      <c r="U48" s="149"/>
      <c r="V48" s="149"/>
      <c r="AB48" t="str">
        <v>BIOSYN-LIPID-ipc_g</v>
      </c>
      <c r="AC48" t="str">
        <v>MET-ipc_g --&gt; 0.915263 BIO-ipc_g</v>
      </c>
    </row>
    <row r="49" spans="1:29" ht="16" x14ac:dyDescent="0.2">
      <c r="A49" s="144" t="s">
        <v>1248</v>
      </c>
      <c r="B49" t="str">
        <f>SUBSTITUTE(_xlfn.TEXTBEFORE(mets24[[#This Row],[pasted JSON metabolite keys and values from GSM biomass rxn]],":"),CHAR(34),"")</f>
        <v>mg2_c</v>
      </c>
      <c r="C49" t="str">
        <f>_xlfn.TEXTBEFORE(mets24[[#This Row],[name]],"_",-1)</f>
        <v>mg2</v>
      </c>
      <c r="D49" t="str">
        <f>_xlfn.XLOOKUP(mets24[[#This Row],[name w/o location]],metaboliteInfo[name w/o location],metaboliteInfo[suggested category],"")</f>
        <v>METAL</v>
      </c>
      <c r="E49" s="21">
        <f>_xlfn.XLOOKUP(mets24[[#This Row],[name w/o location]],metaboliteInfo[name w/o location],metaboliteInfo[MW for biomass normalization (g/mol)],0)</f>
        <v>24.305</v>
      </c>
      <c r="F49" s="21">
        <f>_xlfn.NUMBERVALUE(SUBSTITUTE(_xlfn.TEXTAFTER(mets24[[#This Row],[pasted JSON metabolite keys and values from GSM biomass rxn]],":"),",",""))</f>
        <v>-6.4142000000000005E-2</v>
      </c>
      <c r="G49" s="21" cm="1">
        <f t="array" ref="G49">_xlfn.LET(_xlpm.id,mets24[[#This Row],[name w/o location]],IF(IsElementOfSet_DIY(_xlpm.id,{"atp","adp","h","pi","h2o"}),SIGN(mets24[[#This Row],[raw (GSM) coefficient]])*(ABS(mets24[[#This Row],[raw (GSM) coefficient]])-$J$2),mets24[[#This Row],[raw (GSM) coefficient]]))</f>
        <v>-6.4142000000000005E-2</v>
      </c>
      <c r="H49" s="21">
        <f>mets24[[#This Row],[coeff. w/o GAM]]</f>
        <v>-6.4142000000000005E-2</v>
      </c>
      <c r="I49" s="161">
        <f t="shared" si="0"/>
        <v>-6.4142024183378013E-2</v>
      </c>
      <c r="J49" s="21" cm="1">
        <f t="array" ref="J49">_xlfn.LET(_xlpm.id,mets24[[#This Row],[name w/o location]],_xlpm.oldcoeff,mets24[[#This Row],[normalized coeffs]],_xlpm.gam,$J$2-$G$2,_xlfn.IFS(IFERROR(MATCH(_xlpm.id,{"atp","h2o"},0),0)&gt;0,_xlpm.oldcoeff-_xlpm.gam,IFERROR(MATCH(_xlpm.id,{"adp","h","pi"},0),0)&gt;0,_xlpm.oldcoeff+_xlpm.gam,TRUE,_xlpm.oldcoeff))</f>
        <v>-6.4142024183378013E-2</v>
      </c>
      <c r="K49" t="str" cm="1">
        <f t="array" ref="K49">"BIOSYN-"&amp;_xlfn.IFS(IFERROR(MATCH(mets24[[#This Row],[category]],{0,"0",""},0),0)&gt;0,mets24[[#This Row],[name]],TRUE,mets24[[#This Row],[category]]&amp;"-"&amp;mets24[[#This Row],[name]])</f>
        <v>BIOSYN-METAL-mg2_c</v>
      </c>
      <c r="L49" s="149" t="str" cm="1">
        <f t="array" ref="L49">IF(IsElementOfSet_DIY(mets24[[#This Row],[category]],{"ignore","PROT"}),"",_xlfn.LET(_xlpm.mw,mets24[[#This Row],[MW for biomass normalization (g/mol)]],"MET-"&amp;mets24[[#This Row],[name]]&amp;" --&gt; "&amp;IF((mets24[[#This Row],[category]]="DNA")+(mets24[[#This Row],[category]]="RNA"),"MET-ppi_c + ","")&amp;ROUND(ABS(_xlpm.mw/1000),6)&amp;" BIO-"&amp;mets24[[#This Row],[name]]))</f>
        <v>MET-mg2_c --&gt; 0.024305 BIO-mg2_c</v>
      </c>
      <c r="M49" s="149" cm="1">
        <f t="array" ref="M4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-6.4142024183378013E-2</v>
      </c>
      <c r="N49" s="149"/>
      <c r="O49" s="149"/>
      <c r="P49" s="149"/>
      <c r="Q49" s="149"/>
      <c r="R49" s="149"/>
      <c r="S49" s="149"/>
      <c r="T49" s="149"/>
      <c r="U49" s="149"/>
      <c r="V49" s="149"/>
      <c r="AB49" t="str">
        <v>BIOSYN-LIPID-linoea_c</v>
      </c>
      <c r="AC49" t="str">
        <v>MET-linoea_c --&gt; 0.279437 BIO-linoea_c</v>
      </c>
    </row>
    <row r="50" spans="1:29" ht="16" x14ac:dyDescent="0.2">
      <c r="A50" s="144" t="s">
        <v>1249</v>
      </c>
      <c r="B50" t="str">
        <f>SUBSTITUTE(_xlfn.TEXTBEFORE(mets24[[#This Row],[pasted JSON metabolite keys and values from GSM biomass rxn]],":"),CHAR(34),"")</f>
        <v>mn2_c</v>
      </c>
      <c r="C50" t="str">
        <f>_xlfn.TEXTBEFORE(mets24[[#This Row],[name]],"_",-1)</f>
        <v>mn2</v>
      </c>
      <c r="D50" t="str">
        <f>_xlfn.XLOOKUP(mets24[[#This Row],[name w/o location]],metaboliteInfo[name w/o location],metaboliteInfo[suggested category],"")</f>
        <v>METAL</v>
      </c>
      <c r="E50" s="21">
        <f>_xlfn.XLOOKUP(mets24[[#This Row],[name w/o location]],metaboliteInfo[name w/o location],metaboliteInfo[MW for biomass normalization (g/mol)],0)</f>
        <v>54.938043999999998</v>
      </c>
      <c r="F50" s="21">
        <f>_xlfn.NUMBERVALUE(SUBSTITUTE(_xlfn.TEXTAFTER(mets24[[#This Row],[pasted JSON metabolite keys and values from GSM biomass rxn]],":"),",",""))</f>
        <v>-9.5000000000000005E-5</v>
      </c>
      <c r="G50" s="21" cm="1">
        <f t="array" ref="G50">_xlfn.LET(_xlpm.id,mets24[[#This Row],[name w/o location]],IF(IsElementOfSet_DIY(_xlpm.id,{"atp","adp","h","pi","h2o"}),SIGN(mets24[[#This Row],[raw (GSM) coefficient]])*(ABS(mets24[[#This Row],[raw (GSM) coefficient]])-$J$2),mets24[[#This Row],[raw (GSM) coefficient]]))</f>
        <v>-9.5000000000000005E-5</v>
      </c>
      <c r="H50" s="21">
        <f>mets24[[#This Row],[coeff. w/o GAM]]</f>
        <v>-9.5000000000000005E-5</v>
      </c>
      <c r="I50" s="161">
        <f t="shared" si="0"/>
        <v>-9.5000035817731138E-5</v>
      </c>
      <c r="J50" s="21" cm="1">
        <f t="array" ref="J50">_xlfn.LET(_xlpm.id,mets24[[#This Row],[name w/o location]],_xlpm.oldcoeff,mets24[[#This Row],[normalized coeffs]],_xlpm.gam,$J$2-$G$2,_xlfn.IFS(IFERROR(MATCH(_xlpm.id,{"atp","h2o"},0),0)&gt;0,_xlpm.oldcoeff-_xlpm.gam,IFERROR(MATCH(_xlpm.id,{"adp","h","pi"},0),0)&gt;0,_xlpm.oldcoeff+_xlpm.gam,TRUE,_xlpm.oldcoeff))</f>
        <v>-9.5000035817731138E-5</v>
      </c>
      <c r="K50" t="str" cm="1">
        <f t="array" ref="K50">"BIOSYN-"&amp;_xlfn.IFS(IFERROR(MATCH(mets24[[#This Row],[category]],{0,"0",""},0),0)&gt;0,mets24[[#This Row],[name]],TRUE,mets24[[#This Row],[category]]&amp;"-"&amp;mets24[[#This Row],[name]])</f>
        <v>BIOSYN-METAL-mn2_c</v>
      </c>
      <c r="L50" s="149" t="str" cm="1">
        <f t="array" ref="L50">IF(IsElementOfSet_DIY(mets24[[#This Row],[category]],{"ignore","PROT"}),"",_xlfn.LET(_xlpm.mw,mets24[[#This Row],[MW for biomass normalization (g/mol)]],"MET-"&amp;mets24[[#This Row],[name]]&amp;" --&gt; "&amp;IF((mets24[[#This Row],[category]]="DNA")+(mets24[[#This Row],[category]]="RNA"),"MET-ppi_c + ","")&amp;ROUND(ABS(_xlpm.mw/1000),6)&amp;" BIO-"&amp;mets24[[#This Row],[name]]))</f>
        <v>MET-mn2_c --&gt; 0.054938 BIO-mn2_c</v>
      </c>
      <c r="M50" s="149" cm="1">
        <f t="array" ref="M5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-9.5000035817731138E-5</v>
      </c>
      <c r="N50" s="149"/>
      <c r="O50" s="149"/>
      <c r="P50" s="149"/>
      <c r="Q50" s="149"/>
      <c r="R50" s="149"/>
      <c r="S50" s="149"/>
      <c r="T50" s="149"/>
      <c r="U50" s="149"/>
      <c r="V50" s="149"/>
      <c r="AB50" t="str">
        <v>BIOSYN-LIPID-linolen_c</v>
      </c>
      <c r="AC50" t="str">
        <v>MET-linolen_c --&gt; 0.277421 BIO-linolen_c</v>
      </c>
    </row>
    <row r="51" spans="1:29" ht="16" x14ac:dyDescent="0.2">
      <c r="A51" s="144" t="s">
        <v>1250</v>
      </c>
      <c r="B51" t="str">
        <f>SUBSTITUTE(_xlfn.TEXTBEFORE(mets24[[#This Row],[pasted JSON metabolite keys and values from GSM biomass rxn]],":"),CHAR(34),"")</f>
        <v>nad_c</v>
      </c>
      <c r="C51" t="str">
        <f>_xlfn.TEXTBEFORE(mets24[[#This Row],[name]],"_",-1)</f>
        <v>nad</v>
      </c>
      <c r="D51" t="str">
        <f>_xlfn.XLOOKUP(mets24[[#This Row],[name w/o location]],metaboliteInfo[name w/o location],metaboliteInfo[suggested category],"")</f>
        <v>COFACTOR</v>
      </c>
      <c r="E51" s="21">
        <f>_xlfn.XLOOKUP(mets24[[#This Row],[name w/o location]],metaboliteInfo[name w/o location],metaboliteInfo[MW for biomass normalization (g/mol)],0)</f>
        <v>662.41716199999996</v>
      </c>
      <c r="F51" s="21">
        <f>_xlfn.NUMBERVALUE(SUBSTITUTE(_xlfn.TEXTAFTER(mets24[[#This Row],[pasted JSON metabolite keys and values from GSM biomass rxn]],":"),",",""))</f>
        <v>-1.01E-4</v>
      </c>
      <c r="G51" s="21" cm="1">
        <f t="array" ref="G51">_xlfn.LET(_xlpm.id,mets24[[#This Row],[name w/o location]],IF(IsElementOfSet_DIY(_xlpm.id,{"atp","adp","h","pi","h2o"}),SIGN(mets24[[#This Row],[raw (GSM) coefficient]])*(ABS(mets24[[#This Row],[raw (GSM) coefficient]])-$J$2),mets24[[#This Row],[raw (GSM) coefficient]]))</f>
        <v>-1.01E-4</v>
      </c>
      <c r="H51" s="21">
        <f>mets24[[#This Row],[coeff. w/o GAM]]</f>
        <v>-1.01E-4</v>
      </c>
      <c r="I51" s="161">
        <f t="shared" si="0"/>
        <v>-1.0100003807990364E-4</v>
      </c>
      <c r="J51" s="21" cm="1">
        <f t="array" ref="J51">_xlfn.LET(_xlpm.id,mets24[[#This Row],[name w/o location]],_xlpm.oldcoeff,mets24[[#This Row],[normalized coeffs]],_xlpm.gam,$J$2-$G$2,_xlfn.IFS(IFERROR(MATCH(_xlpm.id,{"atp","h2o"},0),0)&gt;0,_xlpm.oldcoeff-_xlpm.gam,IFERROR(MATCH(_xlpm.id,{"adp","h","pi"},0),0)&gt;0,_xlpm.oldcoeff+_xlpm.gam,TRUE,_xlpm.oldcoeff))</f>
        <v>-1.0100003807990364E-4</v>
      </c>
      <c r="K51" t="str" cm="1">
        <f t="array" ref="K51">"BIOSYN-"&amp;_xlfn.IFS(IFERROR(MATCH(mets24[[#This Row],[category]],{0,"0",""},0),0)&gt;0,mets24[[#This Row],[name]],TRUE,mets24[[#This Row],[category]]&amp;"-"&amp;mets24[[#This Row],[name]])</f>
        <v>BIOSYN-COFACTOR-nad_c</v>
      </c>
      <c r="L51" s="149" t="str" cm="1">
        <f t="array" ref="L51">IF(IsElementOfSet_DIY(mets24[[#This Row],[category]],{"ignore","PROT"}),"",_xlfn.LET(_xlpm.mw,mets24[[#This Row],[MW for biomass normalization (g/mol)]],"MET-"&amp;mets24[[#This Row],[name]]&amp;" --&gt; "&amp;IF((mets24[[#This Row],[category]]="DNA")+(mets24[[#This Row],[category]]="RNA"),"MET-ppi_c + ","")&amp;ROUND(ABS(_xlpm.mw/1000),6)&amp;" BIO-"&amp;mets24[[#This Row],[name]]))</f>
        <v>MET-nad_c --&gt; 0.662417 BIO-nad_c</v>
      </c>
      <c r="M51" s="149" cm="1">
        <f t="array" ref="M5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51" s="149"/>
      <c r="O51" s="149"/>
      <c r="P51" s="149"/>
      <c r="Q51" s="149"/>
      <c r="R51" s="149"/>
      <c r="S51" s="149"/>
      <c r="T51" s="149"/>
      <c r="U51" s="149"/>
      <c r="V51" s="149"/>
      <c r="AB51" t="str">
        <v>BIOSYN-LIPID-ocdca_c</v>
      </c>
      <c r="AC51" t="str">
        <v>MET-ocdca_c --&gt; 0.283469 BIO-ocdca_c</v>
      </c>
    </row>
    <row r="52" spans="1:29" ht="16" x14ac:dyDescent="0.2">
      <c r="A52" s="144" t="s">
        <v>1251</v>
      </c>
      <c r="B52" t="str">
        <f>SUBSTITUTE(_xlfn.TEXTBEFORE(mets24[[#This Row],[pasted JSON metabolite keys and values from GSM biomass rxn]],":"),CHAR(34),"")</f>
        <v>nadp_c</v>
      </c>
      <c r="C52" t="str">
        <f>_xlfn.TEXTBEFORE(mets24[[#This Row],[name]],"_",-1)</f>
        <v>nadp</v>
      </c>
      <c r="D52" t="str">
        <f>_xlfn.XLOOKUP(mets24[[#This Row],[name w/o location]],metaboliteInfo[name w/o location],metaboliteInfo[suggested category],"")</f>
        <v>COFACTOR</v>
      </c>
      <c r="E52" s="21">
        <f>_xlfn.XLOOKUP(mets24[[#This Row],[name w/o location]],metaboliteInfo[name w/o location],metaboliteInfo[MW for biomass normalization (g/mol)],0)</f>
        <v>740.38118299999996</v>
      </c>
      <c r="F52" s="21">
        <f>_xlfn.NUMBERVALUE(SUBSTITUTE(_xlfn.TEXTAFTER(mets24[[#This Row],[pasted JSON metabolite keys and values from GSM biomass rxn]],":"),",",""))</f>
        <v>-1.01E-4</v>
      </c>
      <c r="G52" s="21" cm="1">
        <f t="array" ref="G52">_xlfn.LET(_xlpm.id,mets24[[#This Row],[name w/o location]],IF(IsElementOfSet_DIY(_xlpm.id,{"atp","adp","h","pi","h2o"}),SIGN(mets24[[#This Row],[raw (GSM) coefficient]])*(ABS(mets24[[#This Row],[raw (GSM) coefficient]])-$J$2),mets24[[#This Row],[raw (GSM) coefficient]]))</f>
        <v>-1.01E-4</v>
      </c>
      <c r="H52" s="21">
        <f>mets24[[#This Row],[coeff. w/o GAM]]</f>
        <v>-1.01E-4</v>
      </c>
      <c r="I52" s="161">
        <f t="shared" si="0"/>
        <v>-1.0100003807990364E-4</v>
      </c>
      <c r="J52" s="21" cm="1">
        <f t="array" ref="J52">_xlfn.LET(_xlpm.id,mets24[[#This Row],[name w/o location]],_xlpm.oldcoeff,mets24[[#This Row],[normalized coeffs]],_xlpm.gam,$J$2-$G$2,_xlfn.IFS(IFERROR(MATCH(_xlpm.id,{"atp","h2o"},0),0)&gt;0,_xlpm.oldcoeff-_xlpm.gam,IFERROR(MATCH(_xlpm.id,{"adp","h","pi"},0),0)&gt;0,_xlpm.oldcoeff+_xlpm.gam,TRUE,_xlpm.oldcoeff))</f>
        <v>-1.0100003807990364E-4</v>
      </c>
      <c r="K52" t="str" cm="1">
        <f t="array" ref="K52">"BIOSYN-"&amp;_xlfn.IFS(IFERROR(MATCH(mets24[[#This Row],[category]],{0,"0",""},0),0)&gt;0,mets24[[#This Row],[name]],TRUE,mets24[[#This Row],[category]]&amp;"-"&amp;mets24[[#This Row],[name]])</f>
        <v>BIOSYN-COFACTOR-nadp_c</v>
      </c>
      <c r="L52" s="149" t="str" cm="1">
        <f t="array" ref="L52">IF(IsElementOfSet_DIY(mets24[[#This Row],[category]],{"ignore","PROT"}),"",_xlfn.LET(_xlpm.mw,mets24[[#This Row],[MW for biomass normalization (g/mol)]],"MET-"&amp;mets24[[#This Row],[name]]&amp;" --&gt; "&amp;IF((mets24[[#This Row],[category]]="DNA")+(mets24[[#This Row],[category]]="RNA"),"MET-ppi_c + ","")&amp;ROUND(ABS(_xlpm.mw/1000),6)&amp;" BIO-"&amp;mets24[[#This Row],[name]]))</f>
        <v>MET-nadp_c --&gt; 0.740381 BIO-nadp_c</v>
      </c>
      <c r="M52" s="149" cm="1">
        <f t="array" ref="M5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52" s="149"/>
      <c r="O52" s="149"/>
      <c r="P52" s="149"/>
      <c r="Q52" s="149"/>
      <c r="R52" s="149"/>
      <c r="S52" s="149"/>
      <c r="T52" s="149"/>
      <c r="U52" s="149"/>
      <c r="V52" s="149"/>
      <c r="AB52" t="str">
        <v>BIOSYN-LIPID-ocdcea_c</v>
      </c>
      <c r="AC52" t="str">
        <v>MET-ocdcea_c --&gt; 0.281453 BIO-ocdcea_c</v>
      </c>
    </row>
    <row r="53" spans="1:29" ht="16" x14ac:dyDescent="0.2">
      <c r="A53" s="144" t="s">
        <v>1252</v>
      </c>
      <c r="B53" t="str">
        <f>SUBSTITUTE(_xlfn.TEXTBEFORE(mets24[[#This Row],[pasted JSON metabolite keys and values from GSM biomass rxn]],":"),CHAR(34),"")</f>
        <v>ocdca_c</v>
      </c>
      <c r="C53" t="str">
        <f>_xlfn.TEXTBEFORE(mets24[[#This Row],[name]],"_",-1)</f>
        <v>ocdca</v>
      </c>
      <c r="D53" t="str">
        <f>_xlfn.XLOOKUP(mets24[[#This Row],[name w/o location]],metaboliteInfo[name w/o location],metaboliteInfo[suggested category],"")</f>
        <v>LIPID</v>
      </c>
      <c r="E53" s="21">
        <f>_xlfn.XLOOKUP(mets24[[#This Row],[name w/o location]],metaboliteInfo[name w/o location],metaboliteInfo[MW for biomass normalization (g/mol)],0)</f>
        <v>283.46850000000001</v>
      </c>
      <c r="F53" s="21">
        <f>_xlfn.NUMBERVALUE(SUBSTITUTE(_xlfn.TEXTAFTER(mets24[[#This Row],[pasted JSON metabolite keys and values from GSM biomass rxn]],":"),",",""))</f>
        <v>-2.0720000000000001E-3</v>
      </c>
      <c r="G53" s="21" cm="1">
        <f t="array" ref="G53">_xlfn.LET(_xlpm.id,mets24[[#This Row],[name w/o location]],IF(IsElementOfSet_DIY(_xlpm.id,{"atp","adp","h","pi","h2o"}),SIGN(mets24[[#This Row],[raw (GSM) coefficient]])*(ABS(mets24[[#This Row],[raw (GSM) coefficient]])-$J$2),mets24[[#This Row],[raw (GSM) coefficient]]))</f>
        <v>-2.0720000000000001E-3</v>
      </c>
      <c r="H53" s="21">
        <f>mets24[[#This Row],[coeff. w/o GAM]]</f>
        <v>-2.0720000000000001E-3</v>
      </c>
      <c r="I53" s="161">
        <f t="shared" si="0"/>
        <v>-2.0720007812035676E-3</v>
      </c>
      <c r="J53" s="21" cm="1">
        <f t="array" ref="J53">_xlfn.LET(_xlpm.id,mets24[[#This Row],[name w/o location]],_xlpm.oldcoeff,mets24[[#This Row],[normalized coeffs]],_xlpm.gam,$J$2-$G$2,_xlfn.IFS(IFERROR(MATCH(_xlpm.id,{"atp","h2o"},0),0)&gt;0,_xlpm.oldcoeff-_xlpm.gam,IFERROR(MATCH(_xlpm.id,{"adp","h","pi"},0),0)&gt;0,_xlpm.oldcoeff+_xlpm.gam,TRUE,_xlpm.oldcoeff))</f>
        <v>-2.0720007812035676E-3</v>
      </c>
      <c r="K53" t="str" cm="1">
        <f t="array" ref="K53">"BIOSYN-"&amp;_xlfn.IFS(IFERROR(MATCH(mets24[[#This Row],[category]],{0,"0",""},0),0)&gt;0,mets24[[#This Row],[name]],TRUE,mets24[[#This Row],[category]]&amp;"-"&amp;mets24[[#This Row],[name]])</f>
        <v>BIOSYN-LIPID-ocdca_c</v>
      </c>
      <c r="L53" s="149" t="str" cm="1">
        <f t="array" ref="L53">IF(IsElementOfSet_DIY(mets24[[#This Row],[category]],{"ignore","PROT"}),"",_xlfn.LET(_xlpm.mw,mets24[[#This Row],[MW for biomass normalization (g/mol)]],"MET-"&amp;mets24[[#This Row],[name]]&amp;" --&gt; "&amp;IF((mets24[[#This Row],[category]]="DNA")+(mets24[[#This Row],[category]]="RNA"),"MET-ppi_c + ","")&amp;ROUND(ABS(_xlpm.mw/1000),6)&amp;" BIO-"&amp;mets24[[#This Row],[name]]))</f>
        <v>MET-ocdca_c --&gt; 0.283469 BIO-ocdca_c</v>
      </c>
      <c r="M53" s="149" cm="1">
        <f t="array" ref="M5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-2.0719971006284733E-3</v>
      </c>
      <c r="N53" s="149"/>
      <c r="O53" s="149"/>
      <c r="P53" s="149"/>
      <c r="Q53" s="149"/>
      <c r="R53" s="149"/>
      <c r="S53" s="149"/>
      <c r="T53" s="149"/>
      <c r="U53" s="149"/>
      <c r="V53" s="149"/>
      <c r="AB53" t="str">
        <v>BIOSYN-LIPID-pail_c</v>
      </c>
      <c r="AC53" t="str">
        <v>MET-pail_c --&gt; 0.862149 BIO-pail_c</v>
      </c>
    </row>
    <row r="54" spans="1:29" ht="16" x14ac:dyDescent="0.2">
      <c r="A54" s="144" t="s">
        <v>1253</v>
      </c>
      <c r="B54" t="str">
        <f>SUBSTITUTE(_xlfn.TEXTBEFORE(mets24[[#This Row],[pasted JSON metabolite keys and values from GSM biomass rxn]],":"),CHAR(34),"")</f>
        <v>ocdcea_c</v>
      </c>
      <c r="C54" t="str">
        <f>_xlfn.TEXTBEFORE(mets24[[#This Row],[name]],"_",-1)</f>
        <v>ocdcea</v>
      </c>
      <c r="D54" t="str">
        <f>_xlfn.XLOOKUP(mets24[[#This Row],[name w/o location]],metaboliteInfo[name w/o location],metaboliteInfo[suggested category],"")</f>
        <v>LIPID</v>
      </c>
      <c r="E54" s="21">
        <f>_xlfn.XLOOKUP(mets24[[#This Row],[name w/o location]],metaboliteInfo[name w/o location],metaboliteInfo[MW for biomass normalization (g/mol)],0)</f>
        <v>281.45262000000002</v>
      </c>
      <c r="F54" s="21">
        <f>_xlfn.NUMBERVALUE(SUBSTITUTE(_xlfn.TEXTAFTER(mets24[[#This Row],[pasted JSON metabolite keys and values from GSM biomass rxn]],":"),",",""))</f>
        <v>-6.3330000000000001E-3</v>
      </c>
      <c r="G54" s="21" cm="1">
        <f t="array" ref="G54">_xlfn.LET(_xlpm.id,mets24[[#This Row],[name w/o location]],IF(IsElementOfSet_DIY(_xlpm.id,{"atp","adp","h","pi","h2o"}),SIGN(mets24[[#This Row],[raw (GSM) coefficient]])*(ABS(mets24[[#This Row],[raw (GSM) coefficient]])-$J$2),mets24[[#This Row],[raw (GSM) coefficient]]))</f>
        <v>-6.3330000000000001E-3</v>
      </c>
      <c r="H54" s="21">
        <f>mets24[[#This Row],[coeff. w/o GAM]]</f>
        <v>-6.3330000000000001E-3</v>
      </c>
      <c r="I54" s="161">
        <f t="shared" si="0"/>
        <v>-6.3330023877230662E-3</v>
      </c>
      <c r="J54" s="21" cm="1">
        <f t="array" ref="J54">_xlfn.LET(_xlpm.id,mets24[[#This Row],[name w/o location]],_xlpm.oldcoeff,mets24[[#This Row],[normalized coeffs]],_xlpm.gam,$J$2-$G$2,_xlfn.IFS(IFERROR(MATCH(_xlpm.id,{"atp","h2o"},0),0)&gt;0,_xlpm.oldcoeff-_xlpm.gam,IFERROR(MATCH(_xlpm.id,{"adp","h","pi"},0),0)&gt;0,_xlpm.oldcoeff+_xlpm.gam,TRUE,_xlpm.oldcoeff))</f>
        <v>-6.3330023877230662E-3</v>
      </c>
      <c r="K54" t="str" cm="1">
        <f t="array" ref="K54">"BIOSYN-"&amp;_xlfn.IFS(IFERROR(MATCH(mets24[[#This Row],[category]],{0,"0",""},0),0)&gt;0,mets24[[#This Row],[name]],TRUE,mets24[[#This Row],[category]]&amp;"-"&amp;mets24[[#This Row],[name]])</f>
        <v>BIOSYN-LIPID-ocdcea_c</v>
      </c>
      <c r="L54" s="149" t="str" cm="1">
        <f t="array" ref="L54">IF(IsElementOfSet_DIY(mets24[[#This Row],[category]],{"ignore","PROT"}),"",_xlfn.LET(_xlpm.mw,mets24[[#This Row],[MW for biomass normalization (g/mol)]],"MET-"&amp;mets24[[#This Row],[name]]&amp;" --&gt; "&amp;IF((mets24[[#This Row],[category]]="DNA")+(mets24[[#This Row],[category]]="RNA"),"MET-ppi_c + ","")&amp;ROUND(ABS(_xlpm.mw/1000),6)&amp;" BIO-"&amp;mets24[[#This Row],[name]]))</f>
        <v>MET-ocdcea_c --&gt; 0.281453 BIO-ocdcea_c</v>
      </c>
      <c r="M54" s="149" cm="1">
        <f t="array" ref="M5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-6.3329911381660815E-3</v>
      </c>
      <c r="N54" s="149"/>
      <c r="O54" s="149"/>
      <c r="P54" s="149"/>
      <c r="Q54" s="149"/>
      <c r="R54" s="149"/>
      <c r="S54" s="149"/>
      <c r="T54" s="149"/>
      <c r="U54" s="149"/>
      <c r="V54" s="149"/>
      <c r="AB54" t="str">
        <v>BIOSYN-LIPID-pc_c</v>
      </c>
      <c r="AC54" t="str">
        <v>MET-pc_c --&gt; 0.786166 BIO-pc_c</v>
      </c>
    </row>
    <row r="55" spans="1:29" ht="16" x14ac:dyDescent="0.2">
      <c r="A55" s="144" t="s">
        <v>1254</v>
      </c>
      <c r="B55" t="str">
        <f>SUBSTITUTE(_xlfn.TEXTBEFORE(mets24[[#This Row],[pasted JSON metabolite keys and values from GSM biomass rxn]],":"),CHAR(34),"")</f>
        <v>oglycanSC_g</v>
      </c>
      <c r="C55" t="str">
        <f>_xlfn.TEXTBEFORE(mets24[[#This Row],[name]],"_",-1)</f>
        <v>oglycanSC</v>
      </c>
      <c r="D55" t="str">
        <f>_xlfn.XLOOKUP(mets24[[#This Row],[name w/o location]],metaboliteInfo[name w/o location],metaboliteInfo[suggested category],"")</f>
        <v>CARB</v>
      </c>
      <c r="E55" s="21">
        <f>_xlfn.XLOOKUP(mets24[[#This Row],[name w/o location]],metaboliteInfo[name w/o location],metaboliteInfo[MW for biomass normalization (g/mol)],0)</f>
        <v>810.70299999999997</v>
      </c>
      <c r="F55" s="21">
        <f>_xlfn.NUMBERVALUE(SUBSTITUTE(_xlfn.TEXTAFTER(mets24[[#This Row],[pasted JSON metabolite keys and values from GSM biomass rxn]],":"),",",""))</f>
        <v>-7.1858000000000005E-2</v>
      </c>
      <c r="G55" s="21" cm="1">
        <f t="array" ref="G55">_xlfn.LET(_xlpm.id,mets24[[#This Row],[name w/o location]],IF(IsElementOfSet_DIY(_xlpm.id,{"atp","adp","h","pi","h2o"}),SIGN(mets24[[#This Row],[raw (GSM) coefficient]])*(ABS(mets24[[#This Row],[raw (GSM) coefficient]])-$J$2),mets24[[#This Row],[raw (GSM) coefficient]]))</f>
        <v>-7.1858000000000005E-2</v>
      </c>
      <c r="H55" s="21">
        <f>mets24[[#This Row],[coeff. w/o GAM]]</f>
        <v>-7.1858000000000005E-2</v>
      </c>
      <c r="I55" s="161">
        <f t="shared" si="0"/>
        <v>-7.1858027092531834E-2</v>
      </c>
      <c r="J55" s="21" cm="1">
        <f t="array" ref="J55">_xlfn.LET(_xlpm.id,mets24[[#This Row],[name w/o location]],_xlpm.oldcoeff,mets24[[#This Row],[normalized coeffs]],_xlpm.gam,$J$2-$G$2,_xlfn.IFS(IFERROR(MATCH(_xlpm.id,{"atp","h2o"},0),0)&gt;0,_xlpm.oldcoeff-_xlpm.gam,IFERROR(MATCH(_xlpm.id,{"adp","h","pi"},0),0)&gt;0,_xlpm.oldcoeff+_xlpm.gam,TRUE,_xlpm.oldcoeff))</f>
        <v>-7.1858027092531834E-2</v>
      </c>
      <c r="K55" t="str" cm="1">
        <f t="array" ref="K55">"BIOSYN-"&amp;_xlfn.IFS(IFERROR(MATCH(mets24[[#This Row],[category]],{0,"0",""},0),0)&gt;0,mets24[[#This Row],[name]],TRUE,mets24[[#This Row],[category]]&amp;"-"&amp;mets24[[#This Row],[name]])</f>
        <v>BIOSYN-CARB-oglycanSC_g</v>
      </c>
      <c r="L55" s="149" t="str" cm="1">
        <f t="array" ref="L55">IF(IsElementOfSet_DIY(mets24[[#This Row],[category]],{"ignore","PROT"}),"",_xlfn.LET(_xlpm.mw,mets24[[#This Row],[MW for biomass normalization (g/mol)]],"MET-"&amp;mets24[[#This Row],[name]]&amp;" --&gt; "&amp;IF((mets24[[#This Row],[category]]="DNA")+(mets24[[#This Row],[category]]="RNA"),"MET-ppi_c + ","")&amp;ROUND(ABS(_xlpm.mw/1000),6)&amp;" BIO-"&amp;mets24[[#This Row],[name]]))</f>
        <v>MET-oglycanSC_g --&gt; 0.810703 BIO-oglycanSC_g</v>
      </c>
      <c r="M55" s="149" cm="1">
        <f t="array" ref="M5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-7.1858098140845483E-2</v>
      </c>
      <c r="N55" s="149"/>
      <c r="O55" s="149"/>
      <c r="P55" s="149"/>
      <c r="Q55" s="149"/>
      <c r="R55" s="149"/>
      <c r="S55" s="149"/>
      <c r="T55" s="149"/>
      <c r="U55" s="149"/>
      <c r="V55" s="149"/>
      <c r="AB55" t="str">
        <v>BIOSYN-LIPID-pe_c</v>
      </c>
      <c r="AC55" t="str">
        <v>MET-pe_c --&gt; 0.744086 BIO-pe_c</v>
      </c>
    </row>
    <row r="56" spans="1:29" ht="16" x14ac:dyDescent="0.2">
      <c r="A56" s="144" t="s">
        <v>1255</v>
      </c>
      <c r="B56" t="str">
        <f>SUBSTITUTE(_xlfn.TEXTBEFORE(mets24[[#This Row],[pasted JSON metabolite keys and values from GSM biomass rxn]],":"),CHAR(34),"")</f>
        <v>pail_c</v>
      </c>
      <c r="C56" t="str">
        <f>_xlfn.TEXTBEFORE(mets24[[#This Row],[name]],"_",-1)</f>
        <v>pail</v>
      </c>
      <c r="D56" t="str">
        <f>_xlfn.XLOOKUP(mets24[[#This Row],[name w/o location]],metaboliteInfo[name w/o location],metaboliteInfo[suggested category],"")</f>
        <v>LIPID</v>
      </c>
      <c r="E56" s="21">
        <f>_xlfn.XLOOKUP(mets24[[#This Row],[name w/o location]],metaboliteInfo[name w/o location],metaboliteInfo[MW for biomass normalization (g/mol)],0)</f>
        <v>862.14885442176001</v>
      </c>
      <c r="F56" s="21">
        <f>_xlfn.NUMBERVALUE(SUBSTITUTE(_xlfn.TEXTAFTER(mets24[[#This Row],[pasted JSON metabolite keys and values from GSM biomass rxn]],":"),",",""))</f>
        <v>-4.254E-3</v>
      </c>
      <c r="G56" s="21" cm="1">
        <f t="array" ref="G56">_xlfn.LET(_xlpm.id,mets24[[#This Row],[name w/o location]],IF(IsElementOfSet_DIY(_xlpm.id,{"atp","adp","h","pi","h2o"}),SIGN(mets24[[#This Row],[raw (GSM) coefficient]])*(ABS(mets24[[#This Row],[raw (GSM) coefficient]])-$J$2),mets24[[#This Row],[raw (GSM) coefficient]]))</f>
        <v>-4.254E-3</v>
      </c>
      <c r="H56" s="21">
        <f>mets24[[#This Row],[coeff. w/o GAM]]</f>
        <v>-4.254E-3</v>
      </c>
      <c r="I56" s="161">
        <f t="shared" si="0"/>
        <v>-4.2540016038802976E-3</v>
      </c>
      <c r="J56" s="21" cm="1">
        <f t="array" ref="J56">_xlfn.LET(_xlpm.id,mets24[[#This Row],[name w/o location]],_xlpm.oldcoeff,mets24[[#This Row],[normalized coeffs]],_xlpm.gam,$J$2-$G$2,_xlfn.IFS(IFERROR(MATCH(_xlpm.id,{"atp","h2o"},0),0)&gt;0,_xlpm.oldcoeff-_xlpm.gam,IFERROR(MATCH(_xlpm.id,{"adp","h","pi"},0),0)&gt;0,_xlpm.oldcoeff+_xlpm.gam,TRUE,_xlpm.oldcoeff))</f>
        <v>-4.2540016038802976E-3</v>
      </c>
      <c r="K56" t="str" cm="1">
        <f t="array" ref="K56">"BIOSYN-"&amp;_xlfn.IFS(IFERROR(MATCH(mets24[[#This Row],[category]],{0,"0",""},0),0)&gt;0,mets24[[#This Row],[name]],TRUE,mets24[[#This Row],[category]]&amp;"-"&amp;mets24[[#This Row],[name]])</f>
        <v>BIOSYN-LIPID-pail_c</v>
      </c>
      <c r="L56" s="149" t="str" cm="1">
        <f t="array" ref="L56">IF(IsElementOfSet_DIY(mets24[[#This Row],[category]],{"ignore","PROT"}),"",_xlfn.LET(_xlpm.mw,mets24[[#This Row],[MW for biomass normalization (g/mol)]],"MET-"&amp;mets24[[#This Row],[name]]&amp;" --&gt; "&amp;IF((mets24[[#This Row],[category]]="DNA")+(mets24[[#This Row],[category]]="RNA"),"MET-ppi_c + ","")&amp;ROUND(ABS(_xlpm.mw/1000),6)&amp;" BIO-"&amp;mets24[[#This Row],[name]]))</f>
        <v>MET-pail_c --&gt; 0.862149 BIO-pail_c</v>
      </c>
      <c r="M56" s="149" cm="1">
        <f t="array" ref="M5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-4.2539940473327823E-3</v>
      </c>
      <c r="N56" s="149"/>
      <c r="O56" s="149"/>
      <c r="P56" s="149"/>
      <c r="Q56" s="149"/>
      <c r="R56" s="149"/>
      <c r="S56" s="149"/>
      <c r="T56" s="149"/>
      <c r="U56" s="149"/>
      <c r="V56" s="149"/>
      <c r="AB56" t="str">
        <v>BIOSYN-LIPID-ps_c</v>
      </c>
      <c r="AC56" t="str">
        <v>MET-ps_c --&gt; 0.786079 BIO-ps_c</v>
      </c>
    </row>
    <row r="57" spans="1:29" ht="16" x14ac:dyDescent="0.2">
      <c r="A57" s="144" t="s">
        <v>1256</v>
      </c>
      <c r="B57" t="str">
        <f>SUBSTITUTE(_xlfn.TEXTBEFORE(mets24[[#This Row],[pasted JSON metabolite keys and values from GSM biomass rxn]],":"),CHAR(34),"")</f>
        <v>pc_c</v>
      </c>
      <c r="C57" t="str">
        <f>_xlfn.TEXTBEFORE(mets24[[#This Row],[name]],"_",-1)</f>
        <v>pc</v>
      </c>
      <c r="D57" t="str">
        <f>_xlfn.XLOOKUP(mets24[[#This Row],[name w/o location]],metaboliteInfo[name w/o location],metaboliteInfo[suggested category],"")</f>
        <v>LIPID</v>
      </c>
      <c r="E57" s="21">
        <f>_xlfn.XLOOKUP(mets24[[#This Row],[name w/o location]],metaboliteInfo[name w/o location],metaboliteInfo[MW for biomass normalization (g/mol)],0)</f>
        <v>786.16573442176002</v>
      </c>
      <c r="F57" s="21">
        <f>_xlfn.NUMBERVALUE(SUBSTITUTE(_xlfn.TEXTAFTER(mets24[[#This Row],[pasted JSON metabolite keys and values from GSM biomass rxn]],":"),",",""))</f>
        <v>-7.9850000000000008E-3</v>
      </c>
      <c r="G57" s="21" cm="1">
        <f t="array" ref="G57">_xlfn.LET(_xlpm.id,mets24[[#This Row],[name w/o location]],IF(IsElementOfSet_DIY(_xlpm.id,{"atp","adp","h","pi","h2o"}),SIGN(mets24[[#This Row],[raw (GSM) coefficient]])*(ABS(mets24[[#This Row],[raw (GSM) coefficient]])-$J$2),mets24[[#This Row],[raw (GSM) coefficient]]))</f>
        <v>-7.9850000000000008E-3</v>
      </c>
      <c r="H57" s="21">
        <f>mets24[[#This Row],[coeff. w/o GAM]]</f>
        <v>-7.9850000000000008E-3</v>
      </c>
      <c r="I57" s="161">
        <f t="shared" si="0"/>
        <v>-7.9850030105745595E-3</v>
      </c>
      <c r="J57" s="21" cm="1">
        <f t="array" ref="J57">_xlfn.LET(_xlpm.id,mets24[[#This Row],[name w/o location]],_xlpm.oldcoeff,mets24[[#This Row],[normalized coeffs]],_xlpm.gam,$J$2-$G$2,_xlfn.IFS(IFERROR(MATCH(_xlpm.id,{"atp","h2o"},0),0)&gt;0,_xlpm.oldcoeff-_xlpm.gam,IFERROR(MATCH(_xlpm.id,{"adp","h","pi"},0),0)&gt;0,_xlpm.oldcoeff+_xlpm.gam,TRUE,_xlpm.oldcoeff))</f>
        <v>-7.9850030105745595E-3</v>
      </c>
      <c r="K57" t="str" cm="1">
        <f t="array" ref="K57">"BIOSYN-"&amp;_xlfn.IFS(IFERROR(MATCH(mets24[[#This Row],[category]],{0,"0",""},0),0)&gt;0,mets24[[#This Row],[name]],TRUE,mets24[[#This Row],[category]]&amp;"-"&amp;mets24[[#This Row],[name]])</f>
        <v>BIOSYN-LIPID-pc_c</v>
      </c>
      <c r="L57" s="149" t="str" cm="1">
        <f t="array" ref="L57">IF(IsElementOfSet_DIY(mets24[[#This Row],[category]],{"ignore","PROT"}),"",_xlfn.LET(_xlpm.mw,mets24[[#This Row],[MW for biomass normalization (g/mol)]],"MET-"&amp;mets24[[#This Row],[name]]&amp;" --&gt; "&amp;IF((mets24[[#This Row],[category]]="DNA")+(mets24[[#This Row],[category]]="RNA"),"MET-ppi_c + ","")&amp;ROUND(ABS(_xlpm.mw/1000),6)&amp;" BIO-"&amp;mets24[[#This Row],[name]]))</f>
        <v>MET-pc_c --&gt; 0.786166 BIO-pc_c</v>
      </c>
      <c r="M57" s="149" cm="1">
        <f t="array" ref="M5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-7.984988826505E-3</v>
      </c>
      <c r="N57" s="149"/>
      <c r="O57" s="149"/>
      <c r="P57" s="149"/>
      <c r="Q57" s="149"/>
      <c r="R57" s="149"/>
      <c r="S57" s="149"/>
      <c r="T57" s="149"/>
      <c r="U57" s="149"/>
      <c r="V57" s="149"/>
      <c r="AB57" t="str">
        <v>BIOSYN-LIPID-tag_c</v>
      </c>
      <c r="AC57" t="str">
        <v>MET-tag_c --&gt; 0.885513 BIO-tag_c</v>
      </c>
    </row>
    <row r="58" spans="1:29" ht="16" x14ac:dyDescent="0.2">
      <c r="A58" s="144" t="s">
        <v>1257</v>
      </c>
      <c r="B58" t="str">
        <f>SUBSTITUTE(_xlfn.TEXTBEFORE(mets24[[#This Row],[pasted JSON metabolite keys and values from GSM biomass rxn]],":"),CHAR(34),"")</f>
        <v>pe_c</v>
      </c>
      <c r="C58" t="str">
        <f>_xlfn.TEXTBEFORE(mets24[[#This Row],[name]],"_",-1)</f>
        <v>pe</v>
      </c>
      <c r="D58" t="str">
        <f>_xlfn.XLOOKUP(mets24[[#This Row],[name w/o location]],metaboliteInfo[name w/o location],metaboliteInfo[suggested category],"")</f>
        <v>LIPID</v>
      </c>
      <c r="E58" s="21">
        <f>_xlfn.XLOOKUP(mets24[[#This Row],[name w/o location]],metaboliteInfo[name w/o location],metaboliteInfo[MW for biomass normalization (g/mol)],0)</f>
        <v>744.08599442176001</v>
      </c>
      <c r="F58" s="21">
        <f>_xlfn.NUMBERVALUE(SUBSTITUTE(_xlfn.TEXTAFTER(mets24[[#This Row],[pasted JSON metabolite keys and values from GSM biomass rxn]],":"),",",""))</f>
        <v>-1.9289999999999999E-3</v>
      </c>
      <c r="G58" s="21" cm="1">
        <f t="array" ref="G58">_xlfn.LET(_xlpm.id,mets24[[#This Row],[name w/o location]],IF(IsElementOfSet_DIY(_xlpm.id,{"atp","adp","h","pi","h2o"}),SIGN(mets24[[#This Row],[raw (GSM) coefficient]])*(ABS(mets24[[#This Row],[raw (GSM) coefficient]])-$J$2),mets24[[#This Row],[raw (GSM) coefficient]]))</f>
        <v>-1.9289999999999999E-3</v>
      </c>
      <c r="H58" s="21">
        <f>mets24[[#This Row],[coeff. w/o GAM]]</f>
        <v>-1.9289999999999999E-3</v>
      </c>
      <c r="I58" s="161">
        <f t="shared" si="0"/>
        <v>-1.9290007272884564E-3</v>
      </c>
      <c r="J58" s="21" cm="1">
        <f t="array" ref="J58">_xlfn.LET(_xlpm.id,mets24[[#This Row],[name w/o location]],_xlpm.oldcoeff,mets24[[#This Row],[normalized coeffs]],_xlpm.gam,$J$2-$G$2,_xlfn.IFS(IFERROR(MATCH(_xlpm.id,{"atp","h2o"},0),0)&gt;0,_xlpm.oldcoeff-_xlpm.gam,IFERROR(MATCH(_xlpm.id,{"adp","h","pi"},0),0)&gt;0,_xlpm.oldcoeff+_xlpm.gam,TRUE,_xlpm.oldcoeff))</f>
        <v>-1.9290007272884564E-3</v>
      </c>
      <c r="K58" t="str" cm="1">
        <f t="array" ref="K58">"BIOSYN-"&amp;_xlfn.IFS(IFERROR(MATCH(mets24[[#This Row],[category]],{0,"0",""},0),0)&gt;0,mets24[[#This Row],[name]],TRUE,mets24[[#This Row],[category]]&amp;"-"&amp;mets24[[#This Row],[name]])</f>
        <v>BIOSYN-LIPID-pe_c</v>
      </c>
      <c r="L58" s="149" t="str" cm="1">
        <f t="array" ref="L58">IF(IsElementOfSet_DIY(mets24[[#This Row],[category]],{"ignore","PROT"}),"",_xlfn.LET(_xlpm.mw,mets24[[#This Row],[MW for biomass normalization (g/mol)]],"MET-"&amp;mets24[[#This Row],[name]]&amp;" --&gt; "&amp;IF((mets24[[#This Row],[category]]="DNA")+(mets24[[#This Row],[category]]="RNA"),"MET-ppi_c + ","")&amp;ROUND(ABS(_xlpm.mw/1000),6)&amp;" BIO-"&amp;mets24[[#This Row],[name]]))</f>
        <v>MET-pe_c --&gt; 0.744086 BIO-pe_c</v>
      </c>
      <c r="M58" s="149" cm="1">
        <f t="array" ref="M5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-1.9289973007298865E-3</v>
      </c>
      <c r="N58" s="149"/>
      <c r="O58" s="149"/>
      <c r="P58" s="149"/>
      <c r="Q58" s="149"/>
      <c r="R58" s="149"/>
      <c r="S58" s="149"/>
      <c r="T58" s="149"/>
      <c r="U58" s="149"/>
      <c r="V58" s="149"/>
      <c r="AB58" t="str">
        <v>BIOSYN-LIPID-ttcosa_c</v>
      </c>
      <c r="AC58" t="str">
        <v>MET-ttcosa_c --&gt; 0.367628 BIO-ttcosa_c</v>
      </c>
    </row>
    <row r="59" spans="1:29" ht="16" x14ac:dyDescent="0.2">
      <c r="A59" s="144" t="s">
        <v>1258</v>
      </c>
      <c r="B59" t="str">
        <f>SUBSTITUTE(_xlfn.TEXTBEFORE(mets24[[#This Row],[pasted JSON metabolite keys and values from GSM biomass rxn]],":"),CHAR(34),"")</f>
        <v>phetrna_c</v>
      </c>
      <c r="C59" t="str">
        <f>_xlfn.TEXTBEFORE(mets24[[#This Row],[name]],"_",-1)</f>
        <v>phetrna</v>
      </c>
      <c r="D59" t="str">
        <f>_xlfn.XLOOKUP(mets24[[#This Row],[name w/o location]],metaboliteInfo[name w/o location],metaboliteInfo[suggested category],"")</f>
        <v>PROT</v>
      </c>
      <c r="E59" s="21">
        <f>_xlfn.XLOOKUP(mets24[[#This Row],[name w/o location]],metaboliteInfo[name w/o location],metaboliteInfo[MW for biomass normalization (g/mol)],0)</f>
        <v>148.18180000000001</v>
      </c>
      <c r="F59" s="21">
        <f>_xlfn.NUMBERVALUE(SUBSTITUTE(_xlfn.TEXTAFTER(mets24[[#This Row],[pasted JSON metabolite keys and values from GSM biomass rxn]],":"),",",""))</f>
        <v>-4.6771E-2</v>
      </c>
      <c r="G59" s="21" cm="1">
        <f t="array" ref="G59">_xlfn.LET(_xlpm.id,mets24[[#This Row],[name w/o location]],IF(IsElementOfSet_DIY(_xlpm.id,{"atp","adp","h","pi","h2o"}),SIGN(mets24[[#This Row],[raw (GSM) coefficient]])*(ABS(mets24[[#This Row],[raw (GSM) coefficient]])-$J$2),mets24[[#This Row],[raw (GSM) coefficient]]))</f>
        <v>-4.6771E-2</v>
      </c>
      <c r="H59" s="21">
        <f>mets24[[#This Row],[coeff. w/o GAM]]</f>
        <v>-4.6771E-2</v>
      </c>
      <c r="I59" s="161">
        <f t="shared" si="0"/>
        <v>-4.6771017634011612E-2</v>
      </c>
      <c r="J59" s="21" cm="1">
        <f t="array" ref="J59">_xlfn.LET(_xlpm.id,mets24[[#This Row],[name w/o location]],_xlpm.oldcoeff,mets24[[#This Row],[normalized coeffs]],_xlpm.gam,$J$2-$G$2,_xlfn.IFS(IFERROR(MATCH(_xlpm.id,{"atp","h2o"},0),0)&gt;0,_xlpm.oldcoeff-_xlpm.gam,IFERROR(MATCH(_xlpm.id,{"adp","h","pi"},0),0)&gt;0,_xlpm.oldcoeff+_xlpm.gam,TRUE,_xlpm.oldcoeff))</f>
        <v>-4.6771017634011612E-2</v>
      </c>
      <c r="K59" t="str" cm="1">
        <f t="array" ref="K59">"BIOSYN-"&amp;_xlfn.IFS(IFERROR(MATCH(mets24[[#This Row],[category]],{0,"0",""},0),0)&gt;0,mets24[[#This Row],[name]],TRUE,mets24[[#This Row],[category]]&amp;"-"&amp;mets24[[#This Row],[name]])</f>
        <v>BIOSYN-PROT-phetrna_c</v>
      </c>
      <c r="L59" s="149" t="str" cm="1">
        <f t="array" ref="L59">IF(IsElementOfSet_DIY(mets24[[#This Row],[category]],{"ignore","PROT"}),"",_xlfn.LET(_xlpm.mw,mets24[[#This Row],[MW for biomass normalization (g/mol)]],"MET-"&amp;mets24[[#This Row],[name]]&amp;" --&gt; "&amp;IF((mets24[[#This Row],[category]]="DNA")+(mets24[[#This Row],[category]]="RNA"),"MET-ppi_c + ","")&amp;ROUND(ABS(_xlpm.mw/1000),6)&amp;" BIO-"&amp;mets24[[#This Row],[name]]))</f>
        <v/>
      </c>
      <c r="M59" s="149" cm="1">
        <f t="array" ref="M5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-4.6771071159635601E-2</v>
      </c>
      <c r="N59" s="149"/>
      <c r="O59" s="149"/>
      <c r="P59" s="149"/>
      <c r="Q59" s="149"/>
      <c r="R59" s="149"/>
      <c r="S59" s="149"/>
      <c r="T59" s="149"/>
      <c r="U59" s="149"/>
      <c r="V59" s="149"/>
      <c r="AB59" t="str">
        <v>BIOSYN-METAL-ca2_c</v>
      </c>
      <c r="AC59" t="str">
        <v>MET-ca2_c --&gt; 0.040078 BIO-ca2_c</v>
      </c>
    </row>
    <row r="60" spans="1:29" ht="16" x14ac:dyDescent="0.2">
      <c r="A60" s="144" t="s">
        <v>1259</v>
      </c>
      <c r="B60" t="str">
        <f>SUBSTITUTE(_xlfn.TEXTBEFORE(mets24[[#This Row],[pasted JSON metabolite keys and values from GSM biomass rxn]],":"),CHAR(34),"")</f>
        <v>pi_c</v>
      </c>
      <c r="C60" t="str">
        <f>_xlfn.TEXTBEFORE(mets24[[#This Row],[name]],"_",-1)</f>
        <v>pi</v>
      </c>
      <c r="D60" t="str">
        <f>_xlfn.XLOOKUP(mets24[[#This Row],[name w/o location]],metaboliteInfo[name w/o location],metaboliteInfo[suggested category],"")</f>
        <v>PI</v>
      </c>
      <c r="E60" s="21">
        <f>_xlfn.XLOOKUP(mets24[[#This Row],[name w/o location]],metaboliteInfo[name w/o location],metaboliteInfo[MW for biomass normalization (g/mol)],0)</f>
        <v>95.979301000000007</v>
      </c>
      <c r="F60" s="21">
        <f>_xlfn.NUMBERVALUE(SUBSTITUTE(_xlfn.TEXTAFTER(mets24[[#This Row],[pasted JSON metabolite keys and values from GSM biomass rxn]],":"),",",""))</f>
        <v>183.565156</v>
      </c>
      <c r="G60" s="21" cm="1">
        <f t="array" ref="G60">_xlfn.LET(_xlpm.id,mets24[[#This Row],[name w/o location]],IF(IsElementOfSet_DIY(_xlpm.id,{"atp","adp","h","pi","h2o"}),SIGN(mets24[[#This Row],[raw (GSM) coefficient]])*(ABS(mets24[[#This Row],[raw (GSM) coefficient]])-$J$2),mets24[[#This Row],[raw (GSM) coefficient]]))</f>
        <v>-0.10654399999998532</v>
      </c>
      <c r="H60" s="21">
        <f>mets24[[#This Row],[coeff. w/o GAM]]</f>
        <v>-0.10654399999998532</v>
      </c>
      <c r="I60" s="161">
        <f t="shared" si="0"/>
        <v>-0.10654404017013633</v>
      </c>
      <c r="J60" s="21" cm="1">
        <f t="array" ref="J60">_xlfn.LET(_xlpm.id,mets24[[#This Row],[name w/o location]],_xlpm.oldcoeff,mets24[[#This Row],[normalized coeffs]],_xlpm.gam,$J$2-$G$2,_xlfn.IFS(IFERROR(MATCH(_xlpm.id,{"atp","h2o"},0),0)&gt;0,_xlpm.oldcoeff-_xlpm.gam,IFERROR(MATCH(_xlpm.id,{"adp","h","pi"},0),0)&gt;0,_xlpm.oldcoeff+_xlpm.gam,TRUE,_xlpm.oldcoeff))</f>
        <v>180.98515595982983</v>
      </c>
      <c r="K60" t="str" cm="1">
        <f t="array" ref="K60">"BIOSYN-"&amp;_xlfn.IFS(IFERROR(MATCH(mets24[[#This Row],[category]],{0,"0",""},0),0)&gt;0,mets24[[#This Row],[name]],TRUE,mets24[[#This Row],[category]]&amp;"-"&amp;mets24[[#This Row],[name]])</f>
        <v>BIOSYN-PI-pi_c</v>
      </c>
      <c r="L60" s="149" t="str" cm="1">
        <f t="array" ref="L60">IF(IsElementOfSet_DIY(mets24[[#This Row],[category]],{"ignore","PROT"}),"",_xlfn.LET(_xlpm.mw,mets24[[#This Row],[MW for biomass normalization (g/mol)]],"MET-"&amp;mets24[[#This Row],[name]]&amp;" --&gt; "&amp;IF((mets24[[#This Row],[category]]="DNA")+(mets24[[#This Row],[category]]="RNA"),"MET-ppi_c + ","")&amp;ROUND(ABS(_xlpm.mw/1000),6)&amp;" BIO-"&amp;mets24[[#This Row],[name]]))</f>
        <v>MET-pi_c --&gt; 0.095979 BIO-pi_c</v>
      </c>
      <c r="M60" s="149" cm="1">
        <f t="array" ref="M6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183.56515595982984</v>
      </c>
      <c r="N60" s="149"/>
      <c r="O60" s="149"/>
      <c r="P60" s="149"/>
      <c r="Q60" s="149"/>
      <c r="R60" s="149"/>
      <c r="S60" s="149"/>
      <c r="T60" s="149"/>
      <c r="U60" s="149"/>
      <c r="V60" s="149"/>
      <c r="AB60" t="str">
        <v>BIOSYN-METAL-cu2_c</v>
      </c>
      <c r="AC60" t="str">
        <v>MET-cu2_c --&gt; 0.063546 BIO-cu2_c</v>
      </c>
    </row>
    <row r="61" spans="1:29" ht="16" x14ac:dyDescent="0.2">
      <c r="A61" s="144" t="s">
        <v>1260</v>
      </c>
      <c r="B61" t="str">
        <f>SUBSTITUTE(_xlfn.TEXTBEFORE(mets24[[#This Row],[pasted JSON metabolite keys and values from GSM biomass rxn]],":"),CHAR(34),"")</f>
        <v>ppi_c</v>
      </c>
      <c r="C61" t="str">
        <f>_xlfn.TEXTBEFORE(mets24[[#This Row],[name]],"_",-1)</f>
        <v>ppi</v>
      </c>
      <c r="D61">
        <f>_xlfn.XLOOKUP(mets24[[#This Row],[name w/o location]],metaboliteInfo[name w/o location],metaboliteInfo[suggested category],"")</f>
        <v>0</v>
      </c>
      <c r="E61" s="21">
        <f>_xlfn.XLOOKUP(mets24[[#This Row],[name w/o location]],metaboliteInfo[name w/o location],metaboliteInfo[MW for biomass normalization (g/mol)],0)</f>
        <v>174.95126200000001</v>
      </c>
      <c r="F61" s="21">
        <f>_xlfn.NUMBERVALUE(SUBSTITUTE(_xlfn.TEXTAFTER(mets24[[#This Row],[pasted JSON metabolite keys and values from GSM biomass rxn]],":"),",",""))</f>
        <v>0.15700900000000001</v>
      </c>
      <c r="G61" s="21" cm="1">
        <f t="array" ref="G61">_xlfn.LET(_xlpm.id,mets24[[#This Row],[name w/o location]],IF(IsElementOfSet_DIY(_xlpm.id,{"atp","adp","h","pi","h2o"}),SIGN(mets24[[#This Row],[raw (GSM) coefficient]])*(ABS(mets24[[#This Row],[raw (GSM) coefficient]])-$J$2),mets24[[#This Row],[raw (GSM) coefficient]]))</f>
        <v>0.15700900000000001</v>
      </c>
      <c r="H61" s="21">
        <f>mets24[[#This Row],[coeff. w/o GAM]]</f>
        <v>0.15700900000000001</v>
      </c>
      <c r="I61" s="161">
        <f t="shared" si="0"/>
        <v>0.15700905919690683</v>
      </c>
      <c r="J61" s="21" cm="1">
        <f t="array" ref="J61">_xlfn.LET(_xlpm.id,mets24[[#This Row],[name w/o location]],_xlpm.oldcoeff,mets24[[#This Row],[normalized coeffs]],_xlpm.gam,$J$2-$G$2,_xlfn.IFS(IFERROR(MATCH(_xlpm.id,{"atp","h2o"},0),0)&gt;0,_xlpm.oldcoeff-_xlpm.gam,IFERROR(MATCH(_xlpm.id,{"adp","h","pi"},0),0)&gt;0,_xlpm.oldcoeff+_xlpm.gam,TRUE,_xlpm.oldcoeff))</f>
        <v>0.15700905919690683</v>
      </c>
      <c r="K61" t="str" cm="1">
        <f t="array" ref="K61">"BIOSYN-"&amp;_xlfn.IFS(IFERROR(MATCH(mets24[[#This Row],[category]],{0,"0",""},0),0)&gt;0,mets24[[#This Row],[name]],TRUE,mets24[[#This Row],[category]]&amp;"-"&amp;mets24[[#This Row],[name]])</f>
        <v>BIOSYN-ppi_c</v>
      </c>
      <c r="L61" s="149" t="str" cm="1">
        <f t="array" ref="L61">IF(IsElementOfSet_DIY(mets24[[#This Row],[category]],{"ignore","PROT"}),"",_xlfn.LET(_xlpm.mw,mets24[[#This Row],[MW for biomass normalization (g/mol)]],"MET-"&amp;mets24[[#This Row],[name]]&amp;" --&gt; "&amp;IF((mets24[[#This Row],[category]]="DNA")+(mets24[[#This Row],[category]]="RNA"),"MET-ppi_c + ","")&amp;ROUND(ABS(_xlpm.mw/1000),6)&amp;" BIO-"&amp;mets24[[#This Row],[name]]))</f>
        <v>MET-ppi_c --&gt; 0.174951 BIO-ppi_c</v>
      </c>
      <c r="M61" s="149" cm="1">
        <f t="array" ref="M6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0.15700861106203706</v>
      </c>
      <c r="N61" s="149"/>
      <c r="O61" s="149"/>
      <c r="P61" s="149"/>
      <c r="Q61" s="149"/>
      <c r="R61" s="149"/>
      <c r="S61" s="149"/>
      <c r="T61" s="149"/>
      <c r="U61" s="149"/>
      <c r="V61" s="149"/>
      <c r="AB61" t="str">
        <v>BIOSYN-METAL-fe2_c</v>
      </c>
      <c r="AC61" t="str">
        <v>MET-fe2_c --&gt; 0.055845 BIO-fe2_c</v>
      </c>
    </row>
    <row r="62" spans="1:29" ht="16" x14ac:dyDescent="0.2">
      <c r="A62" s="144" t="s">
        <v>1261</v>
      </c>
      <c r="B62" t="str">
        <f>SUBSTITUTE(_xlfn.TEXTBEFORE(mets24[[#This Row],[pasted JSON metabolite keys and values from GSM biomass rxn]],":"),CHAR(34),"")</f>
        <v>protrna_c</v>
      </c>
      <c r="C62" t="str">
        <f>_xlfn.TEXTBEFORE(mets24[[#This Row],[name]],"_",-1)</f>
        <v>protrna</v>
      </c>
      <c r="D62" t="str">
        <f>_xlfn.XLOOKUP(mets24[[#This Row],[name w/o location]],metaboliteInfo[name w/o location],metaboliteInfo[suggested category],"")</f>
        <v>PROT</v>
      </c>
      <c r="E62" s="21">
        <f>_xlfn.XLOOKUP(mets24[[#This Row],[name w/o location]],metaboliteInfo[name w/o location],metaboliteInfo[MW for biomass normalization (g/mol)],0)</f>
        <v>97.115179999999995</v>
      </c>
      <c r="F62" s="21">
        <f>_xlfn.NUMBERVALUE(SUBSTITUTE(_xlfn.TEXTAFTER(mets24[[#This Row],[pasted JSON metabolite keys and values from GSM biomass rxn]],":"),",",""))</f>
        <v>-5.2491999999999997E-2</v>
      </c>
      <c r="G62" s="21" cm="1">
        <f t="array" ref="G62">_xlfn.LET(_xlpm.id,mets24[[#This Row],[name w/o location]],IF(IsElementOfSet_DIY(_xlpm.id,{"atp","adp","h","pi","h2o"}),SIGN(mets24[[#This Row],[raw (GSM) coefficient]])*(ABS(mets24[[#This Row],[raw (GSM) coefficient]])-$J$2),mets24[[#This Row],[raw (GSM) coefficient]]))</f>
        <v>-5.2491999999999997E-2</v>
      </c>
      <c r="H62" s="21">
        <f>mets24[[#This Row],[coeff. w/o GAM]]</f>
        <v>-5.2491999999999997E-2</v>
      </c>
      <c r="I62" s="161">
        <f t="shared" si="0"/>
        <v>-5.2492019790993077E-2</v>
      </c>
      <c r="J62" s="21" cm="1">
        <f t="array" ref="J62">_xlfn.LET(_xlpm.id,mets24[[#This Row],[name w/o location]],_xlpm.oldcoeff,mets24[[#This Row],[normalized coeffs]],_xlpm.gam,$J$2-$G$2,_xlfn.IFS(IFERROR(MATCH(_xlpm.id,{"atp","h2o"},0),0)&gt;0,_xlpm.oldcoeff-_xlpm.gam,IFERROR(MATCH(_xlpm.id,{"adp","h","pi"},0),0)&gt;0,_xlpm.oldcoeff+_xlpm.gam,TRUE,_xlpm.oldcoeff))</f>
        <v>-5.2492019790993077E-2</v>
      </c>
      <c r="K62" t="str" cm="1">
        <f t="array" ref="K62">"BIOSYN-"&amp;_xlfn.IFS(IFERROR(MATCH(mets24[[#This Row],[category]],{0,"0",""},0),0)&gt;0,mets24[[#This Row],[name]],TRUE,mets24[[#This Row],[category]]&amp;"-"&amp;mets24[[#This Row],[name]])</f>
        <v>BIOSYN-PROT-protrna_c</v>
      </c>
      <c r="L62" s="149" t="str" cm="1">
        <f t="array" ref="L62">IF(IsElementOfSet_DIY(mets24[[#This Row],[category]],{"ignore","PROT"}),"",_xlfn.LET(_xlpm.mw,mets24[[#This Row],[MW for biomass normalization (g/mol)]],"MET-"&amp;mets24[[#This Row],[name]]&amp;" --&gt; "&amp;IF((mets24[[#This Row],[category]]="DNA")+(mets24[[#This Row],[category]]="RNA"),"MET-ppi_c + ","")&amp;ROUND(ABS(_xlpm.mw/1000),6)&amp;" BIO-"&amp;mets24[[#This Row],[name]]))</f>
        <v/>
      </c>
      <c r="M62" s="149" cm="1">
        <f t="array" ref="M6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-5.2492079863838526E-2</v>
      </c>
      <c r="N62" s="149"/>
      <c r="O62" s="149"/>
      <c r="P62" s="149"/>
      <c r="Q62" s="149"/>
      <c r="R62" s="149"/>
      <c r="S62" s="149"/>
      <c r="T62" s="149"/>
      <c r="U62" s="149"/>
      <c r="V62" s="149"/>
      <c r="AB62" t="str">
        <v>BIOSYN-METAL-k_c</v>
      </c>
      <c r="AC62" t="str">
        <v>MET-k_c --&gt; 0.039098 BIO-k_c</v>
      </c>
    </row>
    <row r="63" spans="1:29" ht="16" x14ac:dyDescent="0.2">
      <c r="A63" s="144" t="s">
        <v>1262</v>
      </c>
      <c r="B63" t="str">
        <f>SUBSTITUTE(_xlfn.TEXTBEFORE(mets24[[#This Row],[pasted JSON metabolite keys and values from GSM biomass rxn]],":"),CHAR(34),"")</f>
        <v>ps_c</v>
      </c>
      <c r="C63" t="str">
        <f>_xlfn.TEXTBEFORE(mets24[[#This Row],[name]],"_",-1)</f>
        <v>ps</v>
      </c>
      <c r="D63" t="str">
        <f>_xlfn.XLOOKUP(mets24[[#This Row],[name w/o location]],metaboliteInfo[name w/o location],metaboliteInfo[suggested category],"")</f>
        <v>LIPID</v>
      </c>
      <c r="E63" s="21">
        <f>_xlfn.XLOOKUP(mets24[[#This Row],[name w/o location]],metaboliteInfo[name w/o location],metaboliteInfo[MW for biomass normalization (g/mol)],0)</f>
        <v>786.07881442175994</v>
      </c>
      <c r="F63" s="21">
        <f>_xlfn.NUMBERVALUE(SUBSTITUTE(_xlfn.TEXTAFTER(mets24[[#This Row],[pasted JSON metabolite keys and values from GSM biomass rxn]],":"),",",""))</f>
        <v>-1.034E-3</v>
      </c>
      <c r="G63" s="21" cm="1">
        <f t="array" ref="G63">_xlfn.LET(_xlpm.id,mets24[[#This Row],[name w/o location]],IF(IsElementOfSet_DIY(_xlpm.id,{"atp","adp","h","pi","h2o"}),SIGN(mets24[[#This Row],[raw (GSM) coefficient]])*(ABS(mets24[[#This Row],[raw (GSM) coefficient]])-$J$2),mets24[[#This Row],[raw (GSM) coefficient]]))</f>
        <v>-1.034E-3</v>
      </c>
      <c r="H63" s="21">
        <f>mets24[[#This Row],[coeff. w/o GAM]]</f>
        <v>-1.034E-3</v>
      </c>
      <c r="I63" s="161">
        <f t="shared" si="0"/>
        <v>-1.0340003898477263E-3</v>
      </c>
      <c r="J63" s="21" cm="1">
        <f t="array" ref="J63">_xlfn.LET(_xlpm.id,mets24[[#This Row],[name w/o location]],_xlpm.oldcoeff,mets24[[#This Row],[normalized coeffs]],_xlpm.gam,$J$2-$G$2,_xlfn.IFS(IFERROR(MATCH(_xlpm.id,{"atp","h2o"},0),0)&gt;0,_xlpm.oldcoeff-_xlpm.gam,IFERROR(MATCH(_xlpm.id,{"adp","h","pi"},0),0)&gt;0,_xlpm.oldcoeff+_xlpm.gam,TRUE,_xlpm.oldcoeff))</f>
        <v>-1.0340003898477263E-3</v>
      </c>
      <c r="K63" t="str" cm="1">
        <f t="array" ref="K63">"BIOSYN-"&amp;_xlfn.IFS(IFERROR(MATCH(mets24[[#This Row],[category]],{0,"0",""},0),0)&gt;0,mets24[[#This Row],[name]],TRUE,mets24[[#This Row],[category]]&amp;"-"&amp;mets24[[#This Row],[name]])</f>
        <v>BIOSYN-LIPID-ps_c</v>
      </c>
      <c r="L63" s="149" t="str" cm="1">
        <f t="array" ref="L63">IF(IsElementOfSet_DIY(mets24[[#This Row],[category]],{"ignore","PROT"}),"",_xlfn.LET(_xlpm.mw,mets24[[#This Row],[MW for biomass normalization (g/mol)]],"MET-"&amp;mets24[[#This Row],[name]]&amp;" --&gt; "&amp;IF((mets24[[#This Row],[category]]="DNA")+(mets24[[#This Row],[category]]="RNA"),"MET-ppi_c + ","")&amp;ROUND(ABS(_xlpm.mw/1000),6)&amp;" BIO-"&amp;mets24[[#This Row],[name]]))</f>
        <v>MET-ps_c --&gt; 0.786079 BIO-ps_c</v>
      </c>
      <c r="M63" s="149" cm="1">
        <f t="array" ref="M6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-1.0339985531128578E-3</v>
      </c>
      <c r="N63" s="149"/>
      <c r="O63" s="149"/>
      <c r="P63" s="149"/>
      <c r="Q63" s="149"/>
      <c r="R63" s="149"/>
      <c r="S63" s="149"/>
      <c r="T63" s="149"/>
      <c r="U63" s="149"/>
      <c r="V63" s="149"/>
      <c r="AB63" t="str">
        <v>BIOSYN-METAL-mg2_c</v>
      </c>
      <c r="AC63" t="str">
        <v>MET-mg2_c --&gt; 0.024305 BIO-mg2_c</v>
      </c>
    </row>
    <row r="64" spans="1:29" ht="16" x14ac:dyDescent="0.2">
      <c r="A64" s="144" t="s">
        <v>1263</v>
      </c>
      <c r="B64" t="str">
        <f>SUBSTITUTE(_xlfn.TEXTBEFORE(mets24[[#This Row],[pasted JSON metabolite keys and values from GSM biomass rxn]],":"),CHAR(34),"")</f>
        <v>ribflv_c</v>
      </c>
      <c r="C64" t="str">
        <f>_xlfn.TEXTBEFORE(mets24[[#This Row],[name]],"_",-1)</f>
        <v>ribflv</v>
      </c>
      <c r="D64" t="str">
        <f>_xlfn.XLOOKUP(mets24[[#This Row],[name w/o location]],metaboliteInfo[name w/o location],metaboliteInfo[suggested category],"")</f>
        <v>COFACTOR</v>
      </c>
      <c r="E64" s="21">
        <f>_xlfn.XLOOKUP(mets24[[#This Row],[name w/o location]],metaboliteInfo[name w/o location],metaboliteInfo[MW for biomass normalization (g/mol)],0)</f>
        <v>375.35595999999998</v>
      </c>
      <c r="F64" s="21">
        <f>_xlfn.NUMBERVALUE(SUBSTITUTE(_xlfn.TEXTAFTER(mets24[[#This Row],[pasted JSON metabolite keys and values from GSM biomass rxn]],":"),",",""))</f>
        <v>-1.01E-4</v>
      </c>
      <c r="G64" s="21" cm="1">
        <f t="array" ref="G64">_xlfn.LET(_xlpm.id,mets24[[#This Row],[name w/o location]],IF(IsElementOfSet_DIY(_xlpm.id,{"atp","adp","h","pi","h2o"}),SIGN(mets24[[#This Row],[raw (GSM) coefficient]])*(ABS(mets24[[#This Row],[raw (GSM) coefficient]])-$J$2),mets24[[#This Row],[raw (GSM) coefficient]]))</f>
        <v>-1.01E-4</v>
      </c>
      <c r="H64" s="21">
        <f>mets24[[#This Row],[coeff. w/o GAM]]</f>
        <v>-1.01E-4</v>
      </c>
      <c r="I64" s="161">
        <f t="shared" si="0"/>
        <v>-1.0100003807990364E-4</v>
      </c>
      <c r="J64" s="21" cm="1">
        <f t="array" ref="J64">_xlfn.LET(_xlpm.id,mets24[[#This Row],[name w/o location]],_xlpm.oldcoeff,mets24[[#This Row],[normalized coeffs]],_xlpm.gam,$J$2-$G$2,_xlfn.IFS(IFERROR(MATCH(_xlpm.id,{"atp","h2o"},0),0)&gt;0,_xlpm.oldcoeff-_xlpm.gam,IFERROR(MATCH(_xlpm.id,{"adp","h","pi"},0),0)&gt;0,_xlpm.oldcoeff+_xlpm.gam,TRUE,_xlpm.oldcoeff))</f>
        <v>-1.0100003807990364E-4</v>
      </c>
      <c r="K64" t="str" cm="1">
        <f t="array" ref="K64">"BIOSYN-"&amp;_xlfn.IFS(IFERROR(MATCH(mets24[[#This Row],[category]],{0,"0",""},0),0)&gt;0,mets24[[#This Row],[name]],TRUE,mets24[[#This Row],[category]]&amp;"-"&amp;mets24[[#This Row],[name]])</f>
        <v>BIOSYN-COFACTOR-ribflv_c</v>
      </c>
      <c r="L64" s="149" t="str" cm="1">
        <f t="array" ref="L64">IF(IsElementOfSet_DIY(mets24[[#This Row],[category]],{"ignore","PROT"}),"",_xlfn.LET(_xlpm.mw,mets24[[#This Row],[MW for biomass normalization (g/mol)]],"MET-"&amp;mets24[[#This Row],[name]]&amp;" --&gt; "&amp;IF((mets24[[#This Row],[category]]="DNA")+(mets24[[#This Row],[category]]="RNA"),"MET-ppi_c + ","")&amp;ROUND(ABS(_xlpm.mw/1000),6)&amp;" BIO-"&amp;mets24[[#This Row],[name]]))</f>
        <v>MET-ribflv_c --&gt; 0.375356 BIO-ribflv_c</v>
      </c>
      <c r="M64" s="149" cm="1">
        <f t="array" ref="M6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64" s="149"/>
      <c r="O64" s="149"/>
      <c r="P64" s="149"/>
      <c r="Q64" s="149"/>
      <c r="R64" s="149"/>
      <c r="S64" s="149"/>
      <c r="T64" s="149"/>
      <c r="U64" s="149"/>
      <c r="V64" s="149"/>
      <c r="AB64" t="str">
        <v>BIOSYN-METAL-mn2_c</v>
      </c>
      <c r="AC64" t="str">
        <v>MET-mn2_c --&gt; 0.054938 BIO-mn2_c</v>
      </c>
    </row>
    <row r="65" spans="1:29" ht="16" x14ac:dyDescent="0.2">
      <c r="A65" s="144" t="s">
        <v>1264</v>
      </c>
      <c r="B65" t="str">
        <f>SUBSTITUTE(_xlfn.TEXTBEFORE(mets24[[#This Row],[pasted JSON metabolite keys and values from GSM biomass rxn]],":"),CHAR(34),"")</f>
        <v>sertrna_c</v>
      </c>
      <c r="C65" t="str">
        <f>_xlfn.TEXTBEFORE(mets24[[#This Row],[name]],"_",-1)</f>
        <v>sertrna</v>
      </c>
      <c r="D65" t="str">
        <f>_xlfn.XLOOKUP(mets24[[#This Row],[name w/o location]],metaboliteInfo[name w/o location],metaboliteInfo[suggested category],"")</f>
        <v>PROT</v>
      </c>
      <c r="E65" s="21">
        <f>_xlfn.XLOOKUP(mets24[[#This Row],[name w/o location]],metaboliteInfo[name w/o location],metaboliteInfo[MW for biomass normalization (g/mol)],0)</f>
        <v>88.085239999999999</v>
      </c>
      <c r="F65" s="21">
        <f>_xlfn.NUMBERVALUE(SUBSTITUTE(_xlfn.TEXTAFTER(mets24[[#This Row],[pasted JSON metabolite keys and values from GSM biomass rxn]],":"),",",""))</f>
        <v>-6.6299999999999998E-2</v>
      </c>
      <c r="G65" s="21" cm="1">
        <f t="array" ref="G65">_xlfn.LET(_xlpm.id,mets24[[#This Row],[name w/o location]],IF(IsElementOfSet_DIY(_xlpm.id,{"atp","adp","h","pi","h2o"}),SIGN(mets24[[#This Row],[raw (GSM) coefficient]])*(ABS(mets24[[#This Row],[raw (GSM) coefficient]])-$J$2),mets24[[#This Row],[raw (GSM) coefficient]]))</f>
        <v>-6.6299999999999998E-2</v>
      </c>
      <c r="H65" s="21">
        <f>mets24[[#This Row],[coeff. w/o GAM]]</f>
        <v>-6.6299999999999998E-2</v>
      </c>
      <c r="I65" s="161">
        <f t="shared" si="0"/>
        <v>-6.6300024997006046E-2</v>
      </c>
      <c r="J65" s="21" cm="1">
        <f t="array" ref="J65">_xlfn.LET(_xlpm.id,mets24[[#This Row],[name w/o location]],_xlpm.oldcoeff,mets24[[#This Row],[normalized coeffs]],_xlpm.gam,$J$2-$G$2,_xlfn.IFS(IFERROR(MATCH(_xlpm.id,{"atp","h2o"},0),0)&gt;0,_xlpm.oldcoeff-_xlpm.gam,IFERROR(MATCH(_xlpm.id,{"adp","h","pi"},0),0)&gt;0,_xlpm.oldcoeff+_xlpm.gam,TRUE,_xlpm.oldcoeff))</f>
        <v>-6.6300024997006046E-2</v>
      </c>
      <c r="K65" t="str" cm="1">
        <f t="array" ref="K65">"BIOSYN-"&amp;_xlfn.IFS(IFERROR(MATCH(mets24[[#This Row],[category]],{0,"0",""},0),0)&gt;0,mets24[[#This Row],[name]],TRUE,mets24[[#This Row],[category]]&amp;"-"&amp;mets24[[#This Row],[name]])</f>
        <v>BIOSYN-PROT-sertrna_c</v>
      </c>
      <c r="L65" s="149" t="str" cm="1">
        <f t="array" ref="L65">IF(IsElementOfSet_DIY(mets24[[#This Row],[category]],{"ignore","PROT"}),"",_xlfn.LET(_xlpm.mw,mets24[[#This Row],[MW for biomass normalization (g/mol)]],"MET-"&amp;mets24[[#This Row],[name]]&amp;" --&gt; "&amp;IF((mets24[[#This Row],[category]]="DNA")+(mets24[[#This Row],[category]]="RNA"),"MET-ppi_c + ","")&amp;ROUND(ABS(_xlpm.mw/1000),6)&amp;" BIO-"&amp;mets24[[#This Row],[name]]))</f>
        <v/>
      </c>
      <c r="M65" s="149" cm="1">
        <f t="array" ref="M6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-6.6300100871989912E-2</v>
      </c>
      <c r="N65" s="149"/>
      <c r="O65" s="149"/>
      <c r="P65" s="149"/>
      <c r="Q65" s="149"/>
      <c r="R65" s="149"/>
      <c r="S65" s="149"/>
      <c r="T65" s="149"/>
      <c r="U65" s="149"/>
      <c r="V65" s="149"/>
      <c r="AB65" t="str">
        <v>BIOSYN-METAL-zn2_c</v>
      </c>
      <c r="AC65" t="str">
        <v>MET-zn2_c --&gt; 0.06538 BIO-zn2_c</v>
      </c>
    </row>
    <row r="66" spans="1:29" ht="16" x14ac:dyDescent="0.2">
      <c r="A66" s="144" t="s">
        <v>1265</v>
      </c>
      <c r="B66" t="str">
        <f>SUBSTITUTE(_xlfn.TEXTBEFORE(mets24[[#This Row],[pasted JSON metabolite keys and values from GSM biomass rxn]],":"),CHAR(34),"")</f>
        <v>so4_c</v>
      </c>
      <c r="C66" t="str">
        <f>_xlfn.TEXTBEFORE(mets24[[#This Row],[name]],"_",-1)</f>
        <v>so4</v>
      </c>
      <c r="D66" t="str">
        <f>_xlfn.XLOOKUP(mets24[[#This Row],[name w/o location]],metaboliteInfo[name w/o location],metaboliteInfo[suggested category],"")</f>
        <v>SO4</v>
      </c>
      <c r="E66" s="21">
        <f>_xlfn.XLOOKUP(mets24[[#This Row],[name w/o location]],metaboliteInfo[name w/o location],metaboliteInfo[MW for biomass normalization (g/mol)],0)</f>
        <v>96.062600000000003</v>
      </c>
      <c r="F66" s="21">
        <f>_xlfn.NUMBERVALUE(SUBSTITUTE(_xlfn.TEXTAFTER(mets24[[#This Row],[pasted JSON metabolite keys and values from GSM biomass rxn]],":"),",",""))</f>
        <v>-3.1486E-2</v>
      </c>
      <c r="G66" s="21" cm="1">
        <f t="array" ref="G66">_xlfn.LET(_xlpm.id,mets24[[#This Row],[name w/o location]],IF(IsElementOfSet_DIY(_xlpm.id,{"atp","adp","h","pi","h2o"}),SIGN(mets24[[#This Row],[raw (GSM) coefficient]])*(ABS(mets24[[#This Row],[raw (GSM) coefficient]])-$J$2),mets24[[#This Row],[raw (GSM) coefficient]]))</f>
        <v>-3.1486E-2</v>
      </c>
      <c r="H66" s="21">
        <f>mets24[[#This Row],[coeff. w/o GAM]]</f>
        <v>-3.1486E-2</v>
      </c>
      <c r="I66" s="161">
        <f t="shared" si="0"/>
        <v>-3.1486011871127186E-2</v>
      </c>
      <c r="J66" s="21" cm="1">
        <f t="array" ref="J66">_xlfn.LET(_xlpm.id,mets24[[#This Row],[name w/o location]],_xlpm.oldcoeff,mets24[[#This Row],[normalized coeffs]],_xlpm.gam,$J$2-$G$2,_xlfn.IFS(IFERROR(MATCH(_xlpm.id,{"atp","h2o"},0),0)&gt;0,_xlpm.oldcoeff-_xlpm.gam,IFERROR(MATCH(_xlpm.id,{"adp","h","pi"},0),0)&gt;0,_xlpm.oldcoeff+_xlpm.gam,TRUE,_xlpm.oldcoeff))</f>
        <v>-3.1486011871127186E-2</v>
      </c>
      <c r="K66" t="str" cm="1">
        <f t="array" ref="K66">"BIOSYN-"&amp;_xlfn.IFS(IFERROR(MATCH(mets24[[#This Row],[category]],{0,"0",""},0),0)&gt;0,mets24[[#This Row],[name]],TRUE,mets24[[#This Row],[category]]&amp;"-"&amp;mets24[[#This Row],[name]])</f>
        <v>BIOSYN-SO4-so4_c</v>
      </c>
      <c r="L66" s="149" t="str" cm="1">
        <f t="array" ref="L66">IF(IsElementOfSet_DIY(mets24[[#This Row],[category]],{"ignore","PROT"}),"",_xlfn.LET(_xlpm.mw,mets24[[#This Row],[MW for biomass normalization (g/mol)]],"MET-"&amp;mets24[[#This Row],[name]]&amp;" --&gt; "&amp;IF((mets24[[#This Row],[category]]="DNA")+(mets24[[#This Row],[category]]="RNA"),"MET-ppi_c + ","")&amp;ROUND(ABS(_xlpm.mw/1000),6)&amp;" BIO-"&amp;mets24[[#This Row],[name]]))</f>
        <v>MET-so4_c --&gt; 0.096063 BIO-so4_c</v>
      </c>
      <c r="M66" s="149" cm="1">
        <f t="array" ref="M6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-3.1486011871127186E-2</v>
      </c>
      <c r="N66" s="149"/>
      <c r="O66" s="149"/>
      <c r="P66" s="149"/>
      <c r="Q66" s="149"/>
      <c r="R66" s="149"/>
      <c r="S66" s="149"/>
      <c r="T66" s="149"/>
      <c r="U66" s="149"/>
      <c r="V66" s="149"/>
      <c r="AB66" t="str">
        <v>BIOSYN-PI-pi_c</v>
      </c>
      <c r="AC66" t="str">
        <v>MET-pi_c --&gt; 0.095979 BIO-pi_c</v>
      </c>
    </row>
    <row r="67" spans="1:29" ht="16" x14ac:dyDescent="0.2">
      <c r="A67" s="144" t="s">
        <v>1266</v>
      </c>
      <c r="B67" t="str">
        <f>SUBSTITUTE(_xlfn.TEXTBEFORE(mets24[[#This Row],[pasted JSON metabolite keys and values from GSM biomass rxn]],":"),CHAR(34),"")</f>
        <v>spmd_c</v>
      </c>
      <c r="C67" t="str">
        <f>_xlfn.TEXTBEFORE(mets24[[#This Row],[name]],"_",-1)</f>
        <v>spmd</v>
      </c>
      <c r="D67" t="str">
        <f>_xlfn.XLOOKUP(mets24[[#This Row],[name w/o location]],metaboliteInfo[name w/o location],metaboliteInfo[suggested category],"")</f>
        <v>COFACTOR</v>
      </c>
      <c r="E67" s="21">
        <f>_xlfn.XLOOKUP(mets24[[#This Row],[name w/o location]],metaboliteInfo[name w/o location],metaboliteInfo[MW for biomass normalization (g/mol)],0)</f>
        <v>148.26967999999999</v>
      </c>
      <c r="F67" s="21">
        <f>_xlfn.NUMBERVALUE(SUBSTITUTE(_xlfn.TEXTAFTER(mets24[[#This Row],[pasted JSON metabolite keys and values from GSM biomass rxn]],":"),",",""))</f>
        <v>-1.01E-4</v>
      </c>
      <c r="G67" s="21" cm="1">
        <f t="array" ref="G67">_xlfn.LET(_xlpm.id,mets24[[#This Row],[name w/o location]],IF(IsElementOfSet_DIY(_xlpm.id,{"atp","adp","h","pi","h2o"}),SIGN(mets24[[#This Row],[raw (GSM) coefficient]])*(ABS(mets24[[#This Row],[raw (GSM) coefficient]])-$J$2),mets24[[#This Row],[raw (GSM) coefficient]]))</f>
        <v>-1.01E-4</v>
      </c>
      <c r="H67" s="21">
        <f>mets24[[#This Row],[coeff. w/o GAM]]</f>
        <v>-1.01E-4</v>
      </c>
      <c r="I67" s="161">
        <f t="shared" si="0"/>
        <v>-1.0100003807990364E-4</v>
      </c>
      <c r="J67" s="21" cm="1">
        <f t="array" ref="J67">_xlfn.LET(_xlpm.id,mets24[[#This Row],[name w/o location]],_xlpm.oldcoeff,mets24[[#This Row],[normalized coeffs]],_xlpm.gam,$J$2-$G$2,_xlfn.IFS(IFERROR(MATCH(_xlpm.id,{"atp","h2o"},0),0)&gt;0,_xlpm.oldcoeff-_xlpm.gam,IFERROR(MATCH(_xlpm.id,{"adp","h","pi"},0),0)&gt;0,_xlpm.oldcoeff+_xlpm.gam,TRUE,_xlpm.oldcoeff))</f>
        <v>-1.0100003807990364E-4</v>
      </c>
      <c r="K67" t="str" cm="1">
        <f t="array" ref="K67">"BIOSYN-"&amp;_xlfn.IFS(IFERROR(MATCH(mets24[[#This Row],[category]],{0,"0",""},0),0)&gt;0,mets24[[#This Row],[name]],TRUE,mets24[[#This Row],[category]]&amp;"-"&amp;mets24[[#This Row],[name]])</f>
        <v>BIOSYN-COFACTOR-spmd_c</v>
      </c>
      <c r="L67" s="149" t="str" cm="1">
        <f t="array" ref="L67">IF(IsElementOfSet_DIY(mets24[[#This Row],[category]],{"ignore","PROT"}),"",_xlfn.LET(_xlpm.mw,mets24[[#This Row],[MW for biomass normalization (g/mol)]],"MET-"&amp;mets24[[#This Row],[name]]&amp;" --&gt; "&amp;IF((mets24[[#This Row],[category]]="DNA")+(mets24[[#This Row],[category]]="RNA"),"MET-ppi_c + ","")&amp;ROUND(ABS(_xlpm.mw/1000),6)&amp;" BIO-"&amp;mets24[[#This Row],[name]]))</f>
        <v>MET-spmd_c --&gt; 0.14827 BIO-spmd_c</v>
      </c>
      <c r="M67" s="149" cm="1">
        <f t="array" ref="M6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67" s="149"/>
      <c r="O67" s="149"/>
      <c r="P67" s="149"/>
      <c r="Q67" s="149"/>
      <c r="R67" s="149"/>
      <c r="S67" s="149"/>
      <c r="T67" s="149"/>
      <c r="U67" s="149"/>
      <c r="V67" s="149"/>
      <c r="AB67" t="str">
        <v>BIOSYN-RNA-atp_c</v>
      </c>
      <c r="AC67" t="str">
        <v>MET-atp_c --&gt; MET-ppi_c + 0.328198 BIO-atp_c</v>
      </c>
    </row>
    <row r="68" spans="1:29" ht="16" x14ac:dyDescent="0.2">
      <c r="A68" s="144" t="s">
        <v>1267</v>
      </c>
      <c r="B68" t="str">
        <f>SUBSTITUTE(_xlfn.TEXTBEFORE(mets24[[#This Row],[pasted JSON metabolite keys and values from GSM biomass rxn]],":"),CHAR(34),"")</f>
        <v>tag_c</v>
      </c>
      <c r="C68" t="str">
        <f>_xlfn.TEXTBEFORE(mets24[[#This Row],[name]],"_",-1)</f>
        <v>tag</v>
      </c>
      <c r="D68" t="str">
        <f>_xlfn.XLOOKUP(mets24[[#This Row],[name w/o location]],metaboliteInfo[name w/o location],metaboliteInfo[suggested category],"")</f>
        <v>LIPID</v>
      </c>
      <c r="E68" s="21">
        <f>_xlfn.XLOOKUP(mets24[[#This Row],[name w/o location]],metaboliteInfo[name w/o location],metaboliteInfo[MW for biomass normalization (g/mol)],0)</f>
        <v>885.51292863263996</v>
      </c>
      <c r="F68" s="21">
        <f>_xlfn.NUMBERVALUE(SUBSTITUTE(_xlfn.TEXTAFTER(mets24[[#This Row],[pasted JSON metabolite keys and values from GSM biomass rxn]],":"),",",""))</f>
        <v>-6.3230999999999996E-2</v>
      </c>
      <c r="G68" s="21" cm="1">
        <f t="array" ref="G68">_xlfn.LET(_xlpm.id,mets24[[#This Row],[name w/o location]],IF(IsElementOfSet_DIY(_xlpm.id,{"atp","adp","h","pi","h2o"}),SIGN(mets24[[#This Row],[raw (GSM) coefficient]])*(ABS(mets24[[#This Row],[raw (GSM) coefficient]])-$J$2),mets24[[#This Row],[raw (GSM) coefficient]]))</f>
        <v>-6.3230999999999996E-2</v>
      </c>
      <c r="H68" s="21">
        <f>mets24[[#This Row],[coeff. w/o GAM]]</f>
        <v>-6.3230999999999996E-2</v>
      </c>
      <c r="I68" s="161">
        <f t="shared" si="0"/>
        <v>-6.323102383990481E-2</v>
      </c>
      <c r="J68" s="21" cm="1">
        <f t="array" ref="J68">_xlfn.LET(_xlpm.id,mets24[[#This Row],[name w/o location]],_xlpm.oldcoeff,mets24[[#This Row],[normalized coeffs]],_xlpm.gam,$J$2-$G$2,_xlfn.IFS(IFERROR(MATCH(_xlpm.id,{"atp","h2o"},0),0)&gt;0,_xlpm.oldcoeff-_xlpm.gam,IFERROR(MATCH(_xlpm.id,{"adp","h","pi"},0),0)&gt;0,_xlpm.oldcoeff+_xlpm.gam,TRUE,_xlpm.oldcoeff))</f>
        <v>-6.323102383990481E-2</v>
      </c>
      <c r="K68" t="str" cm="1">
        <f t="array" ref="K68">"BIOSYN-"&amp;_xlfn.IFS(IFERROR(MATCH(mets24[[#This Row],[category]],{0,"0",""},0),0)&gt;0,mets24[[#This Row],[name]],TRUE,mets24[[#This Row],[category]]&amp;"-"&amp;mets24[[#This Row],[name]])</f>
        <v>BIOSYN-LIPID-tag_c</v>
      </c>
      <c r="L68" s="149" t="str" cm="1">
        <f t="array" ref="L68">IF(IsElementOfSet_DIY(mets24[[#This Row],[category]],{"ignore","PROT"}),"",_xlfn.LET(_xlpm.mw,mets24[[#This Row],[MW for biomass normalization (g/mol)]],"MET-"&amp;mets24[[#This Row],[name]]&amp;" --&gt; "&amp;IF((mets24[[#This Row],[category]]="DNA")+(mets24[[#This Row],[category]]="RNA"),"MET-ppi_c + ","")&amp;ROUND(ABS(_xlpm.mw/1000),6)&amp;" BIO-"&amp;mets24[[#This Row],[name]]))</f>
        <v>MET-tag_c --&gt; 0.885513 BIO-tag_c</v>
      </c>
      <c r="M68" s="149" cm="1">
        <f t="array" ref="M6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-6.3230911520192556E-2</v>
      </c>
      <c r="N68" s="149"/>
      <c r="O68" s="149"/>
      <c r="P68" s="149"/>
      <c r="Q68" s="149"/>
      <c r="R68" s="149"/>
      <c r="S68" s="149"/>
      <c r="T68" s="149"/>
      <c r="U68" s="149"/>
      <c r="V68" s="149"/>
      <c r="AB68" t="str">
        <v>BIOSYN-RNA-ctp_c</v>
      </c>
      <c r="AC68" t="str">
        <v>MET-ctp_c --&gt; MET-ppi_c + 0.304173 BIO-ctp_c</v>
      </c>
    </row>
    <row r="69" spans="1:29" ht="16" x14ac:dyDescent="0.2">
      <c r="A69" s="144" t="s">
        <v>1268</v>
      </c>
      <c r="B69" t="str">
        <f>SUBSTITUTE(_xlfn.TEXTBEFORE(mets24[[#This Row],[pasted JSON metabolite keys and values from GSM biomass rxn]],":"),CHAR(34),"")</f>
        <v>thf_c</v>
      </c>
      <c r="C69" t="str">
        <f>_xlfn.TEXTBEFORE(mets24[[#This Row],[name]],"_",-1)</f>
        <v>thf</v>
      </c>
      <c r="D69" t="str">
        <f>_xlfn.XLOOKUP(mets24[[#This Row],[name w/o location]],metaboliteInfo[name w/o location],metaboliteInfo[suggested category],"")</f>
        <v>COFACTOR</v>
      </c>
      <c r="E69" s="21">
        <f>_xlfn.XLOOKUP(mets24[[#This Row],[name w/o location]],metaboliteInfo[name w/o location],metaboliteInfo[MW for biomass normalization (g/mol)],0)</f>
        <v>443.41334000000001</v>
      </c>
      <c r="F69" s="21">
        <f>_xlfn.NUMBERVALUE(SUBSTITUTE(_xlfn.TEXTAFTER(mets24[[#This Row],[pasted JSON metabolite keys and values from GSM biomass rxn]],":"),",",""))</f>
        <v>-1.01E-4</v>
      </c>
      <c r="G69" s="21" cm="1">
        <f t="array" ref="G69">_xlfn.LET(_xlpm.id,mets24[[#This Row],[name w/o location]],IF(IsElementOfSet_DIY(_xlpm.id,{"atp","adp","h","pi","h2o"}),SIGN(mets24[[#This Row],[raw (GSM) coefficient]])*(ABS(mets24[[#This Row],[raw (GSM) coefficient]])-$J$2),mets24[[#This Row],[raw (GSM) coefficient]]))</f>
        <v>-1.01E-4</v>
      </c>
      <c r="H69" s="21">
        <f>mets24[[#This Row],[coeff. w/o GAM]]</f>
        <v>-1.01E-4</v>
      </c>
      <c r="I69" s="161">
        <f t="shared" si="0"/>
        <v>-1.0100003807990364E-4</v>
      </c>
      <c r="J69" s="21" cm="1">
        <f t="array" ref="J69">_xlfn.LET(_xlpm.id,mets24[[#This Row],[name w/o location]],_xlpm.oldcoeff,mets24[[#This Row],[normalized coeffs]],_xlpm.gam,$J$2-$G$2,_xlfn.IFS(IFERROR(MATCH(_xlpm.id,{"atp","h2o"},0),0)&gt;0,_xlpm.oldcoeff-_xlpm.gam,IFERROR(MATCH(_xlpm.id,{"adp","h","pi"},0),0)&gt;0,_xlpm.oldcoeff+_xlpm.gam,TRUE,_xlpm.oldcoeff))</f>
        <v>-1.0100003807990364E-4</v>
      </c>
      <c r="K69" t="str" cm="1">
        <f t="array" ref="K69">"BIOSYN-"&amp;_xlfn.IFS(IFERROR(MATCH(mets24[[#This Row],[category]],{0,"0",""},0),0)&gt;0,mets24[[#This Row],[name]],TRUE,mets24[[#This Row],[category]]&amp;"-"&amp;mets24[[#This Row],[name]])</f>
        <v>BIOSYN-COFACTOR-thf_c</v>
      </c>
      <c r="L69" s="149" t="str" cm="1">
        <f t="array" ref="L69">IF(IsElementOfSet_DIY(mets24[[#This Row],[category]],{"ignore","PROT"}),"",_xlfn.LET(_xlpm.mw,mets24[[#This Row],[MW for biomass normalization (g/mol)]],"MET-"&amp;mets24[[#This Row],[name]]&amp;" --&gt; "&amp;IF((mets24[[#This Row],[category]]="DNA")+(mets24[[#This Row],[category]]="RNA"),"MET-ppi_c + ","")&amp;ROUND(ABS(_xlpm.mw/1000),6)&amp;" BIO-"&amp;mets24[[#This Row],[name]]))</f>
        <v>MET-thf_c --&gt; 0.443413 BIO-thf_c</v>
      </c>
      <c r="M69" s="149" cm="1">
        <f t="array" ref="M6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69" s="149"/>
      <c r="O69" s="149"/>
      <c r="P69" s="149"/>
      <c r="Q69" s="149"/>
      <c r="R69" s="149"/>
      <c r="S69" s="149"/>
      <c r="T69" s="149"/>
      <c r="U69" s="149"/>
      <c r="V69" s="149"/>
      <c r="AB69" t="str">
        <v>BIOSYN-RNA-gtp_c</v>
      </c>
      <c r="AC69" t="str">
        <v>MET-gtp_c --&gt; MET-ppi_c + 0.344197 BIO-gtp_c</v>
      </c>
    </row>
    <row r="70" spans="1:29" ht="16" x14ac:dyDescent="0.2">
      <c r="A70" s="144" t="s">
        <v>1269</v>
      </c>
      <c r="B70" t="str">
        <f>SUBSTITUTE(_xlfn.TEXTBEFORE(mets24[[#This Row],[pasted JSON metabolite keys and values from GSM biomass rxn]],":"),CHAR(34),"")</f>
        <v>thmpp_c</v>
      </c>
      <c r="C70" t="str">
        <f>_xlfn.TEXTBEFORE(mets24[[#This Row],[name]],"_",-1)</f>
        <v>thmpp</v>
      </c>
      <c r="D70" t="str">
        <f>_xlfn.XLOOKUP(mets24[[#This Row],[name w/o location]],metaboliteInfo[name w/o location],metaboliteInfo[suggested category],"")</f>
        <v>COFACTOR</v>
      </c>
      <c r="E70" s="21">
        <f>_xlfn.XLOOKUP(mets24[[#This Row],[name w/o location]],metaboliteInfo[name w/o location],metaboliteInfo[MW for biomass normalization (g/mol)],0)</f>
        <v>422.29056200000002</v>
      </c>
      <c r="F70" s="21">
        <f>_xlfn.NUMBERVALUE(SUBSTITUTE(_xlfn.TEXTAFTER(mets24[[#This Row],[pasted JSON metabolite keys and values from GSM biomass rxn]],":"),",",""))</f>
        <v>-1.01E-4</v>
      </c>
      <c r="G70" s="21" cm="1">
        <f t="array" ref="G70">_xlfn.LET(_xlpm.id,mets24[[#This Row],[name w/o location]],IF(IsElementOfSet_DIY(_xlpm.id,{"atp","adp","h","pi","h2o"}),SIGN(mets24[[#This Row],[raw (GSM) coefficient]])*(ABS(mets24[[#This Row],[raw (GSM) coefficient]])-$J$2),mets24[[#This Row],[raw (GSM) coefficient]]))</f>
        <v>-1.01E-4</v>
      </c>
      <c r="H70" s="21">
        <f>mets24[[#This Row],[coeff. w/o GAM]]</f>
        <v>-1.01E-4</v>
      </c>
      <c r="I70" s="161">
        <f t="shared" ref="I70:I97" si="2">H70/($H$3)</f>
        <v>-1.0100003807990364E-4</v>
      </c>
      <c r="J70" s="21" cm="1">
        <f t="array" ref="J70">_xlfn.LET(_xlpm.id,mets24[[#This Row],[name w/o location]],_xlpm.oldcoeff,mets24[[#This Row],[normalized coeffs]],_xlpm.gam,$J$2-$G$2,_xlfn.IFS(IFERROR(MATCH(_xlpm.id,{"atp","h2o"},0),0)&gt;0,_xlpm.oldcoeff-_xlpm.gam,IFERROR(MATCH(_xlpm.id,{"adp","h","pi"},0),0)&gt;0,_xlpm.oldcoeff+_xlpm.gam,TRUE,_xlpm.oldcoeff))</f>
        <v>-1.0100003807990364E-4</v>
      </c>
      <c r="K70" t="str" cm="1">
        <f t="array" ref="K70">"BIOSYN-"&amp;_xlfn.IFS(IFERROR(MATCH(mets24[[#This Row],[category]],{0,"0",""},0),0)&gt;0,mets24[[#This Row],[name]],TRUE,mets24[[#This Row],[category]]&amp;"-"&amp;mets24[[#This Row],[name]])</f>
        <v>BIOSYN-COFACTOR-thmpp_c</v>
      </c>
      <c r="L70" s="149" t="str" cm="1">
        <f t="array" ref="L70">IF(IsElementOfSet_DIY(mets24[[#This Row],[category]],{"ignore","PROT"}),"",_xlfn.LET(_xlpm.mw,mets24[[#This Row],[MW for biomass normalization (g/mol)]],"MET-"&amp;mets24[[#This Row],[name]]&amp;" --&gt; "&amp;IF((mets24[[#This Row],[category]]="DNA")+(mets24[[#This Row],[category]]="RNA"),"MET-ppi_c + ","")&amp;ROUND(ABS(_xlpm.mw/1000),6)&amp;" BIO-"&amp;mets24[[#This Row],[name]]))</f>
        <v>MET-thmpp_c --&gt; 0.422291 BIO-thmpp_c</v>
      </c>
      <c r="M70" s="149" cm="1">
        <f t="array" ref="M7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-1.0100003807990364E-4</v>
      </c>
      <c r="N70" s="149"/>
      <c r="O70" s="149"/>
      <c r="P70" s="149"/>
      <c r="Q70" s="149"/>
      <c r="R70" s="149"/>
      <c r="S70" s="149"/>
      <c r="T70" s="149"/>
      <c r="U70" s="149"/>
      <c r="V70" s="149"/>
      <c r="AB70" t="str">
        <v>BIOSYN-RNA-utp_c</v>
      </c>
      <c r="AC70" t="str">
        <v>MET-utp_c --&gt; MET-ppi_c + 0.305158 BIO-utp_c</v>
      </c>
    </row>
    <row r="71" spans="1:29" ht="16" x14ac:dyDescent="0.2">
      <c r="A71" s="144" t="s">
        <v>1270</v>
      </c>
      <c r="B71" t="str">
        <f>SUBSTITUTE(_xlfn.TEXTBEFORE(mets24[[#This Row],[pasted JSON metabolite keys and values from GSM biomass rxn]],":"),CHAR(34),"")</f>
        <v>thrtrna_c</v>
      </c>
      <c r="C71" t="str">
        <f>_xlfn.TEXTBEFORE(mets24[[#This Row],[name]],"_",-1)</f>
        <v>thrtrna</v>
      </c>
      <c r="D71" t="str">
        <f>_xlfn.XLOOKUP(mets24[[#This Row],[name w/o location]],metaboliteInfo[name w/o location],metaboliteInfo[suggested category],"")</f>
        <v>PROT</v>
      </c>
      <c r="E71" s="21">
        <f>_xlfn.XLOOKUP(mets24[[#This Row],[name w/o location]],metaboliteInfo[name w/o location],metaboliteInfo[MW for biomass normalization (g/mol)],0)</f>
        <v>102.11181999999999</v>
      </c>
      <c r="F71" s="21">
        <f>_xlfn.NUMBERVALUE(SUBSTITUTE(_xlfn.TEXTAFTER(mets24[[#This Row],[pasted JSON metabolite keys and values from GSM biomass rxn]],":"),",",""))</f>
        <v>-6.9284999999999999E-2</v>
      </c>
      <c r="G71" s="21" cm="1">
        <f t="array" ref="G71">_xlfn.LET(_xlpm.id,mets24[[#This Row],[name w/o location]],IF(IsElementOfSet_DIY(_xlpm.id,{"atp","adp","h","pi","h2o"}),SIGN(mets24[[#This Row],[raw (GSM) coefficient]])*(ABS(mets24[[#This Row],[raw (GSM) coefficient]])-$J$2),mets24[[#This Row],[raw (GSM) coefficient]]))</f>
        <v>-6.9284999999999999E-2</v>
      </c>
      <c r="H71" s="21">
        <f>mets24[[#This Row],[coeff. w/o GAM]]</f>
        <v>-6.9284999999999999E-2</v>
      </c>
      <c r="I71" s="161">
        <f t="shared" si="2"/>
        <v>-6.9285026122436866E-2</v>
      </c>
      <c r="J71" s="21" cm="1">
        <f t="array" ref="J71">_xlfn.LET(_xlpm.id,mets24[[#This Row],[name w/o location]],_xlpm.oldcoeff,mets24[[#This Row],[normalized coeffs]],_xlpm.gam,$J$2-$G$2,_xlfn.IFS(IFERROR(MATCH(_xlpm.id,{"atp","h2o"},0),0)&gt;0,_xlpm.oldcoeff-_xlpm.gam,IFERROR(MATCH(_xlpm.id,{"adp","h","pi"},0),0)&gt;0,_xlpm.oldcoeff+_xlpm.gam,TRUE,_xlpm.oldcoeff))</f>
        <v>-6.9285026122436866E-2</v>
      </c>
      <c r="K71" t="str" cm="1">
        <f t="array" ref="K71">"BIOSYN-"&amp;_xlfn.IFS(IFERROR(MATCH(mets24[[#This Row],[category]],{0,"0",""},0),0)&gt;0,mets24[[#This Row],[name]],TRUE,mets24[[#This Row],[category]]&amp;"-"&amp;mets24[[#This Row],[name]])</f>
        <v>BIOSYN-PROT-thrtrna_c</v>
      </c>
      <c r="L71" s="149" t="str" cm="1">
        <f t="array" ref="L71">IF(IsElementOfSet_DIY(mets24[[#This Row],[category]],{"ignore","PROT"}),"",_xlfn.LET(_xlpm.mw,mets24[[#This Row],[MW for biomass normalization (g/mol)]],"MET-"&amp;mets24[[#This Row],[name]]&amp;" --&gt; "&amp;IF((mets24[[#This Row],[category]]="DNA")+(mets24[[#This Row],[category]]="RNA"),"MET-ppi_c + ","")&amp;ROUND(ABS(_xlpm.mw/1000),6)&amp;" BIO-"&amp;mets24[[#This Row],[name]]))</f>
        <v/>
      </c>
      <c r="M71" s="149" cm="1">
        <f t="array" ref="M7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-6.9285105413511641E-2</v>
      </c>
      <c r="N71" s="149"/>
      <c r="O71" s="149"/>
      <c r="P71" s="149"/>
      <c r="Q71" s="149"/>
      <c r="R71" s="149"/>
      <c r="S71" s="149"/>
      <c r="T71" s="149"/>
      <c r="U71" s="149"/>
      <c r="V71" s="149"/>
      <c r="AB71" t="str">
        <v>BIOSYN-SO4-so4_c</v>
      </c>
      <c r="AC71" t="str">
        <v>MET-so4_c --&gt; 0.096063 BIO-so4_c</v>
      </c>
    </row>
    <row r="72" spans="1:29" ht="16" x14ac:dyDescent="0.2">
      <c r="A72" s="144" t="s">
        <v>1271</v>
      </c>
      <c r="B72" t="str">
        <f>SUBSTITUTE(_xlfn.TEXTBEFORE(mets24[[#This Row],[pasted JSON metabolite keys and values from GSM biomass rxn]],":"),CHAR(34),"")</f>
        <v>trnaala_c</v>
      </c>
      <c r="C72" t="str">
        <f>_xlfn.TEXTBEFORE(mets24[[#This Row],[name]],"_",-1)</f>
        <v>trnaala</v>
      </c>
      <c r="D72" t="str">
        <f>_xlfn.XLOOKUP(mets24[[#This Row],[name w/o location]],metaboliteInfo[name w/o location],metaboliteInfo[suggested category],"")</f>
        <v>ignore</v>
      </c>
      <c r="E72" s="21">
        <f>_xlfn.XLOOKUP(mets24[[#This Row],[name w/o location]],metaboliteInfo[name w/o location],metaboliteInfo[MW for biomass normalization (g/mol)],0)</f>
        <v>0</v>
      </c>
      <c r="F72" s="21">
        <f>_xlfn.NUMBERVALUE(SUBSTITUTE(_xlfn.TEXTAFTER(mets24[[#This Row],[pasted JSON metabolite keys and values from GSM biomass rxn]],":"),",",""))</f>
        <v>0.121529</v>
      </c>
      <c r="G72" s="21" cm="1">
        <f t="array" ref="G72">_xlfn.LET(_xlpm.id,mets24[[#This Row],[name w/o location]],IF(IsElementOfSet_DIY(_xlpm.id,{"atp","adp","h","pi","h2o"}),SIGN(mets24[[#This Row],[raw (GSM) coefficient]])*(ABS(mets24[[#This Row],[raw (GSM) coefficient]])-$J$2),mets24[[#This Row],[raw (GSM) coefficient]]))</f>
        <v>0.121529</v>
      </c>
      <c r="H72" s="21">
        <f>mets24[[#This Row],[coeff. w/o GAM]]</f>
        <v>0.121529</v>
      </c>
      <c r="I72" s="161">
        <f t="shared" si="2"/>
        <v>0.12152904581992681</v>
      </c>
      <c r="J72" s="21" cm="1">
        <f t="array" ref="J72">_xlfn.LET(_xlpm.id,mets24[[#This Row],[name w/o location]],_xlpm.oldcoeff,mets24[[#This Row],[normalized coeffs]],_xlpm.gam,$J$2-$G$2,_xlfn.IFS(IFERROR(MATCH(_xlpm.id,{"atp","h2o"},0),0)&gt;0,_xlpm.oldcoeff-_xlpm.gam,IFERROR(MATCH(_xlpm.id,{"adp","h","pi"},0),0)&gt;0,_xlpm.oldcoeff+_xlpm.gam,TRUE,_xlpm.oldcoeff))</f>
        <v>0.12152904581992681</v>
      </c>
      <c r="K72" t="str" cm="1">
        <f t="array" ref="K72">"BIOSYN-"&amp;_xlfn.IFS(IFERROR(MATCH(mets24[[#This Row],[category]],{0,"0",""},0),0)&gt;0,mets24[[#This Row],[name]],TRUE,mets24[[#This Row],[category]]&amp;"-"&amp;mets24[[#This Row],[name]])</f>
        <v>BIOSYN-ignore-trnaala_c</v>
      </c>
      <c r="L72" s="149" t="str" cm="1">
        <f t="array" ref="L72">IF(IsElementOfSet_DIY(mets24[[#This Row],[category]],{"ignore","PROT"}),"",_xlfn.LET(_xlpm.mw,mets24[[#This Row],[MW for biomass normalization (g/mol)]],"MET-"&amp;mets24[[#This Row],[name]]&amp;" --&gt; "&amp;IF((mets24[[#This Row],[category]]="DNA")+(mets24[[#This Row],[category]]="RNA"),"MET-ppi_c + ","")&amp;ROUND(ABS(_xlpm.mw/1000),6)&amp;" BIO-"&amp;mets24[[#This Row],[name]]))</f>
        <v/>
      </c>
      <c r="M72" s="149" cm="1">
        <f t="array" ref="M7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0.1215291849000311</v>
      </c>
      <c r="N72" s="149"/>
      <c r="O72" s="149"/>
      <c r="P72" s="149"/>
      <c r="Q72" s="149"/>
      <c r="R72" s="149"/>
      <c r="S72" s="149"/>
      <c r="T72" s="149"/>
      <c r="U72" s="149"/>
      <c r="V72" s="149"/>
    </row>
    <row r="73" spans="1:29" ht="16" x14ac:dyDescent="0.2">
      <c r="A73" s="144" t="s">
        <v>1272</v>
      </c>
      <c r="B73" t="str">
        <f>SUBSTITUTE(_xlfn.TEXTBEFORE(mets24[[#This Row],[pasted JSON metabolite keys and values from GSM biomass rxn]],":"),CHAR(34),"")</f>
        <v>trnaarg_c</v>
      </c>
      <c r="C73" t="str">
        <f>_xlfn.TEXTBEFORE(mets24[[#This Row],[name]],"_",-1)</f>
        <v>trnaarg</v>
      </c>
      <c r="D73" t="str">
        <f>_xlfn.XLOOKUP(mets24[[#This Row],[name w/o location]],metaboliteInfo[name w/o location],metaboliteInfo[suggested category],"")</f>
        <v>ignore</v>
      </c>
      <c r="E73" s="21">
        <f>_xlfn.XLOOKUP(mets24[[#This Row],[name w/o location]],metaboliteInfo[name w/o location],metaboliteInfo[MW for biomass normalization (g/mol)],0)</f>
        <v>0</v>
      </c>
      <c r="F73" s="21">
        <f>_xlfn.NUMBERVALUE(SUBSTITUTE(_xlfn.TEXTAFTER(mets24[[#This Row],[pasted JSON metabolite keys and values from GSM biomass rxn]],":"),",",""))</f>
        <v>4.8014000000000001E-2</v>
      </c>
      <c r="G73" s="21" cm="1">
        <f t="array" ref="G73">_xlfn.LET(_xlpm.id,mets24[[#This Row],[name w/o location]],IF(IsElementOfSet_DIY(_xlpm.id,{"atp","adp","h","pi","h2o"}),SIGN(mets24[[#This Row],[raw (GSM) coefficient]])*(ABS(mets24[[#This Row],[raw (GSM) coefficient]])-$J$2),mets24[[#This Row],[raw (GSM) coefficient]]))</f>
        <v>4.8014000000000001E-2</v>
      </c>
      <c r="H73" s="21">
        <f>mets24[[#This Row],[coeff. w/o GAM]]</f>
        <v>4.8014000000000001E-2</v>
      </c>
      <c r="I73" s="161">
        <f t="shared" si="2"/>
        <v>4.8014018102658346E-2</v>
      </c>
      <c r="J73" s="21" cm="1">
        <f t="array" ref="J73">_xlfn.LET(_xlpm.id,mets24[[#This Row],[name w/o location]],_xlpm.oldcoeff,mets24[[#This Row],[normalized coeffs]],_xlpm.gam,$J$2-$G$2,_xlfn.IFS(IFERROR(MATCH(_xlpm.id,{"atp","h2o"},0),0)&gt;0,_xlpm.oldcoeff-_xlpm.gam,IFERROR(MATCH(_xlpm.id,{"adp","h","pi"},0),0)&gt;0,_xlpm.oldcoeff+_xlpm.gam,TRUE,_xlpm.oldcoeff))</f>
        <v>4.8014018102658346E-2</v>
      </c>
      <c r="K73" t="str" cm="1">
        <f t="array" ref="K73">"BIOSYN-"&amp;_xlfn.IFS(IFERROR(MATCH(mets24[[#This Row],[category]],{0,"0",""},0),0)&gt;0,mets24[[#This Row],[name]],TRUE,mets24[[#This Row],[category]]&amp;"-"&amp;mets24[[#This Row],[name]])</f>
        <v>BIOSYN-ignore-trnaarg_c</v>
      </c>
      <c r="L73" s="149" t="str" cm="1">
        <f t="array" ref="L73">IF(IsElementOfSet_DIY(mets24[[#This Row],[category]],{"ignore","PROT"}),"",_xlfn.LET(_xlpm.mw,mets24[[#This Row],[MW for biomass normalization (g/mol)]],"MET-"&amp;mets24[[#This Row],[name]]&amp;" --&gt; "&amp;IF((mets24[[#This Row],[category]]="DNA")+(mets24[[#This Row],[category]]="RNA"),"MET-ppi_c + ","")&amp;ROUND(ABS(_xlpm.mw/1000),6)&amp;" BIO-"&amp;mets24[[#This Row],[name]]))</f>
        <v/>
      </c>
      <c r="M73" s="149" cm="1">
        <f t="array" ref="M7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4.8014073050795233E-2</v>
      </c>
      <c r="N73" s="149"/>
      <c r="O73" s="149"/>
      <c r="P73" s="149"/>
      <c r="Q73" s="149"/>
      <c r="R73" s="149"/>
      <c r="S73" s="149"/>
      <c r="T73" s="149"/>
      <c r="U73" s="149"/>
      <c r="V73" s="149"/>
    </row>
    <row r="74" spans="1:29" ht="16" x14ac:dyDescent="0.2">
      <c r="A74" s="144" t="s">
        <v>1273</v>
      </c>
      <c r="B74" t="str">
        <f>SUBSTITUTE(_xlfn.TEXTBEFORE(mets24[[#This Row],[pasted JSON metabolite keys and values from GSM biomass rxn]],":"),CHAR(34),"")</f>
        <v>trnaasn_c</v>
      </c>
      <c r="C74" t="str">
        <f>_xlfn.TEXTBEFORE(mets24[[#This Row],[name]],"_",-1)</f>
        <v>trnaasn</v>
      </c>
      <c r="D74" t="str">
        <f>_xlfn.XLOOKUP(mets24[[#This Row],[name w/o location]],metaboliteInfo[name w/o location],metaboliteInfo[suggested category],"")</f>
        <v>ignore</v>
      </c>
      <c r="E74" s="21">
        <f>_xlfn.XLOOKUP(mets24[[#This Row],[name w/o location]],metaboliteInfo[name w/o location],metaboliteInfo[MW for biomass normalization (g/mol)],0)</f>
        <v>0</v>
      </c>
      <c r="F74" s="21">
        <f>_xlfn.NUMBERVALUE(SUBSTITUTE(_xlfn.TEXTAFTER(mets24[[#This Row],[pasted JSON metabolite keys and values from GSM biomass rxn]],":"),",",""))</f>
        <v>5.7716999999999997E-2</v>
      </c>
      <c r="G74" s="21" cm="1">
        <f t="array" ref="G74">_xlfn.LET(_xlpm.id,mets24[[#This Row],[name w/o location]],IF(IsElementOfSet_DIY(_xlpm.id,{"atp","adp","h","pi","h2o"}),SIGN(mets24[[#This Row],[raw (GSM) coefficient]])*(ABS(mets24[[#This Row],[raw (GSM) coefficient]])-$J$2),mets24[[#This Row],[raw (GSM) coefficient]]))</f>
        <v>5.7716999999999997E-2</v>
      </c>
      <c r="H74" s="21">
        <f>mets24[[#This Row],[coeff. w/o GAM]]</f>
        <v>5.7716999999999997E-2</v>
      </c>
      <c r="I74" s="161">
        <f t="shared" si="2"/>
        <v>5.7717021760968296E-2</v>
      </c>
      <c r="J74" s="21" cm="1">
        <f t="array" ref="J74">_xlfn.LET(_xlpm.id,mets24[[#This Row],[name w/o location]],_xlpm.oldcoeff,mets24[[#This Row],[normalized coeffs]],_xlpm.gam,$J$2-$G$2,_xlfn.IFS(IFERROR(MATCH(_xlpm.id,{"atp","h2o"},0),0)&gt;0,_xlpm.oldcoeff-_xlpm.gam,IFERROR(MATCH(_xlpm.id,{"adp","h","pi"},0),0)&gt;0,_xlpm.oldcoeff+_xlpm.gam,TRUE,_xlpm.oldcoeff))</f>
        <v>5.7717021760968296E-2</v>
      </c>
      <c r="K74" t="str" cm="1">
        <f t="array" ref="K74">"BIOSYN-"&amp;_xlfn.IFS(IFERROR(MATCH(mets24[[#This Row],[category]],{0,"0",""},0),0)&gt;0,mets24[[#This Row],[name]],TRUE,mets24[[#This Row],[category]]&amp;"-"&amp;mets24[[#This Row],[name]])</f>
        <v>BIOSYN-ignore-trnaasn_c</v>
      </c>
      <c r="L74" s="149" t="str" cm="1">
        <f t="array" ref="L74">IF(IsElementOfSet_DIY(mets24[[#This Row],[category]],{"ignore","PROT"}),"",_xlfn.LET(_xlpm.mw,mets24[[#This Row],[MW for biomass normalization (g/mol)]],"MET-"&amp;mets24[[#This Row],[name]]&amp;" --&gt; "&amp;IF((mets24[[#This Row],[category]]="DNA")+(mets24[[#This Row],[category]]="RNA"),"MET-ppi_c + ","")&amp;ROUND(ABS(_xlpm.mw/1000),6)&amp;" BIO-"&amp;mets24[[#This Row],[name]]))</f>
        <v/>
      </c>
      <c r="M74" s="149" cm="1">
        <f t="array" ref="M7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5.7717087813403352E-2</v>
      </c>
      <c r="N74" s="149"/>
      <c r="O74" s="149"/>
      <c r="P74" s="149"/>
      <c r="Q74" s="149"/>
      <c r="R74" s="149"/>
      <c r="S74" s="149"/>
      <c r="T74" s="149"/>
      <c r="U74" s="149"/>
      <c r="V74" s="149"/>
    </row>
    <row r="75" spans="1:29" ht="16" x14ac:dyDescent="0.2">
      <c r="A75" s="144" t="s">
        <v>1274</v>
      </c>
      <c r="B75" t="str">
        <f>SUBSTITUTE(_xlfn.TEXTBEFORE(mets24[[#This Row],[pasted JSON metabolite keys and values from GSM biomass rxn]],":"),CHAR(34),"")</f>
        <v>trnaasp_c</v>
      </c>
      <c r="C75" t="str">
        <f>_xlfn.TEXTBEFORE(mets24[[#This Row],[name]],"_",-1)</f>
        <v>trnaasp</v>
      </c>
      <c r="D75" t="str">
        <f>_xlfn.XLOOKUP(mets24[[#This Row],[name w/o location]],metaboliteInfo[name w/o location],metaboliteInfo[suggested category],"")</f>
        <v>ignore</v>
      </c>
      <c r="E75" s="21">
        <f>_xlfn.XLOOKUP(mets24[[#This Row],[name w/o location]],metaboliteInfo[name w/o location],metaboliteInfo[MW for biomass normalization (g/mol)],0)</f>
        <v>0</v>
      </c>
      <c r="F75" s="21">
        <f>_xlfn.NUMBERVALUE(SUBSTITUTE(_xlfn.TEXTAFTER(mets24[[#This Row],[pasted JSON metabolite keys and values from GSM biomass rxn]],":"),",",""))</f>
        <v>5.7716999999999997E-2</v>
      </c>
      <c r="G75" s="21" cm="1">
        <f t="array" ref="G75">_xlfn.LET(_xlpm.id,mets24[[#This Row],[name w/o location]],IF(IsElementOfSet_DIY(_xlpm.id,{"atp","adp","h","pi","h2o"}),SIGN(mets24[[#This Row],[raw (GSM) coefficient]])*(ABS(mets24[[#This Row],[raw (GSM) coefficient]])-$J$2),mets24[[#This Row],[raw (GSM) coefficient]]))</f>
        <v>5.7716999999999997E-2</v>
      </c>
      <c r="H75" s="21">
        <f>mets24[[#This Row],[coeff. w/o GAM]]</f>
        <v>5.7716999999999997E-2</v>
      </c>
      <c r="I75" s="161">
        <f t="shared" si="2"/>
        <v>5.7717021760968296E-2</v>
      </c>
      <c r="J75" s="21" cm="1">
        <f t="array" ref="J75">_xlfn.LET(_xlpm.id,mets24[[#This Row],[name w/o location]],_xlpm.oldcoeff,mets24[[#This Row],[normalized coeffs]],_xlpm.gam,$J$2-$G$2,_xlfn.IFS(IFERROR(MATCH(_xlpm.id,{"atp","h2o"},0),0)&gt;0,_xlpm.oldcoeff-_xlpm.gam,IFERROR(MATCH(_xlpm.id,{"adp","h","pi"},0),0)&gt;0,_xlpm.oldcoeff+_xlpm.gam,TRUE,_xlpm.oldcoeff))</f>
        <v>5.7717021760968296E-2</v>
      </c>
      <c r="K75" t="str" cm="1">
        <f t="array" ref="K75">"BIOSYN-"&amp;_xlfn.IFS(IFERROR(MATCH(mets24[[#This Row],[category]],{0,"0",""},0),0)&gt;0,mets24[[#This Row],[name]],TRUE,mets24[[#This Row],[category]]&amp;"-"&amp;mets24[[#This Row],[name]])</f>
        <v>BIOSYN-ignore-trnaasp_c</v>
      </c>
      <c r="L75" s="149" t="str" cm="1">
        <f t="array" ref="L75">IF(IsElementOfSet_DIY(mets24[[#This Row],[category]],{"ignore","PROT"}),"",_xlfn.LET(_xlpm.mw,mets24[[#This Row],[MW for biomass normalization (g/mol)]],"MET-"&amp;mets24[[#This Row],[name]]&amp;" --&gt; "&amp;IF((mets24[[#This Row],[category]]="DNA")+(mets24[[#This Row],[category]]="RNA"),"MET-ppi_c + ","")&amp;ROUND(ABS(_xlpm.mw/1000),6)&amp;" BIO-"&amp;mets24[[#This Row],[name]]))</f>
        <v/>
      </c>
      <c r="M75" s="149" cm="1">
        <f t="array" ref="M7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5.7717087813403352E-2</v>
      </c>
      <c r="N75" s="149"/>
      <c r="O75" s="149"/>
      <c r="P75" s="149"/>
      <c r="Q75" s="149"/>
      <c r="R75" s="149"/>
      <c r="S75" s="149"/>
      <c r="T75" s="149"/>
      <c r="U75" s="149"/>
      <c r="V75" s="149"/>
    </row>
    <row r="76" spans="1:29" ht="16" x14ac:dyDescent="0.2">
      <c r="A76" s="144" t="s">
        <v>1275</v>
      </c>
      <c r="B76" t="str">
        <f>SUBSTITUTE(_xlfn.TEXTBEFORE(mets24[[#This Row],[pasted JSON metabolite keys and values from GSM biomass rxn]],":"),CHAR(34),"")</f>
        <v>trnacys_c</v>
      </c>
      <c r="C76" t="str">
        <f>_xlfn.TEXTBEFORE(mets24[[#This Row],[name]],"_",-1)</f>
        <v>trnacys</v>
      </c>
      <c r="D76" t="str">
        <f>_xlfn.XLOOKUP(mets24[[#This Row],[name w/o location]],metaboliteInfo[name w/o location],metaboliteInfo[suggested category],"")</f>
        <v>ignore</v>
      </c>
      <c r="E76" s="21">
        <f>_xlfn.XLOOKUP(mets24[[#This Row],[name w/o location]],metaboliteInfo[name w/o location],metaboliteInfo[MW for biomass normalization (g/mol)],0)</f>
        <v>0</v>
      </c>
      <c r="F76" s="21">
        <f>_xlfn.NUMBERVALUE(SUBSTITUTE(_xlfn.TEXTAFTER(mets24[[#This Row],[pasted JSON metabolite keys and values from GSM biomass rxn]],":"),",",""))</f>
        <v>1.7409999999999999E-3</v>
      </c>
      <c r="G76" s="21" cm="1">
        <f t="array" ref="G76">_xlfn.LET(_xlpm.id,mets24[[#This Row],[name w/o location]],IF(IsElementOfSet_DIY(_xlpm.id,{"atp","adp","h","pi","h2o"}),SIGN(mets24[[#This Row],[raw (GSM) coefficient]])*(ABS(mets24[[#This Row],[raw (GSM) coefficient]])-$J$2),mets24[[#This Row],[raw (GSM) coefficient]]))</f>
        <v>1.7409999999999999E-3</v>
      </c>
      <c r="H76" s="21">
        <f>mets24[[#This Row],[coeff. w/o GAM]]</f>
        <v>1.7409999999999999E-3</v>
      </c>
      <c r="I76" s="161">
        <f t="shared" si="2"/>
        <v>1.7410006564070517E-3</v>
      </c>
      <c r="J76" s="21" cm="1">
        <f t="array" ref="J76">_xlfn.LET(_xlpm.id,mets24[[#This Row],[name w/o location]],_xlpm.oldcoeff,mets24[[#This Row],[normalized coeffs]],_xlpm.gam,$J$2-$G$2,_xlfn.IFS(IFERROR(MATCH(_xlpm.id,{"atp","h2o"},0),0)&gt;0,_xlpm.oldcoeff-_xlpm.gam,IFERROR(MATCH(_xlpm.id,{"adp","h","pi"},0),0)&gt;0,_xlpm.oldcoeff+_xlpm.gam,TRUE,_xlpm.oldcoeff))</f>
        <v>1.7410006564070517E-3</v>
      </c>
      <c r="K76" t="str" cm="1">
        <f t="array" ref="K76">"BIOSYN-"&amp;_xlfn.IFS(IFERROR(MATCH(mets24[[#This Row],[category]],{0,"0",""},0),0)&gt;0,mets24[[#This Row],[name]],TRUE,mets24[[#This Row],[category]]&amp;"-"&amp;mets24[[#This Row],[name]])</f>
        <v>BIOSYN-ignore-trnacys_c</v>
      </c>
      <c r="L76" s="149" t="str" cm="1">
        <f t="array" ref="L76">IF(IsElementOfSet_DIY(mets24[[#This Row],[category]],{"ignore","PROT"}),"",_xlfn.LET(_xlpm.mw,mets24[[#This Row],[MW for biomass normalization (g/mol)]],"MET-"&amp;mets24[[#This Row],[name]]&amp;" --&gt; "&amp;IF((mets24[[#This Row],[category]]="DNA")+(mets24[[#This Row],[category]]="RNA"),"MET-ppi_c + ","")&amp;ROUND(ABS(_xlpm.mw/1000),6)&amp;" BIO-"&amp;mets24[[#This Row],[name]]))</f>
        <v/>
      </c>
      <c r="M76" s="149" cm="1">
        <f t="array" ref="M7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1.7410026488406402E-3</v>
      </c>
      <c r="N76" s="149"/>
      <c r="O76" s="149"/>
      <c r="P76" s="149"/>
      <c r="Q76" s="149"/>
      <c r="R76" s="149"/>
      <c r="S76" s="149"/>
      <c r="T76" s="149"/>
      <c r="U76" s="149"/>
      <c r="V76" s="149"/>
    </row>
    <row r="77" spans="1:29" ht="16" x14ac:dyDescent="0.2">
      <c r="A77" s="144" t="s">
        <v>1276</v>
      </c>
      <c r="B77" t="str">
        <f>SUBSTITUTE(_xlfn.TEXTBEFORE(mets24[[#This Row],[pasted JSON metabolite keys and values from GSM biomass rxn]],":"),CHAR(34),"")</f>
        <v>trnagln_c</v>
      </c>
      <c r="C77" t="str">
        <f>_xlfn.TEXTBEFORE(mets24[[#This Row],[name]],"_",-1)</f>
        <v>trnagln</v>
      </c>
      <c r="D77" t="str">
        <f>_xlfn.XLOOKUP(mets24[[#This Row],[name w/o location]],metaboliteInfo[name w/o location],metaboliteInfo[suggested category],"")</f>
        <v>ignore</v>
      </c>
      <c r="E77" s="21">
        <f>_xlfn.XLOOKUP(mets24[[#This Row],[name w/o location]],metaboliteInfo[name w/o location],metaboliteInfo[MW for biomass normalization (g/mol)],0)</f>
        <v>0</v>
      </c>
      <c r="F77" s="21">
        <f>_xlfn.NUMBERVALUE(SUBSTITUTE(_xlfn.TEXTAFTER(mets24[[#This Row],[pasted JSON metabolite keys and values from GSM biomass rxn]],":"),",",""))</f>
        <v>9.6277000000000001E-2</v>
      </c>
      <c r="G77" s="21" cm="1">
        <f t="array" ref="G77">_xlfn.LET(_xlpm.id,mets24[[#This Row],[name w/o location]],IF(IsElementOfSet_DIY(_xlpm.id,{"atp","adp","h","pi","h2o"}),SIGN(mets24[[#This Row],[raw (GSM) coefficient]])*(ABS(mets24[[#This Row],[raw (GSM) coefficient]])-$J$2),mets24[[#This Row],[raw (GSM) coefficient]]))</f>
        <v>9.6277000000000001E-2</v>
      </c>
      <c r="H77" s="21">
        <f>mets24[[#This Row],[coeff. w/o GAM]]</f>
        <v>9.6277000000000001E-2</v>
      </c>
      <c r="I77" s="161">
        <f t="shared" si="2"/>
        <v>9.6277036299196858E-2</v>
      </c>
      <c r="J77" s="21" cm="1">
        <f t="array" ref="J77">_xlfn.LET(_xlpm.id,mets24[[#This Row],[name w/o location]],_xlpm.oldcoeff,mets24[[#This Row],[normalized coeffs]],_xlpm.gam,$J$2-$G$2,_xlfn.IFS(IFERROR(MATCH(_xlpm.id,{"atp","h2o"},0),0)&gt;0,_xlpm.oldcoeff-_xlpm.gam,IFERROR(MATCH(_xlpm.id,{"adp","h","pi"},0),0)&gt;0,_xlpm.oldcoeff+_xlpm.gam,TRUE,_xlpm.oldcoeff))</f>
        <v>9.6277036299196858E-2</v>
      </c>
      <c r="K77" t="str" cm="1">
        <f t="array" ref="K77">"BIOSYN-"&amp;_xlfn.IFS(IFERROR(MATCH(mets24[[#This Row],[category]],{0,"0",""},0),0)&gt;0,mets24[[#This Row],[name]],TRUE,mets24[[#This Row],[category]]&amp;"-"&amp;mets24[[#This Row],[name]])</f>
        <v>BIOSYN-ignore-trnagln_c</v>
      </c>
      <c r="L77" s="149" t="str" cm="1">
        <f t="array" ref="L77">IF(IsElementOfSet_DIY(mets24[[#This Row],[category]],{"ignore","PROT"}),"",_xlfn.LET(_xlpm.mw,mets24[[#This Row],[MW for biomass normalization (g/mol)]],"MET-"&amp;mets24[[#This Row],[name]]&amp;" --&gt; "&amp;IF((mets24[[#This Row],[category]]="DNA")+(mets24[[#This Row],[category]]="RNA"),"MET-ppi_c + ","")&amp;ROUND(ABS(_xlpm.mw/1000),6)&amp;" BIO-"&amp;mets24[[#This Row],[name]]))</f>
        <v/>
      </c>
      <c r="M77" s="149" cm="1">
        <f t="array" ref="M7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9.6277146480430981E-2</v>
      </c>
      <c r="N77" s="149"/>
      <c r="O77" s="149"/>
      <c r="P77" s="149"/>
      <c r="Q77" s="149"/>
      <c r="R77" s="149"/>
      <c r="S77" s="149"/>
      <c r="T77" s="149"/>
      <c r="U77" s="149"/>
      <c r="V77" s="149"/>
    </row>
    <row r="78" spans="1:29" ht="16" x14ac:dyDescent="0.2">
      <c r="A78" s="144" t="s">
        <v>1277</v>
      </c>
      <c r="B78" t="str">
        <f>SUBSTITUTE(_xlfn.TEXTBEFORE(mets24[[#This Row],[pasted JSON metabolite keys and values from GSM biomass rxn]],":"),CHAR(34),"")</f>
        <v>trnaglu_c</v>
      </c>
      <c r="C78" t="str">
        <f>_xlfn.TEXTBEFORE(mets24[[#This Row],[name]],"_",-1)</f>
        <v>trnaglu</v>
      </c>
      <c r="D78" t="str">
        <f>_xlfn.XLOOKUP(mets24[[#This Row],[name w/o location]],metaboliteInfo[name w/o location],metaboliteInfo[suggested category],"")</f>
        <v>ignore</v>
      </c>
      <c r="E78" s="21">
        <f>_xlfn.XLOOKUP(mets24[[#This Row],[name w/o location]],metaboliteInfo[name w/o location],metaboliteInfo[MW for biomass normalization (g/mol)],0)</f>
        <v>0</v>
      </c>
      <c r="F78" s="21">
        <f>_xlfn.NUMBERVALUE(SUBSTITUTE(_xlfn.TEXTAFTER(mets24[[#This Row],[pasted JSON metabolite keys and values from GSM biomass rxn]],":"),",",""))</f>
        <v>9.6277000000000001E-2</v>
      </c>
      <c r="G78" s="21" cm="1">
        <f t="array" ref="G78">_xlfn.LET(_xlpm.id,mets24[[#This Row],[name w/o location]],IF(IsElementOfSet_DIY(_xlpm.id,{"atp","adp","h","pi","h2o"}),SIGN(mets24[[#This Row],[raw (GSM) coefficient]])*(ABS(mets24[[#This Row],[raw (GSM) coefficient]])-$J$2),mets24[[#This Row],[raw (GSM) coefficient]]))</f>
        <v>9.6277000000000001E-2</v>
      </c>
      <c r="H78" s="21">
        <f>mets24[[#This Row],[coeff. w/o GAM]]</f>
        <v>9.6277000000000001E-2</v>
      </c>
      <c r="I78" s="161">
        <f t="shared" si="2"/>
        <v>9.6277036299196858E-2</v>
      </c>
      <c r="J78" s="21" cm="1">
        <f t="array" ref="J78">_xlfn.LET(_xlpm.id,mets24[[#This Row],[name w/o location]],_xlpm.oldcoeff,mets24[[#This Row],[normalized coeffs]],_xlpm.gam,$J$2-$G$2,_xlfn.IFS(IFERROR(MATCH(_xlpm.id,{"atp","h2o"},0),0)&gt;0,_xlpm.oldcoeff-_xlpm.gam,IFERROR(MATCH(_xlpm.id,{"adp","h","pi"},0),0)&gt;0,_xlpm.oldcoeff+_xlpm.gam,TRUE,_xlpm.oldcoeff))</f>
        <v>9.6277036299196858E-2</v>
      </c>
      <c r="K78" t="str" cm="1">
        <f t="array" ref="K78">"BIOSYN-"&amp;_xlfn.IFS(IFERROR(MATCH(mets24[[#This Row],[category]],{0,"0",""},0),0)&gt;0,mets24[[#This Row],[name]],TRUE,mets24[[#This Row],[category]]&amp;"-"&amp;mets24[[#This Row],[name]])</f>
        <v>BIOSYN-ignore-trnaglu_c</v>
      </c>
      <c r="L78" s="149" t="str" cm="1">
        <f t="array" ref="L78">IF(IsElementOfSet_DIY(mets24[[#This Row],[category]],{"ignore","PROT"}),"",_xlfn.LET(_xlpm.mw,mets24[[#This Row],[MW for biomass normalization (g/mol)]],"MET-"&amp;mets24[[#This Row],[name]]&amp;" --&gt; "&amp;IF((mets24[[#This Row],[category]]="DNA")+(mets24[[#This Row],[category]]="RNA"),"MET-ppi_c + ","")&amp;ROUND(ABS(_xlpm.mw/1000),6)&amp;" BIO-"&amp;mets24[[#This Row],[name]]))</f>
        <v/>
      </c>
      <c r="M78" s="149" cm="1">
        <f t="array" ref="M7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9.6277146480430981E-2</v>
      </c>
      <c r="N78" s="149"/>
      <c r="O78" s="149"/>
      <c r="P78" s="149"/>
      <c r="Q78" s="149"/>
      <c r="R78" s="149"/>
      <c r="S78" s="149"/>
      <c r="T78" s="149"/>
      <c r="U78" s="149"/>
      <c r="V78" s="149"/>
    </row>
    <row r="79" spans="1:29" ht="16" x14ac:dyDescent="0.2">
      <c r="A79" s="144" t="s">
        <v>1278</v>
      </c>
      <c r="B79" t="str">
        <f>SUBSTITUTE(_xlfn.TEXTBEFORE(mets24[[#This Row],[pasted JSON metabolite keys and values from GSM biomass rxn]],":"),CHAR(34),"")</f>
        <v>trnagly_c</v>
      </c>
      <c r="C79" t="str">
        <f>_xlfn.TEXTBEFORE(mets24[[#This Row],[name]],"_",-1)</f>
        <v>trnagly</v>
      </c>
      <c r="D79" t="str">
        <f>_xlfn.XLOOKUP(mets24[[#This Row],[name w/o location]],metaboliteInfo[name w/o location],metaboliteInfo[suggested category],"")</f>
        <v>ignore</v>
      </c>
      <c r="E79" s="21">
        <f>_xlfn.XLOOKUP(mets24[[#This Row],[name w/o location]],metaboliteInfo[name w/o location],metaboliteInfo[MW for biomass normalization (g/mol)],0)</f>
        <v>0</v>
      </c>
      <c r="F79" s="21">
        <f>_xlfn.NUMBERVALUE(SUBSTITUTE(_xlfn.TEXTAFTER(mets24[[#This Row],[pasted JSON metabolite keys and values from GSM biomass rxn]],":"),",",""))</f>
        <v>0.110582</v>
      </c>
      <c r="G79" s="21" cm="1">
        <f t="array" ref="G79">_xlfn.LET(_xlpm.id,mets24[[#This Row],[name w/o location]],IF(IsElementOfSet_DIY(_xlpm.id,{"atp","adp","h","pi","h2o"}),SIGN(mets24[[#This Row],[raw (GSM) coefficient]])*(ABS(mets24[[#This Row],[raw (GSM) coefficient]])-$J$2),mets24[[#This Row],[raw (GSM) coefficient]]))</f>
        <v>0.110582</v>
      </c>
      <c r="H79" s="21">
        <f>mets24[[#This Row],[coeff. w/o GAM]]</f>
        <v>0.110582</v>
      </c>
      <c r="I79" s="161">
        <f t="shared" si="2"/>
        <v>0.1105820416925931</v>
      </c>
      <c r="J79" s="21" cm="1">
        <f t="array" ref="J79">_xlfn.LET(_xlpm.id,mets24[[#This Row],[name w/o location]],_xlpm.oldcoeff,mets24[[#This Row],[normalized coeffs]],_xlpm.gam,$J$2-$G$2,_xlfn.IFS(IFERROR(MATCH(_xlpm.id,{"atp","h2o"},0),0)&gt;0,_xlpm.oldcoeff-_xlpm.gam,IFERROR(MATCH(_xlpm.id,{"adp","h","pi"},0),0)&gt;0,_xlpm.oldcoeff+_xlpm.gam,TRUE,_xlpm.oldcoeff))</f>
        <v>0.1105820416925931</v>
      </c>
      <c r="K79" t="str" cm="1">
        <f t="array" ref="K79">"BIOSYN-"&amp;_xlfn.IFS(IFERROR(MATCH(mets24[[#This Row],[category]],{0,"0",""},0),0)&gt;0,mets24[[#This Row],[name]],TRUE,mets24[[#This Row],[category]]&amp;"-"&amp;mets24[[#This Row],[name]])</f>
        <v>BIOSYN-ignore-trnagly_c</v>
      </c>
      <c r="L79" s="149" t="str" cm="1">
        <f t="array" ref="L79">IF(IsElementOfSet_DIY(mets24[[#This Row],[category]],{"ignore","PROT"}),"",_xlfn.LET(_xlpm.mw,mets24[[#This Row],[MW for biomass normalization (g/mol)]],"MET-"&amp;mets24[[#This Row],[name]]&amp;" --&gt; "&amp;IF((mets24[[#This Row],[category]]="DNA")+(mets24[[#This Row],[category]]="RNA"),"MET-ppi_c + ","")&amp;ROUND(ABS(_xlpm.mw/1000),6)&amp;" BIO-"&amp;mets24[[#This Row],[name]]))</f>
        <v/>
      </c>
      <c r="M79" s="149" cm="1">
        <f t="array" ref="M7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0.11058216824474192</v>
      </c>
      <c r="N79" s="149"/>
      <c r="O79" s="149"/>
      <c r="P79" s="149"/>
      <c r="Q79" s="149"/>
      <c r="R79" s="149"/>
      <c r="S79" s="149"/>
      <c r="T79" s="149"/>
      <c r="U79" s="149"/>
      <c r="V79" s="149"/>
    </row>
    <row r="80" spans="1:29" ht="16" x14ac:dyDescent="0.2">
      <c r="A80" s="144" t="s">
        <v>1279</v>
      </c>
      <c r="B80" t="str">
        <f>SUBSTITUTE(_xlfn.TEXTBEFORE(mets24[[#This Row],[pasted JSON metabolite keys and values from GSM biomass rxn]],":"),CHAR(34),"")</f>
        <v>trnahis_c</v>
      </c>
      <c r="C80" t="str">
        <f>_xlfn.TEXTBEFORE(mets24[[#This Row],[name]],"_",-1)</f>
        <v>trnahis</v>
      </c>
      <c r="D80" t="str">
        <f>_xlfn.XLOOKUP(mets24[[#This Row],[name w/o location]],metaboliteInfo[name w/o location],metaboliteInfo[suggested category],"")</f>
        <v>ignore</v>
      </c>
      <c r="E80" s="21">
        <f>_xlfn.XLOOKUP(mets24[[#This Row],[name w/o location]],metaboliteInfo[name w/o location],metaboliteInfo[MW for biomass normalization (g/mol)],0)</f>
        <v>0</v>
      </c>
      <c r="F80" s="21">
        <f>_xlfn.NUMBERVALUE(SUBSTITUTE(_xlfn.TEXTAFTER(mets24[[#This Row],[pasted JSON metabolite keys and values from GSM biomass rxn]],":"),",",""))</f>
        <v>2.4007000000000001E-2</v>
      </c>
      <c r="G80" s="21" cm="1">
        <f t="array" ref="G80">_xlfn.LET(_xlpm.id,mets24[[#This Row],[name w/o location]],IF(IsElementOfSet_DIY(_xlpm.id,{"atp","adp","h","pi","h2o"}),SIGN(mets24[[#This Row],[raw (GSM) coefficient]])*(ABS(mets24[[#This Row],[raw (GSM) coefficient]])-$J$2),mets24[[#This Row],[raw (GSM) coefficient]]))</f>
        <v>2.4007000000000001E-2</v>
      </c>
      <c r="H80" s="21">
        <f>mets24[[#This Row],[coeff. w/o GAM]]</f>
        <v>2.4007000000000001E-2</v>
      </c>
      <c r="I80" s="161">
        <f t="shared" si="2"/>
        <v>2.4007009051329173E-2</v>
      </c>
      <c r="J80" s="21" cm="1">
        <f t="array" ref="J80">_xlfn.LET(_xlpm.id,mets24[[#This Row],[name w/o location]],_xlpm.oldcoeff,mets24[[#This Row],[normalized coeffs]],_xlpm.gam,$J$2-$G$2,_xlfn.IFS(IFERROR(MATCH(_xlpm.id,{"atp","h2o"},0),0)&gt;0,_xlpm.oldcoeff-_xlpm.gam,IFERROR(MATCH(_xlpm.id,{"adp","h","pi"},0),0)&gt;0,_xlpm.oldcoeff+_xlpm.gam,TRUE,_xlpm.oldcoeff))</f>
        <v>2.4007009051329173E-2</v>
      </c>
      <c r="K80" t="str" cm="1">
        <f t="array" ref="K80">"BIOSYN-"&amp;_xlfn.IFS(IFERROR(MATCH(mets24[[#This Row],[category]],{0,"0",""},0),0)&gt;0,mets24[[#This Row],[name]],TRUE,mets24[[#This Row],[category]]&amp;"-"&amp;mets24[[#This Row],[name]])</f>
        <v>BIOSYN-ignore-trnahis_c</v>
      </c>
      <c r="L80" s="149" t="str" cm="1">
        <f t="array" ref="L80">IF(IsElementOfSet_DIY(mets24[[#This Row],[category]],{"ignore","PROT"}),"",_xlfn.LET(_xlpm.mw,mets24[[#This Row],[MW for biomass normalization (g/mol)]],"MET-"&amp;mets24[[#This Row],[name]]&amp;" --&gt; "&amp;IF((mets24[[#This Row],[category]]="DNA")+(mets24[[#This Row],[category]]="RNA"),"MET-ppi_c + ","")&amp;ROUND(ABS(_xlpm.mw/1000),6)&amp;" BIO-"&amp;mets24[[#This Row],[name]]))</f>
        <v/>
      </c>
      <c r="M80" s="149" cm="1">
        <f t="array" ref="M8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2.4007036525397617E-2</v>
      </c>
      <c r="N80" s="149"/>
      <c r="O80" s="149"/>
      <c r="P80" s="149"/>
      <c r="Q80" s="149"/>
      <c r="R80" s="149"/>
      <c r="S80" s="149"/>
      <c r="T80" s="149"/>
      <c r="U80" s="149"/>
      <c r="V80" s="149"/>
    </row>
    <row r="81" spans="1:22" ht="16" x14ac:dyDescent="0.2">
      <c r="A81" s="144" t="s">
        <v>1280</v>
      </c>
      <c r="B81" t="str">
        <f>SUBSTITUTE(_xlfn.TEXTBEFORE(mets24[[#This Row],[pasted JSON metabolite keys and values from GSM biomass rxn]],":"),CHAR(34),"")</f>
        <v>trnaile_c</v>
      </c>
      <c r="C81" t="str">
        <f>_xlfn.TEXTBEFORE(mets24[[#This Row],[name]],"_",-1)</f>
        <v>trnaile</v>
      </c>
      <c r="D81" t="str">
        <f>_xlfn.XLOOKUP(mets24[[#This Row],[name w/o location]],metaboliteInfo[name w/o location],metaboliteInfo[suggested category],"")</f>
        <v>ignore</v>
      </c>
      <c r="E81" s="21">
        <f>_xlfn.XLOOKUP(mets24[[#This Row],[name w/o location]],metaboliteInfo[name w/o location],metaboliteInfo[MW for biomass normalization (g/mol)],0)</f>
        <v>0</v>
      </c>
      <c r="F81" s="21">
        <f>_xlfn.NUMBERVALUE(SUBSTITUTE(_xlfn.TEXTAFTER(mets24[[#This Row],[pasted JSON metabolite keys and values from GSM biomass rxn]],":"),",",""))</f>
        <v>7.3264999999999997E-2</v>
      </c>
      <c r="G81" s="21" cm="1">
        <f t="array" ref="G81">_xlfn.LET(_xlpm.id,mets24[[#This Row],[name w/o location]],IF(IsElementOfSet_DIY(_xlpm.id,{"atp","adp","h","pi","h2o"}),SIGN(mets24[[#This Row],[raw (GSM) coefficient]])*(ABS(mets24[[#This Row],[raw (GSM) coefficient]])-$J$2),mets24[[#This Row],[raw (GSM) coefficient]]))</f>
        <v>7.3264999999999997E-2</v>
      </c>
      <c r="H81" s="21">
        <f>mets24[[#This Row],[coeff. w/o GAM]]</f>
        <v>7.3264999999999997E-2</v>
      </c>
      <c r="I81" s="161">
        <f t="shared" si="2"/>
        <v>7.3265027623011278E-2</v>
      </c>
      <c r="J81" s="21" cm="1">
        <f t="array" ref="J81">_xlfn.LET(_xlpm.id,mets24[[#This Row],[name w/o location]],_xlpm.oldcoeff,mets24[[#This Row],[normalized coeffs]],_xlpm.gam,$J$2-$G$2,_xlfn.IFS(IFERROR(MATCH(_xlpm.id,{"atp","h2o"},0),0)&gt;0,_xlpm.oldcoeff-_xlpm.gam,IFERROR(MATCH(_xlpm.id,{"adp","h","pi"},0),0)&gt;0,_xlpm.oldcoeff+_xlpm.gam,TRUE,_xlpm.oldcoeff))</f>
        <v>7.3265027623011278E-2</v>
      </c>
      <c r="K81" t="str" cm="1">
        <f t="array" ref="K81">"BIOSYN-"&amp;_xlfn.IFS(IFERROR(MATCH(mets24[[#This Row],[category]],{0,"0",""},0),0)&gt;0,mets24[[#This Row],[name]],TRUE,mets24[[#This Row],[category]]&amp;"-"&amp;mets24[[#This Row],[name]])</f>
        <v>BIOSYN-ignore-trnaile_c</v>
      </c>
      <c r="L81" s="149" t="str" cm="1">
        <f t="array" ref="L81">IF(IsElementOfSet_DIY(mets24[[#This Row],[category]],{"ignore","PROT"}),"",_xlfn.LET(_xlpm.mw,mets24[[#This Row],[MW for biomass normalization (g/mol)]],"MET-"&amp;mets24[[#This Row],[name]]&amp;" --&gt; "&amp;IF((mets24[[#This Row],[category]]="DNA")+(mets24[[#This Row],[category]]="RNA"),"MET-ppi_c + ","")&amp;ROUND(ABS(_xlpm.mw/1000),6)&amp;" BIO-"&amp;mets24[[#This Row],[name]]))</f>
        <v/>
      </c>
      <c r="M81" s="149" cm="1">
        <f t="array" ref="M8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7.326511146887392E-2</v>
      </c>
      <c r="N81" s="149"/>
      <c r="O81" s="149"/>
      <c r="P81" s="149"/>
      <c r="Q81" s="149"/>
      <c r="R81" s="149"/>
      <c r="S81" s="149"/>
      <c r="T81" s="149"/>
      <c r="U81" s="149"/>
      <c r="V81" s="149"/>
    </row>
    <row r="82" spans="1:22" ht="16" x14ac:dyDescent="0.2">
      <c r="A82" s="144" t="s">
        <v>1281</v>
      </c>
      <c r="B82" t="str">
        <f>SUBSTITUTE(_xlfn.TEXTBEFORE(mets24[[#This Row],[pasted JSON metabolite keys and values from GSM biomass rxn]],":"),CHAR(34),"")</f>
        <v>trnaleu_c</v>
      </c>
      <c r="C82" t="str">
        <f>_xlfn.TEXTBEFORE(mets24[[#This Row],[name]],"_",-1)</f>
        <v>trnaleu</v>
      </c>
      <c r="D82" t="str">
        <f>_xlfn.XLOOKUP(mets24[[#This Row],[name w/o location]],metaboliteInfo[name w/o location],metaboliteInfo[suggested category],"")</f>
        <v>ignore</v>
      </c>
      <c r="E82" s="21">
        <f>_xlfn.XLOOKUP(mets24[[#This Row],[name w/o location]],metaboliteInfo[name w/o location],metaboliteInfo[MW for biomass normalization (g/mol)],0)</f>
        <v>0</v>
      </c>
      <c r="F82" s="21">
        <f>_xlfn.NUMBERVALUE(SUBSTITUTE(_xlfn.TEXTAFTER(mets24[[#This Row],[pasted JSON metabolite keys and values from GSM biomass rxn]],":"),",",""))</f>
        <v>9.9636000000000002E-2</v>
      </c>
      <c r="G82" s="21" cm="1">
        <f t="array" ref="G82">_xlfn.LET(_xlpm.id,mets24[[#This Row],[name w/o location]],IF(IsElementOfSet_DIY(_xlpm.id,{"atp","adp","h","pi","h2o"}),SIGN(mets24[[#This Row],[raw (GSM) coefficient]])*(ABS(mets24[[#This Row],[raw (GSM) coefficient]])-$J$2),mets24[[#This Row],[raw (GSM) coefficient]]))</f>
        <v>9.9636000000000002E-2</v>
      </c>
      <c r="H82" s="21">
        <f>mets24[[#This Row],[coeff. w/o GAM]]</f>
        <v>9.9636000000000002E-2</v>
      </c>
      <c r="I82" s="161">
        <f t="shared" si="2"/>
        <v>9.9636037565636423E-2</v>
      </c>
      <c r="J82" s="21" cm="1">
        <f t="array" ref="J82">_xlfn.LET(_xlpm.id,mets24[[#This Row],[name w/o location]],_xlpm.oldcoeff,mets24[[#This Row],[normalized coeffs]],_xlpm.gam,$J$2-$G$2,_xlfn.IFS(IFERROR(MATCH(_xlpm.id,{"atp","h2o"},0),0)&gt;0,_xlpm.oldcoeff-_xlpm.gam,IFERROR(MATCH(_xlpm.id,{"adp","h","pi"},0),0)&gt;0,_xlpm.oldcoeff+_xlpm.gam,TRUE,_xlpm.oldcoeff))</f>
        <v>9.9636037565636423E-2</v>
      </c>
      <c r="K82" t="str" cm="1">
        <f t="array" ref="K82">"BIOSYN-"&amp;_xlfn.IFS(IFERROR(MATCH(mets24[[#This Row],[category]],{0,"0",""},0),0)&gt;0,mets24[[#This Row],[name]],TRUE,mets24[[#This Row],[category]]&amp;"-"&amp;mets24[[#This Row],[name]])</f>
        <v>BIOSYN-ignore-trnaleu_c</v>
      </c>
      <c r="L82" s="149" t="str" cm="1">
        <f t="array" ref="L82">IF(IsElementOfSet_DIY(mets24[[#This Row],[category]],{"ignore","PROT"}),"",_xlfn.LET(_xlpm.mw,mets24[[#This Row],[MW for biomass normalization (g/mol)]],"MET-"&amp;mets24[[#This Row],[name]]&amp;" --&gt; "&amp;IF((mets24[[#This Row],[category]]="DNA")+(mets24[[#This Row],[category]]="RNA"),"MET-ppi_c + ","")&amp;ROUND(ABS(_xlpm.mw/1000),6)&amp;" BIO-"&amp;mets24[[#This Row],[name]]))</f>
        <v/>
      </c>
      <c r="M82" s="149" cm="1">
        <f t="array" ref="M8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9.9636151590974179E-2</v>
      </c>
      <c r="N82" s="149"/>
      <c r="O82" s="149"/>
      <c r="P82" s="149"/>
      <c r="Q82" s="149"/>
      <c r="R82" s="149"/>
      <c r="S82" s="149"/>
      <c r="T82" s="149"/>
      <c r="U82" s="149"/>
      <c r="V82" s="149"/>
    </row>
    <row r="83" spans="1:22" ht="16" x14ac:dyDescent="0.2">
      <c r="A83" s="144" t="s">
        <v>1282</v>
      </c>
      <c r="B83" t="str">
        <f>SUBSTITUTE(_xlfn.TEXTBEFORE(mets24[[#This Row],[pasted JSON metabolite keys and values from GSM biomass rxn]],":"),CHAR(34),"")</f>
        <v>trnalys_c</v>
      </c>
      <c r="C83" t="str">
        <f>_xlfn.TEXTBEFORE(mets24[[#This Row],[name]],"_",-1)</f>
        <v>trnalys</v>
      </c>
      <c r="D83" t="str">
        <f>_xlfn.XLOOKUP(mets24[[#This Row],[name w/o location]],metaboliteInfo[name w/o location],metaboliteInfo[suggested category],"")</f>
        <v>ignore</v>
      </c>
      <c r="E83" s="21">
        <f>_xlfn.XLOOKUP(mets24[[#This Row],[name w/o location]],metaboliteInfo[name w/o location],metaboliteInfo[MW for biomass normalization (g/mol)],0)</f>
        <v>0</v>
      </c>
      <c r="F83" s="21">
        <f>_xlfn.NUMBERVALUE(SUBSTITUTE(_xlfn.TEXTAFTER(mets24[[#This Row],[pasted JSON metabolite keys and values from GSM biomass rxn]],":"),",",""))</f>
        <v>8.1724000000000005E-2</v>
      </c>
      <c r="G83" s="21" cm="1">
        <f t="array" ref="G83">_xlfn.LET(_xlpm.id,mets24[[#This Row],[name w/o location]],IF(IsElementOfSet_DIY(_xlpm.id,{"atp","adp","h","pi","h2o"}),SIGN(mets24[[#This Row],[raw (GSM) coefficient]])*(ABS(mets24[[#This Row],[raw (GSM) coefficient]])-$J$2),mets24[[#This Row],[raw (GSM) coefficient]]))</f>
        <v>8.1724000000000005E-2</v>
      </c>
      <c r="H83" s="21">
        <f>mets24[[#This Row],[coeff. w/o GAM]]</f>
        <v>8.1724000000000005E-2</v>
      </c>
      <c r="I83" s="161">
        <f t="shared" si="2"/>
        <v>8.1724030812297468E-2</v>
      </c>
      <c r="J83" s="21" cm="1">
        <f t="array" ref="J83">_xlfn.LET(_xlpm.id,mets24[[#This Row],[name w/o location]],_xlpm.oldcoeff,mets24[[#This Row],[normalized coeffs]],_xlpm.gam,$J$2-$G$2,_xlfn.IFS(IFERROR(MATCH(_xlpm.id,{"atp","h2o"},0),0)&gt;0,_xlpm.oldcoeff-_xlpm.gam,IFERROR(MATCH(_xlpm.id,{"adp","h","pi"},0),0)&gt;0,_xlpm.oldcoeff+_xlpm.gam,TRUE,_xlpm.oldcoeff))</f>
        <v>8.1724030812297468E-2</v>
      </c>
      <c r="K83" t="str" cm="1">
        <f t="array" ref="K83">"BIOSYN-"&amp;_xlfn.IFS(IFERROR(MATCH(mets24[[#This Row],[category]],{0,"0",""},0),0)&gt;0,mets24[[#This Row],[name]],TRUE,mets24[[#This Row],[category]]&amp;"-"&amp;mets24[[#This Row],[name]])</f>
        <v>BIOSYN-ignore-trnalys_c</v>
      </c>
      <c r="L83" s="149" t="str" cm="1">
        <f t="array" ref="L83">IF(IsElementOfSet_DIY(mets24[[#This Row],[category]],{"ignore","PROT"}),"",_xlfn.LET(_xlpm.mw,mets24[[#This Row],[MW for biomass normalization (g/mol)]],"MET-"&amp;mets24[[#This Row],[name]]&amp;" --&gt; "&amp;IF((mets24[[#This Row],[category]]="DNA")+(mets24[[#This Row],[category]]="RNA"),"MET-ppi_c + ","")&amp;ROUND(ABS(_xlpm.mw/1000),6)&amp;" BIO-"&amp;mets24[[#This Row],[name]]))</f>
        <v/>
      </c>
      <c r="M83" s="149" cm="1">
        <f t="array" ref="M8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8.1724124338800969E-2</v>
      </c>
      <c r="N83" s="149"/>
      <c r="O83" s="149"/>
      <c r="P83" s="149"/>
      <c r="Q83" s="149"/>
      <c r="R83" s="149"/>
      <c r="S83" s="149"/>
      <c r="T83" s="149"/>
      <c r="U83" s="149"/>
      <c r="V83" s="149"/>
    </row>
    <row r="84" spans="1:22" ht="16" x14ac:dyDescent="0.2">
      <c r="A84" s="144" t="s">
        <v>1283</v>
      </c>
      <c r="B84" t="str">
        <f>SUBSTITUTE(_xlfn.TEXTBEFORE(mets24[[#This Row],[pasted JSON metabolite keys and values from GSM biomass rxn]],":"),CHAR(34),"")</f>
        <v>trnamet_c</v>
      </c>
      <c r="C84" t="str">
        <f>_xlfn.TEXTBEFORE(mets24[[#This Row],[name]],"_",-1)</f>
        <v>trnamet</v>
      </c>
      <c r="D84" t="str">
        <f>_xlfn.XLOOKUP(mets24[[#This Row],[name w/o location]],metaboliteInfo[name w/o location],metaboliteInfo[suggested category],"")</f>
        <v>ignore</v>
      </c>
      <c r="E84" s="21">
        <f>_xlfn.XLOOKUP(mets24[[#This Row],[name w/o location]],metaboliteInfo[name w/o location],metaboliteInfo[MW for biomass normalization (g/mol)],0)</f>
        <v>0</v>
      </c>
      <c r="F84" s="21">
        <f>_xlfn.NUMBERVALUE(SUBSTITUTE(_xlfn.TEXTAFTER(mets24[[#This Row],[pasted JSON metabolite keys and values from GSM biomass rxn]],":"),",",""))</f>
        <v>1.418E-2</v>
      </c>
      <c r="G84" s="21" cm="1">
        <f t="array" ref="G84">_xlfn.LET(_xlpm.id,mets24[[#This Row],[name w/o location]],IF(IsElementOfSet_DIY(_xlpm.id,{"atp","adp","h","pi","h2o"}),SIGN(mets24[[#This Row],[raw (GSM) coefficient]])*(ABS(mets24[[#This Row],[raw (GSM) coefficient]])-$J$2),mets24[[#This Row],[raw (GSM) coefficient]]))</f>
        <v>1.418E-2</v>
      </c>
      <c r="H84" s="21">
        <f>mets24[[#This Row],[coeff. w/o GAM]]</f>
        <v>1.418E-2</v>
      </c>
      <c r="I84" s="161">
        <f t="shared" si="2"/>
        <v>1.4180005346267658E-2</v>
      </c>
      <c r="J84" s="21" cm="1">
        <f t="array" ref="J84">_xlfn.LET(_xlpm.id,mets24[[#This Row],[name w/o location]],_xlpm.oldcoeff,mets24[[#This Row],[normalized coeffs]],_xlpm.gam,$J$2-$G$2,_xlfn.IFS(IFERROR(MATCH(_xlpm.id,{"atp","h2o"},0),0)&gt;0,_xlpm.oldcoeff-_xlpm.gam,IFERROR(MATCH(_xlpm.id,{"adp","h","pi"},0),0)&gt;0,_xlpm.oldcoeff+_xlpm.gam,TRUE,_xlpm.oldcoeff))</f>
        <v>1.4180005346267658E-2</v>
      </c>
      <c r="K84" t="str" cm="1">
        <f t="array" ref="K84">"BIOSYN-"&amp;_xlfn.IFS(IFERROR(MATCH(mets24[[#This Row],[category]],{0,"0",""},0),0)&gt;0,mets24[[#This Row],[name]],TRUE,mets24[[#This Row],[category]]&amp;"-"&amp;mets24[[#This Row],[name]])</f>
        <v>BIOSYN-ignore-trnamet_c</v>
      </c>
      <c r="L84" s="149" t="str" cm="1">
        <f t="array" ref="L84">IF(IsElementOfSet_DIY(mets24[[#This Row],[category]],{"ignore","PROT"}),"",_xlfn.LET(_xlpm.mw,mets24[[#This Row],[MW for biomass normalization (g/mol)]],"MET-"&amp;mets24[[#This Row],[name]]&amp;" --&gt; "&amp;IF((mets24[[#This Row],[category]]="DNA")+(mets24[[#This Row],[category]]="RNA"),"MET-ppi_c + ","")&amp;ROUND(ABS(_xlpm.mw/1000),6)&amp;" BIO-"&amp;mets24[[#This Row],[name]]))</f>
        <v/>
      </c>
      <c r="M84" s="149" cm="1">
        <f t="array" ref="M8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1.418002157412997E-2</v>
      </c>
      <c r="N84" s="149"/>
      <c r="O84" s="149"/>
      <c r="P84" s="149"/>
      <c r="Q84" s="149"/>
      <c r="R84" s="149"/>
      <c r="S84" s="149"/>
      <c r="T84" s="149"/>
      <c r="U84" s="149"/>
      <c r="V84" s="149"/>
    </row>
    <row r="85" spans="1:22" ht="16" x14ac:dyDescent="0.2">
      <c r="A85" s="144" t="s">
        <v>1284</v>
      </c>
      <c r="B85" t="str">
        <f>SUBSTITUTE(_xlfn.TEXTBEFORE(mets24[[#This Row],[pasted JSON metabolite keys and values from GSM biomass rxn]],":"),CHAR(34),"")</f>
        <v>trnaphe_c</v>
      </c>
      <c r="C85" t="str">
        <f>_xlfn.TEXTBEFORE(mets24[[#This Row],[name]],"_",-1)</f>
        <v>trnaphe</v>
      </c>
      <c r="D85" t="str">
        <f>_xlfn.XLOOKUP(mets24[[#This Row],[name w/o location]],metaboliteInfo[name w/o location],metaboliteInfo[suggested category],"")</f>
        <v>ignore</v>
      </c>
      <c r="E85" s="21">
        <f>_xlfn.XLOOKUP(mets24[[#This Row],[name w/o location]],metaboliteInfo[name w/o location],metaboliteInfo[MW for biomass normalization (g/mol)],0)</f>
        <v>0</v>
      </c>
      <c r="F85" s="21">
        <f>_xlfn.NUMBERVALUE(SUBSTITUTE(_xlfn.TEXTAFTER(mets24[[#This Row],[pasted JSON metabolite keys and values from GSM biomass rxn]],":"),",",""))</f>
        <v>4.6771E-2</v>
      </c>
      <c r="G85" s="21" cm="1">
        <f t="array" ref="G85">_xlfn.LET(_xlpm.id,mets24[[#This Row],[name w/o location]],IF(IsElementOfSet_DIY(_xlpm.id,{"atp","adp","h","pi","h2o"}),SIGN(mets24[[#This Row],[raw (GSM) coefficient]])*(ABS(mets24[[#This Row],[raw (GSM) coefficient]])-$J$2),mets24[[#This Row],[raw (GSM) coefficient]]))</f>
        <v>4.6771E-2</v>
      </c>
      <c r="H85" s="21">
        <f>mets24[[#This Row],[coeff. w/o GAM]]</f>
        <v>4.6771E-2</v>
      </c>
      <c r="I85" s="161">
        <f t="shared" si="2"/>
        <v>4.6771017634011612E-2</v>
      </c>
      <c r="J85" s="21" cm="1">
        <f t="array" ref="J85">_xlfn.LET(_xlpm.id,mets24[[#This Row],[name w/o location]],_xlpm.oldcoeff,mets24[[#This Row],[normalized coeffs]],_xlpm.gam,$J$2-$G$2,_xlfn.IFS(IFERROR(MATCH(_xlpm.id,{"atp","h2o"},0),0)&gt;0,_xlpm.oldcoeff-_xlpm.gam,IFERROR(MATCH(_xlpm.id,{"adp","h","pi"},0),0)&gt;0,_xlpm.oldcoeff+_xlpm.gam,TRUE,_xlpm.oldcoeff))</f>
        <v>4.6771017634011612E-2</v>
      </c>
      <c r="K85" t="str" cm="1">
        <f t="array" ref="K85">"BIOSYN-"&amp;_xlfn.IFS(IFERROR(MATCH(mets24[[#This Row],[category]],{0,"0",""},0),0)&gt;0,mets24[[#This Row],[name]],TRUE,mets24[[#This Row],[category]]&amp;"-"&amp;mets24[[#This Row],[name]])</f>
        <v>BIOSYN-ignore-trnaphe_c</v>
      </c>
      <c r="L85" s="149" t="str" cm="1">
        <f t="array" ref="L85">IF(IsElementOfSet_DIY(mets24[[#This Row],[category]],{"ignore","PROT"}),"",_xlfn.LET(_xlpm.mw,mets24[[#This Row],[MW for biomass normalization (g/mol)]],"MET-"&amp;mets24[[#This Row],[name]]&amp;" --&gt; "&amp;IF((mets24[[#This Row],[category]]="DNA")+(mets24[[#This Row],[category]]="RNA"),"MET-ppi_c + ","")&amp;ROUND(ABS(_xlpm.mw/1000),6)&amp;" BIO-"&amp;mets24[[#This Row],[name]]))</f>
        <v/>
      </c>
      <c r="M85" s="149" cm="1">
        <f t="array" ref="M8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4.6771071159635601E-2</v>
      </c>
      <c r="N85" s="149"/>
      <c r="O85" s="149"/>
      <c r="P85" s="149"/>
      <c r="Q85" s="149"/>
      <c r="R85" s="149"/>
      <c r="S85" s="149"/>
      <c r="T85" s="149"/>
      <c r="U85" s="149"/>
      <c r="V85" s="149"/>
    </row>
    <row r="86" spans="1:22" ht="16" x14ac:dyDescent="0.2">
      <c r="A86" s="144" t="s">
        <v>1285</v>
      </c>
      <c r="B86" t="str">
        <f>SUBSTITUTE(_xlfn.TEXTBEFORE(mets24[[#This Row],[pasted JSON metabolite keys and values from GSM biomass rxn]],":"),CHAR(34),"")</f>
        <v>trnapro_c</v>
      </c>
      <c r="C86" t="str">
        <f>_xlfn.TEXTBEFORE(mets24[[#This Row],[name]],"_",-1)</f>
        <v>trnapro</v>
      </c>
      <c r="D86" t="str">
        <f>_xlfn.XLOOKUP(mets24[[#This Row],[name w/o location]],metaboliteInfo[name w/o location],metaboliteInfo[suggested category],"")</f>
        <v>ignore</v>
      </c>
      <c r="E86" s="21">
        <f>_xlfn.XLOOKUP(mets24[[#This Row],[name w/o location]],metaboliteInfo[name w/o location],metaboliteInfo[MW for biomass normalization (g/mol)],0)</f>
        <v>0</v>
      </c>
      <c r="F86" s="21">
        <f>_xlfn.NUMBERVALUE(SUBSTITUTE(_xlfn.TEXTAFTER(mets24[[#This Row],[pasted JSON metabolite keys and values from GSM biomass rxn]],":"),",",""))</f>
        <v>5.2491999999999997E-2</v>
      </c>
      <c r="G86" s="21" cm="1">
        <f t="array" ref="G86">_xlfn.LET(_xlpm.id,mets24[[#This Row],[name w/o location]],IF(IsElementOfSet_DIY(_xlpm.id,{"atp","adp","h","pi","h2o"}),SIGN(mets24[[#This Row],[raw (GSM) coefficient]])*(ABS(mets24[[#This Row],[raw (GSM) coefficient]])-$J$2),mets24[[#This Row],[raw (GSM) coefficient]]))</f>
        <v>5.2491999999999997E-2</v>
      </c>
      <c r="H86" s="21">
        <f>mets24[[#This Row],[coeff. w/o GAM]]</f>
        <v>5.2491999999999997E-2</v>
      </c>
      <c r="I86" s="161">
        <f t="shared" si="2"/>
        <v>5.2492019790993077E-2</v>
      </c>
      <c r="J86" s="21" cm="1">
        <f t="array" ref="J86">_xlfn.LET(_xlpm.id,mets24[[#This Row],[name w/o location]],_xlpm.oldcoeff,mets24[[#This Row],[normalized coeffs]],_xlpm.gam,$J$2-$G$2,_xlfn.IFS(IFERROR(MATCH(_xlpm.id,{"atp","h2o"},0),0)&gt;0,_xlpm.oldcoeff-_xlpm.gam,IFERROR(MATCH(_xlpm.id,{"adp","h","pi"},0),0)&gt;0,_xlpm.oldcoeff+_xlpm.gam,TRUE,_xlpm.oldcoeff))</f>
        <v>5.2492019790993077E-2</v>
      </c>
      <c r="K86" t="str" cm="1">
        <f t="array" ref="K86">"BIOSYN-"&amp;_xlfn.IFS(IFERROR(MATCH(mets24[[#This Row],[category]],{0,"0",""},0),0)&gt;0,mets24[[#This Row],[name]],TRUE,mets24[[#This Row],[category]]&amp;"-"&amp;mets24[[#This Row],[name]])</f>
        <v>BIOSYN-ignore-trnapro_c</v>
      </c>
      <c r="L86" s="149" t="str" cm="1">
        <f t="array" ref="L86">IF(IsElementOfSet_DIY(mets24[[#This Row],[category]],{"ignore","PROT"}),"",_xlfn.LET(_xlpm.mw,mets24[[#This Row],[MW for biomass normalization (g/mol)]],"MET-"&amp;mets24[[#This Row],[name]]&amp;" --&gt; "&amp;IF((mets24[[#This Row],[category]]="DNA")+(mets24[[#This Row],[category]]="RNA"),"MET-ppi_c + ","")&amp;ROUND(ABS(_xlpm.mw/1000),6)&amp;" BIO-"&amp;mets24[[#This Row],[name]]))</f>
        <v/>
      </c>
      <c r="M86" s="149" cm="1">
        <f t="array" ref="M8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5.2492079863838526E-2</v>
      </c>
      <c r="N86" s="149"/>
      <c r="O86" s="149"/>
      <c r="P86" s="149"/>
      <c r="Q86" s="149"/>
      <c r="R86" s="149"/>
      <c r="S86" s="149"/>
      <c r="T86" s="149"/>
      <c r="U86" s="149"/>
      <c r="V86" s="149"/>
    </row>
    <row r="87" spans="1:22" ht="16" x14ac:dyDescent="0.2">
      <c r="A87" s="144" t="s">
        <v>1286</v>
      </c>
      <c r="B87" t="str">
        <f>SUBSTITUTE(_xlfn.TEXTBEFORE(mets24[[#This Row],[pasted JSON metabolite keys and values from GSM biomass rxn]],":"),CHAR(34),"")</f>
        <v>trnaser_c</v>
      </c>
      <c r="C87" t="str">
        <f>_xlfn.TEXTBEFORE(mets24[[#This Row],[name]],"_",-1)</f>
        <v>trnaser</v>
      </c>
      <c r="D87" t="str">
        <f>_xlfn.XLOOKUP(mets24[[#This Row],[name w/o location]],metaboliteInfo[name w/o location],metaboliteInfo[suggested category],"")</f>
        <v>ignore</v>
      </c>
      <c r="E87" s="21">
        <f>_xlfn.XLOOKUP(mets24[[#This Row],[name w/o location]],metaboliteInfo[name w/o location],metaboliteInfo[MW for biomass normalization (g/mol)],0)</f>
        <v>0</v>
      </c>
      <c r="F87" s="21">
        <f>_xlfn.NUMBERVALUE(SUBSTITUTE(_xlfn.TEXTAFTER(mets24[[#This Row],[pasted JSON metabolite keys and values from GSM biomass rxn]],":"),",",""))</f>
        <v>6.6299999999999998E-2</v>
      </c>
      <c r="G87" s="21" cm="1">
        <f t="array" ref="G87">_xlfn.LET(_xlpm.id,mets24[[#This Row],[name w/o location]],IF(IsElementOfSet_DIY(_xlpm.id,{"atp","adp","h","pi","h2o"}),SIGN(mets24[[#This Row],[raw (GSM) coefficient]])*(ABS(mets24[[#This Row],[raw (GSM) coefficient]])-$J$2),mets24[[#This Row],[raw (GSM) coefficient]]))</f>
        <v>6.6299999999999998E-2</v>
      </c>
      <c r="H87" s="21">
        <f>mets24[[#This Row],[coeff. w/o GAM]]</f>
        <v>6.6299999999999998E-2</v>
      </c>
      <c r="I87" s="161">
        <f t="shared" si="2"/>
        <v>6.6300024997006046E-2</v>
      </c>
      <c r="J87" s="21" cm="1">
        <f t="array" ref="J87">_xlfn.LET(_xlpm.id,mets24[[#This Row],[name w/o location]],_xlpm.oldcoeff,mets24[[#This Row],[normalized coeffs]],_xlpm.gam,$J$2-$G$2,_xlfn.IFS(IFERROR(MATCH(_xlpm.id,{"atp","h2o"},0),0)&gt;0,_xlpm.oldcoeff-_xlpm.gam,IFERROR(MATCH(_xlpm.id,{"adp","h","pi"},0),0)&gt;0,_xlpm.oldcoeff+_xlpm.gam,TRUE,_xlpm.oldcoeff))</f>
        <v>6.6300024997006046E-2</v>
      </c>
      <c r="K87" t="str" cm="1">
        <f t="array" ref="K87">"BIOSYN-"&amp;_xlfn.IFS(IFERROR(MATCH(mets24[[#This Row],[category]],{0,"0",""},0),0)&gt;0,mets24[[#This Row],[name]],TRUE,mets24[[#This Row],[category]]&amp;"-"&amp;mets24[[#This Row],[name]])</f>
        <v>BIOSYN-ignore-trnaser_c</v>
      </c>
      <c r="L87" s="149" t="str" cm="1">
        <f t="array" ref="L87">IF(IsElementOfSet_DIY(mets24[[#This Row],[category]],{"ignore","PROT"}),"",_xlfn.LET(_xlpm.mw,mets24[[#This Row],[MW for biomass normalization (g/mol)]],"MET-"&amp;mets24[[#This Row],[name]]&amp;" --&gt; "&amp;IF((mets24[[#This Row],[category]]="DNA")+(mets24[[#This Row],[category]]="RNA"),"MET-ppi_c + ","")&amp;ROUND(ABS(_xlpm.mw/1000),6)&amp;" BIO-"&amp;mets24[[#This Row],[name]]))</f>
        <v/>
      </c>
      <c r="M87" s="149" cm="1">
        <f t="array" ref="M8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6.6300100871989912E-2</v>
      </c>
      <c r="N87" s="149"/>
      <c r="O87" s="149"/>
      <c r="P87" s="149"/>
      <c r="Q87" s="149"/>
      <c r="R87" s="149"/>
      <c r="S87" s="149"/>
      <c r="T87" s="149"/>
      <c r="U87" s="149"/>
      <c r="V87" s="149"/>
    </row>
    <row r="88" spans="1:22" ht="16" x14ac:dyDescent="0.2">
      <c r="A88" s="144" t="s">
        <v>1287</v>
      </c>
      <c r="B88" t="str">
        <f>SUBSTITUTE(_xlfn.TEXTBEFORE(mets24[[#This Row],[pasted JSON metabolite keys and values from GSM biomass rxn]],":"),CHAR(34),"")</f>
        <v>trnathr_c</v>
      </c>
      <c r="C88" t="str">
        <f>_xlfn.TEXTBEFORE(mets24[[#This Row],[name]],"_",-1)</f>
        <v>trnathr</v>
      </c>
      <c r="D88" t="str">
        <f>_xlfn.XLOOKUP(mets24[[#This Row],[name w/o location]],metaboliteInfo[name w/o location],metaboliteInfo[suggested category],"")</f>
        <v>ignore</v>
      </c>
      <c r="E88" s="21">
        <f>_xlfn.XLOOKUP(mets24[[#This Row],[name w/o location]],metaboliteInfo[name w/o location],metaboliteInfo[MW for biomass normalization (g/mol)],0)</f>
        <v>0</v>
      </c>
      <c r="F88" s="21">
        <f>_xlfn.NUMBERVALUE(SUBSTITUTE(_xlfn.TEXTAFTER(mets24[[#This Row],[pasted JSON metabolite keys and values from GSM biomass rxn]],":"),",",""))</f>
        <v>6.9284999999999999E-2</v>
      </c>
      <c r="G88" s="21" cm="1">
        <f t="array" ref="G88">_xlfn.LET(_xlpm.id,mets24[[#This Row],[name w/o location]],IF(IsElementOfSet_DIY(_xlpm.id,{"atp","adp","h","pi","h2o"}),SIGN(mets24[[#This Row],[raw (GSM) coefficient]])*(ABS(mets24[[#This Row],[raw (GSM) coefficient]])-$J$2),mets24[[#This Row],[raw (GSM) coefficient]]))</f>
        <v>6.9284999999999999E-2</v>
      </c>
      <c r="H88" s="21">
        <f>mets24[[#This Row],[coeff. w/o GAM]]</f>
        <v>6.9284999999999999E-2</v>
      </c>
      <c r="I88" s="161">
        <f t="shared" si="2"/>
        <v>6.9285026122436866E-2</v>
      </c>
      <c r="J88" s="21" cm="1">
        <f t="array" ref="J88">_xlfn.LET(_xlpm.id,mets24[[#This Row],[name w/o location]],_xlpm.oldcoeff,mets24[[#This Row],[normalized coeffs]],_xlpm.gam,$J$2-$G$2,_xlfn.IFS(IFERROR(MATCH(_xlpm.id,{"atp","h2o"},0),0)&gt;0,_xlpm.oldcoeff-_xlpm.gam,IFERROR(MATCH(_xlpm.id,{"adp","h","pi"},0),0)&gt;0,_xlpm.oldcoeff+_xlpm.gam,TRUE,_xlpm.oldcoeff))</f>
        <v>6.9285026122436866E-2</v>
      </c>
      <c r="K88" t="str" cm="1">
        <f t="array" ref="K88">"BIOSYN-"&amp;_xlfn.IFS(IFERROR(MATCH(mets24[[#This Row],[category]],{0,"0",""},0),0)&gt;0,mets24[[#This Row],[name]],TRUE,mets24[[#This Row],[category]]&amp;"-"&amp;mets24[[#This Row],[name]])</f>
        <v>BIOSYN-ignore-trnathr_c</v>
      </c>
      <c r="L88" s="149" t="str" cm="1">
        <f t="array" ref="L88">IF(IsElementOfSet_DIY(mets24[[#This Row],[category]],{"ignore","PROT"}),"",_xlfn.LET(_xlpm.mw,mets24[[#This Row],[MW for biomass normalization (g/mol)]],"MET-"&amp;mets24[[#This Row],[name]]&amp;" --&gt; "&amp;IF((mets24[[#This Row],[category]]="DNA")+(mets24[[#This Row],[category]]="RNA"),"MET-ppi_c + ","")&amp;ROUND(ABS(_xlpm.mw/1000),6)&amp;" BIO-"&amp;mets24[[#This Row],[name]]))</f>
        <v/>
      </c>
      <c r="M88" s="149" cm="1">
        <f t="array" ref="M88">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6.9285105413511641E-2</v>
      </c>
      <c r="N88" s="149"/>
      <c r="O88" s="149"/>
      <c r="P88" s="149"/>
      <c r="Q88" s="149"/>
      <c r="R88" s="149"/>
      <c r="S88" s="149"/>
      <c r="T88" s="149"/>
      <c r="U88" s="149"/>
      <c r="V88" s="149"/>
    </row>
    <row r="89" spans="1:22" ht="16" x14ac:dyDescent="0.2">
      <c r="A89" s="144" t="s">
        <v>1288</v>
      </c>
      <c r="B89" t="str">
        <f>SUBSTITUTE(_xlfn.TEXTBEFORE(mets24[[#This Row],[pasted JSON metabolite keys and values from GSM biomass rxn]],":"),CHAR(34),"")</f>
        <v>trnatrp_c</v>
      </c>
      <c r="C89" t="str">
        <f>_xlfn.TEXTBEFORE(mets24[[#This Row],[name]],"_",-1)</f>
        <v>trnatrp</v>
      </c>
      <c r="D89" t="str">
        <f>_xlfn.XLOOKUP(mets24[[#This Row],[name w/o location]],metaboliteInfo[name w/o location],metaboliteInfo[suggested category],"")</f>
        <v>ignore</v>
      </c>
      <c r="E89" s="21">
        <f>_xlfn.XLOOKUP(mets24[[#This Row],[name w/o location]],metaboliteInfo[name w/o location],metaboliteInfo[MW for biomass normalization (g/mol)],0)</f>
        <v>0</v>
      </c>
      <c r="F89" s="21">
        <f>_xlfn.NUMBERVALUE(SUBSTITUTE(_xlfn.TEXTAFTER(mets24[[#This Row],[pasted JSON metabolite keys and values from GSM biomass rxn]],":"),",",""))</f>
        <v>8.0850000000000002E-3</v>
      </c>
      <c r="G89" s="21" cm="1">
        <f t="array" ref="G89">_xlfn.LET(_xlpm.id,mets24[[#This Row],[name w/o location]],IF(IsElementOfSet_DIY(_xlpm.id,{"atp","adp","h","pi","h2o"}),SIGN(mets24[[#This Row],[raw (GSM) coefficient]])*(ABS(mets24[[#This Row],[raw (GSM) coefficient]])-$J$2),mets24[[#This Row],[raw (GSM) coefficient]]))</f>
        <v>8.0850000000000002E-3</v>
      </c>
      <c r="H89" s="21">
        <f>mets24[[#This Row],[coeff. w/o GAM]]</f>
        <v>8.0850000000000002E-3</v>
      </c>
      <c r="I89" s="161">
        <f t="shared" si="2"/>
        <v>8.0850030482774345E-3</v>
      </c>
      <c r="J89" s="21" cm="1">
        <f t="array" ref="J89">_xlfn.LET(_xlpm.id,mets24[[#This Row],[name w/o location]],_xlpm.oldcoeff,mets24[[#This Row],[normalized coeffs]],_xlpm.gam,$J$2-$G$2,_xlfn.IFS(IFERROR(MATCH(_xlpm.id,{"atp","h2o"},0),0)&gt;0,_xlpm.oldcoeff-_xlpm.gam,IFERROR(MATCH(_xlpm.id,{"adp","h","pi"},0),0)&gt;0,_xlpm.oldcoeff+_xlpm.gam,TRUE,_xlpm.oldcoeff))</f>
        <v>8.0850030482774345E-3</v>
      </c>
      <c r="K89" t="str" cm="1">
        <f t="array" ref="K89">"BIOSYN-"&amp;_xlfn.IFS(IFERROR(MATCH(mets24[[#This Row],[category]],{0,"0",""},0),0)&gt;0,mets24[[#This Row],[name]],TRUE,mets24[[#This Row],[category]]&amp;"-"&amp;mets24[[#This Row],[name]])</f>
        <v>BIOSYN-ignore-trnatrp_c</v>
      </c>
      <c r="L89" s="149" t="str" cm="1">
        <f t="array" ref="L89">IF(IsElementOfSet_DIY(mets24[[#This Row],[category]],{"ignore","PROT"}),"",_xlfn.LET(_xlpm.mw,mets24[[#This Row],[MW for biomass normalization (g/mol)]],"MET-"&amp;mets24[[#This Row],[name]]&amp;" --&gt; "&amp;IF((mets24[[#This Row],[category]]="DNA")+(mets24[[#This Row],[category]]="RNA"),"MET-ppi_c + ","")&amp;ROUND(ABS(_xlpm.mw/1000),6)&amp;" BIO-"&amp;mets24[[#This Row],[name]]))</f>
        <v/>
      </c>
      <c r="M89" s="149" cm="1">
        <f t="array" ref="M89">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8.0850123009055582E-3</v>
      </c>
      <c r="N89" s="149"/>
      <c r="O89" s="149"/>
      <c r="P89" s="149"/>
      <c r="Q89" s="149"/>
      <c r="R89" s="149"/>
      <c r="S89" s="149"/>
      <c r="T89" s="149"/>
      <c r="U89" s="149"/>
      <c r="V89" s="149"/>
    </row>
    <row r="90" spans="1:22" ht="16" x14ac:dyDescent="0.2">
      <c r="A90" s="144" t="s">
        <v>1289</v>
      </c>
      <c r="B90" t="str">
        <f>SUBSTITUTE(_xlfn.TEXTBEFORE(mets24[[#This Row],[pasted JSON metabolite keys and values from GSM biomass rxn]],":"),CHAR(34),"")</f>
        <v>trnatyr_c</v>
      </c>
      <c r="C90" t="str">
        <f>_xlfn.TEXTBEFORE(mets24[[#This Row],[name]],"_",-1)</f>
        <v>trnatyr</v>
      </c>
      <c r="D90" t="str">
        <f>_xlfn.XLOOKUP(mets24[[#This Row],[name w/o location]],metaboliteInfo[name w/o location],metaboliteInfo[suggested category],"")</f>
        <v>ignore</v>
      </c>
      <c r="E90" s="21">
        <f>_xlfn.XLOOKUP(mets24[[#This Row],[name w/o location]],metaboliteInfo[name w/o location],metaboliteInfo[MW for biomass normalization (g/mol)],0)</f>
        <v>0</v>
      </c>
      <c r="F90" s="21">
        <f>_xlfn.NUMBERVALUE(SUBSTITUTE(_xlfn.TEXTAFTER(mets24[[#This Row],[pasted JSON metabolite keys and values from GSM biomass rxn]],":"),",",""))</f>
        <v>2.4379999999999999E-2</v>
      </c>
      <c r="G90" s="21" cm="1">
        <f t="array" ref="G90">_xlfn.LET(_xlpm.id,mets24[[#This Row],[name w/o location]],IF(IsElementOfSet_DIY(_xlpm.id,{"atp","adp","h","pi","h2o"}),SIGN(mets24[[#This Row],[raw (GSM) coefficient]])*(ABS(mets24[[#This Row],[raw (GSM) coefficient]])-$J$2),mets24[[#This Row],[raw (GSM) coefficient]]))</f>
        <v>2.4379999999999999E-2</v>
      </c>
      <c r="H90" s="21">
        <f>mets24[[#This Row],[coeff. w/o GAM]]</f>
        <v>2.4379999999999999E-2</v>
      </c>
      <c r="I90" s="161">
        <f t="shared" si="2"/>
        <v>2.4380009191960896E-2</v>
      </c>
      <c r="J90" s="21" cm="1">
        <f t="array" ref="J90">_xlfn.LET(_xlpm.id,mets24[[#This Row],[name w/o location]],_xlpm.oldcoeff,mets24[[#This Row],[normalized coeffs]],_xlpm.gam,$J$2-$G$2,_xlfn.IFS(IFERROR(MATCH(_xlpm.id,{"atp","h2o"},0),0)&gt;0,_xlpm.oldcoeff-_xlpm.gam,IFERROR(MATCH(_xlpm.id,{"adp","h","pi"},0),0)&gt;0,_xlpm.oldcoeff+_xlpm.gam,TRUE,_xlpm.oldcoeff))</f>
        <v>2.4380009191960896E-2</v>
      </c>
      <c r="K90" t="str" cm="1">
        <f t="array" ref="K90">"BIOSYN-"&amp;_xlfn.IFS(IFERROR(MATCH(mets24[[#This Row],[category]],{0,"0",""},0),0)&gt;0,mets24[[#This Row],[name]],TRUE,mets24[[#This Row],[category]]&amp;"-"&amp;mets24[[#This Row],[name]])</f>
        <v>BIOSYN-ignore-trnatyr_c</v>
      </c>
      <c r="L90" s="149" t="str" cm="1">
        <f t="array" ref="L90">IF(IsElementOfSet_DIY(mets24[[#This Row],[category]],{"ignore","PROT"}),"",_xlfn.LET(_xlpm.mw,mets24[[#This Row],[MW for biomass normalization (g/mol)]],"MET-"&amp;mets24[[#This Row],[name]]&amp;" --&gt; "&amp;IF((mets24[[#This Row],[category]]="DNA")+(mets24[[#This Row],[category]]="RNA"),"MET-ppi_c + ","")&amp;ROUND(ABS(_xlpm.mw/1000),6)&amp;" BIO-"&amp;mets24[[#This Row],[name]]))</f>
        <v/>
      </c>
      <c r="M90" s="149" cm="1">
        <f t="array" ref="M90">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2.4380037092897648E-2</v>
      </c>
      <c r="N90" s="149"/>
      <c r="O90" s="149"/>
      <c r="P90" s="149"/>
      <c r="Q90" s="149"/>
      <c r="R90" s="149"/>
      <c r="S90" s="149"/>
      <c r="T90" s="149"/>
      <c r="U90" s="149"/>
      <c r="V90" s="149"/>
    </row>
    <row r="91" spans="1:22" ht="16" x14ac:dyDescent="0.2">
      <c r="A91" s="144" t="s">
        <v>1290</v>
      </c>
      <c r="B91" t="str">
        <f>SUBSTITUTE(_xlfn.TEXTBEFORE(mets24[[#This Row],[pasted JSON metabolite keys and values from GSM biomass rxn]],":"),CHAR(34),"")</f>
        <v>trnaval_c</v>
      </c>
      <c r="C91" t="str">
        <f>_xlfn.TEXTBEFORE(mets24[[#This Row],[name]],"_",-1)</f>
        <v>trnaval</v>
      </c>
      <c r="D91" t="str">
        <f>_xlfn.XLOOKUP(mets24[[#This Row],[name w/o location]],metaboliteInfo[name w/o location],metaboliteInfo[suggested category],"")</f>
        <v>ignore</v>
      </c>
      <c r="E91" s="21">
        <f>_xlfn.XLOOKUP(mets24[[#This Row],[name w/o location]],metaboliteInfo[name w/o location],metaboliteInfo[MW for biomass normalization (g/mol)],0)</f>
        <v>0</v>
      </c>
      <c r="F91" s="21">
        <f>_xlfn.NUMBERVALUE(SUBSTITUTE(_xlfn.TEXTAFTER(mets24[[#This Row],[pasted JSON metabolite keys and values from GSM biomass rxn]],":"),",",""))</f>
        <v>9.1176999999999994E-2</v>
      </c>
      <c r="G91" s="21" cm="1">
        <f t="array" ref="G91">_xlfn.LET(_xlpm.id,mets24[[#This Row],[name w/o location]],IF(IsElementOfSet_DIY(_xlpm.id,{"atp","adp","h","pi","h2o"}),SIGN(mets24[[#This Row],[raw (GSM) coefficient]])*(ABS(mets24[[#This Row],[raw (GSM) coefficient]])-$J$2),mets24[[#This Row],[raw (GSM) coefficient]]))</f>
        <v>9.1176999999999994E-2</v>
      </c>
      <c r="H91" s="21">
        <f>mets24[[#This Row],[coeff. w/o GAM]]</f>
        <v>9.1176999999999994E-2</v>
      </c>
      <c r="I91" s="161">
        <f t="shared" si="2"/>
        <v>9.1177034376350219E-2</v>
      </c>
      <c r="J91" s="21" cm="1">
        <f t="array" ref="J91">_xlfn.LET(_xlpm.id,mets24[[#This Row],[name w/o location]],_xlpm.oldcoeff,mets24[[#This Row],[normalized coeffs]],_xlpm.gam,$J$2-$G$2,_xlfn.IFS(IFERROR(MATCH(_xlpm.id,{"atp","h2o"},0),0)&gt;0,_xlpm.oldcoeff-_xlpm.gam,IFERROR(MATCH(_xlpm.id,{"adp","h","pi"},0),0)&gt;0,_xlpm.oldcoeff+_xlpm.gam,TRUE,_xlpm.oldcoeff))</f>
        <v>9.1177034376350219E-2</v>
      </c>
      <c r="K91" t="str" cm="1">
        <f t="array" ref="K91">"BIOSYN-"&amp;_xlfn.IFS(IFERROR(MATCH(mets24[[#This Row],[category]],{0,"0",""},0),0)&gt;0,mets24[[#This Row],[name]],TRUE,mets24[[#This Row],[category]]&amp;"-"&amp;mets24[[#This Row],[name]])</f>
        <v>BIOSYN-ignore-trnaval_c</v>
      </c>
      <c r="L91" s="149" t="str" cm="1">
        <f t="array" ref="L91">IF(IsElementOfSet_DIY(mets24[[#This Row],[category]],{"ignore","PROT"}),"",_xlfn.LET(_xlpm.mw,mets24[[#This Row],[MW for biomass normalization (g/mol)]],"MET-"&amp;mets24[[#This Row],[name]]&amp;" --&gt; "&amp;IF((mets24[[#This Row],[category]]="DNA")+(mets24[[#This Row],[category]]="RNA"),"MET-ppi_c + ","")&amp;ROUND(ABS(_xlpm.mw/1000),6)&amp;" BIO-"&amp;mets24[[#This Row],[name]]))</f>
        <v/>
      </c>
      <c r="M91" s="149" cm="1">
        <f t="array" ref="M91">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9.1177138721047116E-2</v>
      </c>
      <c r="N91" s="149"/>
      <c r="O91" s="149"/>
      <c r="P91" s="149"/>
      <c r="Q91" s="149"/>
      <c r="R91" s="149"/>
      <c r="S91" s="149"/>
      <c r="T91" s="149"/>
      <c r="U91" s="149"/>
      <c r="V91" s="149"/>
    </row>
    <row r="92" spans="1:22" ht="16" x14ac:dyDescent="0.2">
      <c r="A92" s="144" t="s">
        <v>1291</v>
      </c>
      <c r="B92" t="str">
        <f>SUBSTITUTE(_xlfn.TEXTBEFORE(mets24[[#This Row],[pasted JSON metabolite keys and values from GSM biomass rxn]],":"),CHAR(34),"")</f>
        <v>trptrna_c</v>
      </c>
      <c r="C92" t="str">
        <f>_xlfn.TEXTBEFORE(mets24[[#This Row],[name]],"_",-1)</f>
        <v>trptrna</v>
      </c>
      <c r="D92" t="str">
        <f>_xlfn.XLOOKUP(mets24[[#This Row],[name w/o location]],metaboliteInfo[name w/o location],metaboliteInfo[suggested category],"")</f>
        <v>PROT</v>
      </c>
      <c r="E92" s="21">
        <f>_xlfn.XLOOKUP(mets24[[#This Row],[name w/o location]],metaboliteInfo[name w/o location],metaboliteInfo[MW for biomass normalization (g/mol)],0)</f>
        <v>187.21784</v>
      </c>
      <c r="F92" s="21">
        <f>_xlfn.NUMBERVALUE(SUBSTITUTE(_xlfn.TEXTAFTER(mets24[[#This Row],[pasted JSON metabolite keys and values from GSM biomass rxn]],":"),",",""))</f>
        <v>-8.0850000000000002E-3</v>
      </c>
      <c r="G92" s="21" cm="1">
        <f t="array" ref="G92">_xlfn.LET(_xlpm.id,mets24[[#This Row],[name w/o location]],IF(IsElementOfSet_DIY(_xlpm.id,{"atp","adp","h","pi","h2o"}),SIGN(mets24[[#This Row],[raw (GSM) coefficient]])*(ABS(mets24[[#This Row],[raw (GSM) coefficient]])-$J$2),mets24[[#This Row],[raw (GSM) coefficient]]))</f>
        <v>-8.0850000000000002E-3</v>
      </c>
      <c r="H92" s="21">
        <f>mets24[[#This Row],[coeff. w/o GAM]]</f>
        <v>-8.0850000000000002E-3</v>
      </c>
      <c r="I92" s="161">
        <f t="shared" si="2"/>
        <v>-8.0850030482774345E-3</v>
      </c>
      <c r="J92" s="21" cm="1">
        <f t="array" ref="J92">_xlfn.LET(_xlpm.id,mets24[[#This Row],[name w/o location]],_xlpm.oldcoeff,mets24[[#This Row],[normalized coeffs]],_xlpm.gam,$J$2-$G$2,_xlfn.IFS(IFERROR(MATCH(_xlpm.id,{"atp","h2o"},0),0)&gt;0,_xlpm.oldcoeff-_xlpm.gam,IFERROR(MATCH(_xlpm.id,{"adp","h","pi"},0),0)&gt;0,_xlpm.oldcoeff+_xlpm.gam,TRUE,_xlpm.oldcoeff))</f>
        <v>-8.0850030482774345E-3</v>
      </c>
      <c r="K92" t="str" cm="1">
        <f t="array" ref="K92">"BIOSYN-"&amp;_xlfn.IFS(IFERROR(MATCH(mets24[[#This Row],[category]],{0,"0",""},0),0)&gt;0,mets24[[#This Row],[name]],TRUE,mets24[[#This Row],[category]]&amp;"-"&amp;mets24[[#This Row],[name]])</f>
        <v>BIOSYN-PROT-trptrna_c</v>
      </c>
      <c r="L92" s="149" t="str" cm="1">
        <f t="array" ref="L92">IF(IsElementOfSet_DIY(mets24[[#This Row],[category]],{"ignore","PROT"}),"",_xlfn.LET(_xlpm.mw,mets24[[#This Row],[MW for biomass normalization (g/mol)]],"MET-"&amp;mets24[[#This Row],[name]]&amp;" --&gt; "&amp;IF((mets24[[#This Row],[category]]="DNA")+(mets24[[#This Row],[category]]="RNA"),"MET-ppi_c + ","")&amp;ROUND(ABS(_xlpm.mw/1000),6)&amp;" BIO-"&amp;mets24[[#This Row],[name]]))</f>
        <v/>
      </c>
      <c r="M92" s="149" cm="1">
        <f t="array" ref="M92">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-8.0850123009055582E-3</v>
      </c>
      <c r="N92" s="149"/>
      <c r="O92" s="149"/>
      <c r="P92" s="149"/>
      <c r="Q92" s="149"/>
      <c r="R92" s="149"/>
      <c r="S92" s="149"/>
      <c r="T92" s="149"/>
      <c r="U92" s="149"/>
      <c r="V92" s="149"/>
    </row>
    <row r="93" spans="1:22" ht="16" x14ac:dyDescent="0.2">
      <c r="A93" s="144" t="s">
        <v>1292</v>
      </c>
      <c r="B93" t="str">
        <f>SUBSTITUTE(_xlfn.TEXTBEFORE(mets24[[#This Row],[pasted JSON metabolite keys and values from GSM biomass rxn]],":"),CHAR(34),"")</f>
        <v>ttcosa_c</v>
      </c>
      <c r="C93" t="str">
        <f>_xlfn.TEXTBEFORE(mets24[[#This Row],[name]],"_",-1)</f>
        <v>ttcosa</v>
      </c>
      <c r="D93" t="str">
        <f>_xlfn.XLOOKUP(mets24[[#This Row],[name w/o location]],metaboliteInfo[name w/o location],metaboliteInfo[suggested category],"")</f>
        <v>LIPID</v>
      </c>
      <c r="E93" s="21">
        <f>_xlfn.XLOOKUP(mets24[[#This Row],[name w/o location]],metaboliteInfo[name w/o location],metaboliteInfo[MW for biomass normalization (g/mol)],0)</f>
        <v>367.62797999999998</v>
      </c>
      <c r="F93" s="21">
        <f>_xlfn.NUMBERVALUE(SUBSTITUTE(_xlfn.TEXTAFTER(mets24[[#This Row],[pasted JSON metabolite keys and values from GSM biomass rxn]],":"),",",""))</f>
        <v>-8.0699999999999999E-4</v>
      </c>
      <c r="G93" s="21" cm="1">
        <f t="array" ref="G93">_xlfn.LET(_xlpm.id,mets24[[#This Row],[name w/o location]],IF(IsElementOfSet_DIY(_xlpm.id,{"atp","adp","h","pi","h2o"}),SIGN(mets24[[#This Row],[raw (GSM) coefficient]])*(ABS(mets24[[#This Row],[raw (GSM) coefficient]])-$J$2),mets24[[#This Row],[raw (GSM) coefficient]]))</f>
        <v>-8.0699999999999999E-4</v>
      </c>
      <c r="H93" s="21">
        <f>mets24[[#This Row],[coeff. w/o GAM]]</f>
        <v>-8.0699999999999999E-4</v>
      </c>
      <c r="I93" s="161">
        <f t="shared" si="2"/>
        <v>-8.0700030426220028E-4</v>
      </c>
      <c r="J93" s="21" cm="1">
        <f t="array" ref="J93">_xlfn.LET(_xlpm.id,mets24[[#This Row],[name w/o location]],_xlpm.oldcoeff,mets24[[#This Row],[normalized coeffs]],_xlpm.gam,$J$2-$G$2,_xlfn.IFS(IFERROR(MATCH(_xlpm.id,{"atp","h2o"},0),0)&gt;0,_xlpm.oldcoeff-_xlpm.gam,IFERROR(MATCH(_xlpm.id,{"adp","h","pi"},0),0)&gt;0,_xlpm.oldcoeff+_xlpm.gam,TRUE,_xlpm.oldcoeff))</f>
        <v>-8.0700030426220028E-4</v>
      </c>
      <c r="K93" t="str" cm="1">
        <f t="array" ref="K93">"BIOSYN-"&amp;_xlfn.IFS(IFERROR(MATCH(mets24[[#This Row],[category]],{0,"0",""},0),0)&gt;0,mets24[[#This Row],[name]],TRUE,mets24[[#This Row],[category]]&amp;"-"&amp;mets24[[#This Row],[name]])</f>
        <v>BIOSYN-LIPID-ttcosa_c</v>
      </c>
      <c r="L93" s="149" t="str" cm="1">
        <f t="array" ref="L93">IF(IsElementOfSet_DIY(mets24[[#This Row],[category]],{"ignore","PROT"}),"",_xlfn.LET(_xlpm.mw,mets24[[#This Row],[MW for biomass normalization (g/mol)]],"MET-"&amp;mets24[[#This Row],[name]]&amp;" --&gt; "&amp;IF((mets24[[#This Row],[category]]="DNA")+(mets24[[#This Row],[category]]="RNA"),"MET-ppi_c + ","")&amp;ROUND(ABS(_xlpm.mw/1000),6)&amp;" BIO-"&amp;mets24[[#This Row],[name]]))</f>
        <v>MET-ttcosa_c --&gt; 0.367628 BIO-ttcosa_c</v>
      </c>
      <c r="M93" s="149" cm="1">
        <f t="array" ref="M93">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-8.0699887075635999E-4</v>
      </c>
      <c r="N93" s="149"/>
      <c r="O93" s="149"/>
      <c r="P93" s="149"/>
      <c r="Q93" s="149"/>
      <c r="R93" s="149"/>
      <c r="S93" s="149"/>
      <c r="T93" s="149"/>
      <c r="U93" s="149"/>
      <c r="V93" s="149"/>
    </row>
    <row r="94" spans="1:22" ht="16" x14ac:dyDescent="0.2">
      <c r="A94" s="144" t="s">
        <v>1293</v>
      </c>
      <c r="B94" t="str">
        <f>SUBSTITUTE(_xlfn.TEXTBEFORE(mets24[[#This Row],[pasted JSON metabolite keys and values from GSM biomass rxn]],":"),CHAR(34),"")</f>
        <v>tyrtrna_c</v>
      </c>
      <c r="C94" t="str">
        <f>_xlfn.TEXTBEFORE(mets24[[#This Row],[name]],"_",-1)</f>
        <v>tyrtrna</v>
      </c>
      <c r="D94" t="str">
        <f>_xlfn.XLOOKUP(mets24[[#This Row],[name w/o location]],metaboliteInfo[name w/o location],metaboliteInfo[suggested category],"")</f>
        <v>PROT</v>
      </c>
      <c r="E94" s="21">
        <f>_xlfn.XLOOKUP(mets24[[#This Row],[name w/o location]],metaboliteInfo[name w/o location],metaboliteInfo[MW for biomass normalization (g/mol)],0)</f>
        <v>164.18119999999999</v>
      </c>
      <c r="F94" s="21">
        <f>_xlfn.NUMBERVALUE(SUBSTITUTE(_xlfn.TEXTAFTER(mets24[[#This Row],[pasted JSON metabolite keys and values from GSM biomass rxn]],":"),",",""))</f>
        <v>-2.4379999999999999E-2</v>
      </c>
      <c r="G94" s="21" cm="1">
        <f t="array" ref="G94">_xlfn.LET(_xlpm.id,mets24[[#This Row],[name w/o location]],IF(IsElementOfSet_DIY(_xlpm.id,{"atp","adp","h","pi","h2o"}),SIGN(mets24[[#This Row],[raw (GSM) coefficient]])*(ABS(mets24[[#This Row],[raw (GSM) coefficient]])-$J$2),mets24[[#This Row],[raw (GSM) coefficient]]))</f>
        <v>-2.4379999999999999E-2</v>
      </c>
      <c r="H94" s="21">
        <f>mets24[[#This Row],[coeff. w/o GAM]]</f>
        <v>-2.4379999999999999E-2</v>
      </c>
      <c r="I94" s="161">
        <f t="shared" si="2"/>
        <v>-2.4380009191960896E-2</v>
      </c>
      <c r="J94" s="21" cm="1">
        <f t="array" ref="J94">_xlfn.LET(_xlpm.id,mets24[[#This Row],[name w/o location]],_xlpm.oldcoeff,mets24[[#This Row],[normalized coeffs]],_xlpm.gam,$J$2-$G$2,_xlfn.IFS(IFERROR(MATCH(_xlpm.id,{"atp","h2o"},0),0)&gt;0,_xlpm.oldcoeff-_xlpm.gam,IFERROR(MATCH(_xlpm.id,{"adp","h","pi"},0),0)&gt;0,_xlpm.oldcoeff+_xlpm.gam,TRUE,_xlpm.oldcoeff))</f>
        <v>-2.4380009191960896E-2</v>
      </c>
      <c r="K94" t="str" cm="1">
        <f t="array" ref="K94">"BIOSYN-"&amp;_xlfn.IFS(IFERROR(MATCH(mets24[[#This Row],[category]],{0,"0",""},0),0)&gt;0,mets24[[#This Row],[name]],TRUE,mets24[[#This Row],[category]]&amp;"-"&amp;mets24[[#This Row],[name]])</f>
        <v>BIOSYN-PROT-tyrtrna_c</v>
      </c>
      <c r="L94" s="149" t="str" cm="1">
        <f t="array" ref="L94">IF(IsElementOfSet_DIY(mets24[[#This Row],[category]],{"ignore","PROT"}),"",_xlfn.LET(_xlpm.mw,mets24[[#This Row],[MW for biomass normalization (g/mol)]],"MET-"&amp;mets24[[#This Row],[name]]&amp;" --&gt; "&amp;IF((mets24[[#This Row],[category]]="DNA")+(mets24[[#This Row],[category]]="RNA"),"MET-ppi_c + ","")&amp;ROUND(ABS(_xlpm.mw/1000),6)&amp;" BIO-"&amp;mets24[[#This Row],[name]]))</f>
        <v/>
      </c>
      <c r="M94" s="149" cm="1">
        <f t="array" ref="M94">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-2.4380037092897648E-2</v>
      </c>
      <c r="N94" s="149"/>
      <c r="O94" s="149"/>
      <c r="P94" s="149"/>
      <c r="Q94" s="149"/>
      <c r="R94" s="149"/>
      <c r="S94" s="149"/>
      <c r="T94" s="149"/>
      <c r="U94" s="149"/>
      <c r="V94" s="149"/>
    </row>
    <row r="95" spans="1:22" ht="16" x14ac:dyDescent="0.2">
      <c r="A95" s="144" t="s">
        <v>1294</v>
      </c>
      <c r="B95" t="str">
        <f>SUBSTITUTE(_xlfn.TEXTBEFORE(mets24[[#This Row],[pasted JSON metabolite keys and values from GSM biomass rxn]],":"),CHAR(34),"")</f>
        <v>utp_c</v>
      </c>
      <c r="C95" t="str">
        <f>_xlfn.TEXTBEFORE(mets24[[#This Row],[name]],"_",-1)</f>
        <v>utp</v>
      </c>
      <c r="D95" t="str">
        <f>_xlfn.XLOOKUP(mets24[[#This Row],[name w/o location]],metaboliteInfo[name w/o location],metaboliteInfo[suggested category],"")</f>
        <v>RNA</v>
      </c>
      <c r="E95" s="21">
        <f>_xlfn.XLOOKUP(mets24[[#This Row],[name w/o location]],metaboliteInfo[name w/o location],metaboliteInfo[MW for biomass normalization (g/mol)],0)</f>
        <v>305.15806099999998</v>
      </c>
      <c r="F95" s="21">
        <f>_xlfn.NUMBERVALUE(SUBSTITUTE(_xlfn.TEXTAFTER(mets24[[#This Row],[pasted JSON metabolite keys and values from GSM biomass rxn]],":"),",",""))</f>
        <v>-1.3605000000000001E-2</v>
      </c>
      <c r="G95" s="21" cm="1">
        <f t="array" ref="G95">_xlfn.LET(_xlpm.id,mets24[[#This Row],[name w/o location]],IF(IsElementOfSet_DIY(_xlpm.id,{"atp","adp","h","pi","h2o"}),SIGN(mets24[[#This Row],[raw (GSM) coefficient]])*(ABS(mets24[[#This Row],[raw (GSM) coefficient]])-$J$2),mets24[[#This Row],[raw (GSM) coefficient]]))</f>
        <v>-1.3605000000000001E-2</v>
      </c>
      <c r="H95" s="21">
        <f>mets24[[#This Row],[coeff. w/o GAM]]</f>
        <v>-1.3605000000000001E-2</v>
      </c>
      <c r="I95" s="161">
        <f t="shared" si="2"/>
        <v>-1.3605005129476128E-2</v>
      </c>
      <c r="J95" s="21" cm="1">
        <f t="array" ref="J95">_xlfn.LET(_xlpm.id,mets24[[#This Row],[name w/o location]],_xlpm.oldcoeff,mets24[[#This Row],[normalized coeffs]],_xlpm.gam,$J$2-$G$2,_xlfn.IFS(IFERROR(MATCH(_xlpm.id,{"atp","h2o"},0),0)&gt;0,_xlpm.oldcoeff-_xlpm.gam,IFERROR(MATCH(_xlpm.id,{"adp","h","pi"},0),0)&gt;0,_xlpm.oldcoeff+_xlpm.gam,TRUE,_xlpm.oldcoeff))</f>
        <v>-1.3605005129476128E-2</v>
      </c>
      <c r="K95" t="str" cm="1">
        <f t="array" ref="K95">"BIOSYN-"&amp;_xlfn.IFS(IFERROR(MATCH(mets24[[#This Row],[category]],{0,"0",""},0),0)&gt;0,mets24[[#This Row],[name]],TRUE,mets24[[#This Row],[category]]&amp;"-"&amp;mets24[[#This Row],[name]])</f>
        <v>BIOSYN-RNA-utp_c</v>
      </c>
      <c r="L95" s="149" t="str" cm="1">
        <f t="array" ref="L95">IF(IsElementOfSet_DIY(mets24[[#This Row],[category]],{"ignore","PROT"}),"",_xlfn.LET(_xlpm.mw,mets24[[#This Row],[MW for biomass normalization (g/mol)]],"MET-"&amp;mets24[[#This Row],[name]]&amp;" --&gt; "&amp;IF((mets24[[#This Row],[category]]="DNA")+(mets24[[#This Row],[category]]="RNA"),"MET-ppi_c + ","")&amp;ROUND(ABS(_xlpm.mw/1000),6)&amp;" BIO-"&amp;mets24[[#This Row],[name]]))</f>
        <v>MET-utp_c --&gt; MET-ppi_c + 0.305158 BIO-utp_c</v>
      </c>
      <c r="M95" s="149" cm="1">
        <f t="array" ref="M95">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-1.3604872735244919E-2</v>
      </c>
      <c r="N95" s="149"/>
      <c r="O95" s="149"/>
      <c r="P95" s="149"/>
      <c r="Q95" s="149"/>
      <c r="R95" s="149"/>
      <c r="S95" s="149"/>
      <c r="T95" s="149"/>
      <c r="U95" s="149"/>
      <c r="V95" s="149"/>
    </row>
    <row r="96" spans="1:22" ht="16" x14ac:dyDescent="0.2">
      <c r="A96" s="144" t="s">
        <v>1295</v>
      </c>
      <c r="B96" t="str">
        <f>SUBSTITUTE(_xlfn.TEXTBEFORE(mets24[[#This Row],[pasted JSON metabolite keys and values from GSM biomass rxn]],":"),CHAR(34),"")</f>
        <v>valtrna_c</v>
      </c>
      <c r="C96" t="str">
        <f>_xlfn.TEXTBEFORE(mets24[[#This Row],[name]],"_",-1)</f>
        <v>valtrna</v>
      </c>
      <c r="D96" t="str">
        <f>_xlfn.XLOOKUP(mets24[[#This Row],[name w/o location]],metaboliteInfo[name w/o location],metaboliteInfo[suggested category],"")</f>
        <v>PROT</v>
      </c>
      <c r="E96" s="21">
        <f>_xlfn.XLOOKUP(mets24[[#This Row],[name w/o location]],metaboliteInfo[name w/o location],metaboliteInfo[MW for biomass normalization (g/mol)],0)</f>
        <v>100.139</v>
      </c>
      <c r="F96" s="21">
        <f>_xlfn.NUMBERVALUE(SUBSTITUTE(_xlfn.TEXTAFTER(mets24[[#This Row],[pasted JSON metabolite keys and values from GSM biomass rxn]],":"),",",""))</f>
        <v>-9.1176999999999994E-2</v>
      </c>
      <c r="G96" s="21" cm="1">
        <f t="array" ref="G96">_xlfn.LET(_xlpm.id,mets24[[#This Row],[name w/o location]],IF(IsElementOfSet_DIY(_xlpm.id,{"atp","adp","h","pi","h2o"}),SIGN(mets24[[#This Row],[raw (GSM) coefficient]])*(ABS(mets24[[#This Row],[raw (GSM) coefficient]])-$J$2),mets24[[#This Row],[raw (GSM) coefficient]]))</f>
        <v>-9.1176999999999994E-2</v>
      </c>
      <c r="H96" s="21">
        <f>mets24[[#This Row],[coeff. w/o GAM]]</f>
        <v>-9.1176999999999994E-2</v>
      </c>
      <c r="I96" s="161">
        <f t="shared" si="2"/>
        <v>-9.1177034376350219E-2</v>
      </c>
      <c r="J96" s="21" cm="1">
        <f t="array" ref="J96">_xlfn.LET(_xlpm.id,mets24[[#This Row],[name w/o location]],_xlpm.oldcoeff,mets24[[#This Row],[normalized coeffs]],_xlpm.gam,$J$2-$G$2,_xlfn.IFS(IFERROR(MATCH(_xlpm.id,{"atp","h2o"},0),0)&gt;0,_xlpm.oldcoeff-_xlpm.gam,IFERROR(MATCH(_xlpm.id,{"adp","h","pi"},0),0)&gt;0,_xlpm.oldcoeff+_xlpm.gam,TRUE,_xlpm.oldcoeff))</f>
        <v>-9.1177034376350219E-2</v>
      </c>
      <c r="K96" t="str" cm="1">
        <f t="array" ref="K96">"BIOSYN-"&amp;_xlfn.IFS(IFERROR(MATCH(mets24[[#This Row],[category]],{0,"0",""},0),0)&gt;0,mets24[[#This Row],[name]],TRUE,mets24[[#This Row],[category]]&amp;"-"&amp;mets24[[#This Row],[name]])</f>
        <v>BIOSYN-PROT-valtrna_c</v>
      </c>
      <c r="L96" s="149" t="str" cm="1">
        <f t="array" ref="L96">IF(IsElementOfSet_DIY(mets24[[#This Row],[category]],{"ignore","PROT"}),"",_xlfn.LET(_xlpm.mw,mets24[[#This Row],[MW for biomass normalization (g/mol)]],"MET-"&amp;mets24[[#This Row],[name]]&amp;" --&gt; "&amp;IF((mets24[[#This Row],[category]]="DNA")+(mets24[[#This Row],[category]]="RNA"),"MET-ppi_c + ","")&amp;ROUND(ABS(_xlpm.mw/1000),6)&amp;" BIO-"&amp;mets24[[#This Row],[name]]))</f>
        <v/>
      </c>
      <c r="M96" s="149" cm="1">
        <f t="array" ref="M96">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-9.1177138721047116E-2</v>
      </c>
      <c r="N96" s="149"/>
      <c r="O96" s="149"/>
      <c r="P96" s="149"/>
      <c r="Q96" s="149"/>
      <c r="R96" s="149"/>
      <c r="S96" s="149"/>
      <c r="T96" s="149"/>
      <c r="U96" s="149"/>
      <c r="V96" s="149"/>
    </row>
    <row r="97" spans="1:22" ht="16" x14ac:dyDescent="0.2">
      <c r="A97" s="144" t="s">
        <v>1296</v>
      </c>
      <c r="B97" t="str">
        <f>SUBSTITUTE(_xlfn.TEXTBEFORE(mets24[[#This Row],[pasted JSON metabolite keys and values from GSM biomass rxn]],":"),CHAR(34),"")</f>
        <v>zn2_c</v>
      </c>
      <c r="C97" t="str">
        <f>_xlfn.TEXTBEFORE(mets24[[#This Row],[name]],"_",-1)</f>
        <v>zn2</v>
      </c>
      <c r="D97" t="str">
        <f>_xlfn.XLOOKUP(mets24[[#This Row],[name w/o location]],metaboliteInfo[name w/o location],metaboliteInfo[suggested category],"")</f>
        <v>METAL</v>
      </c>
      <c r="E97" s="21">
        <f>_xlfn.XLOOKUP(mets24[[#This Row],[name w/o location]],metaboliteInfo[name w/o location],metaboliteInfo[MW for biomass normalization (g/mol)],0)</f>
        <v>65.38</v>
      </c>
      <c r="F97" s="21">
        <f>_xlfn.NUMBERVALUE(SUBSTITUTE(_xlfn.TEXTAFTER(mets24[[#This Row],[pasted JSON metabolite keys and values from GSM biomass rxn]],":"),",",""))</f>
        <v>-1.5889999999999999E-3</v>
      </c>
      <c r="G97" s="21" cm="1">
        <f t="array" ref="G97">_xlfn.LET(_xlpm.id,mets24[[#This Row],[name w/o location]],IF(IsElementOfSet_DIY(_xlpm.id,{"atp","adp","h","pi","h2o"}),SIGN(mets24[[#This Row],[raw (GSM) coefficient]])*(ABS(mets24[[#This Row],[raw (GSM) coefficient]])-$J$2),mets24[[#This Row],[raw (GSM) coefficient]]))</f>
        <v>-1.5889999999999999E-3</v>
      </c>
      <c r="H97" s="21">
        <f>mets24[[#This Row],[coeff. w/o GAM]]</f>
        <v>-1.5889999999999999E-3</v>
      </c>
      <c r="I97" s="161">
        <f t="shared" si="2"/>
        <v>-1.5890005990986818E-3</v>
      </c>
      <c r="J97" s="21" cm="1">
        <f t="array" ref="J97">_xlfn.LET(_xlpm.id,mets24[[#This Row],[name w/o location]],_xlpm.oldcoeff,mets24[[#This Row],[normalized coeffs]],_xlpm.gam,$J$2-$G$2,_xlfn.IFS(IFERROR(MATCH(_xlpm.id,{"atp","h2o"},0),0)&gt;0,_xlpm.oldcoeff-_xlpm.gam,IFERROR(MATCH(_xlpm.id,{"adp","h","pi"},0),0)&gt;0,_xlpm.oldcoeff+_xlpm.gam,TRUE,_xlpm.oldcoeff))</f>
        <v>-1.5890005990986818E-3</v>
      </c>
      <c r="K97" t="str" cm="1">
        <f t="array" ref="K97">"BIOSYN-"&amp;_xlfn.IFS(IFERROR(MATCH(mets24[[#This Row],[category]],{0,"0",""},0),0)&gt;0,mets24[[#This Row],[name]],TRUE,mets24[[#This Row],[category]]&amp;"-"&amp;mets24[[#This Row],[name]])</f>
        <v>BIOSYN-METAL-zn2_c</v>
      </c>
      <c r="L97" s="149" t="str" cm="1">
        <f t="array" ref="L97">IF(IsElementOfSet_DIY(mets24[[#This Row],[category]],{"ignore","PROT"}),"",_xlfn.LET(_xlpm.mw,mets24[[#This Row],[MW for biomass normalization (g/mol)]],"MET-"&amp;mets24[[#This Row],[name]]&amp;" --&gt; "&amp;IF((mets24[[#This Row],[category]]="DNA")+(mets24[[#This Row],[category]]="RNA"),"MET-ppi_c + ","")&amp;ROUND(ABS(_xlpm.mw/1000),6)&amp;" BIO-"&amp;mets24[[#This Row],[name]]))</f>
        <v>MET-zn2_c --&gt; 0.06538 BIO-zn2_c</v>
      </c>
      <c r="M97" s="149" cm="1">
        <f t="array" ref="M97">_xlfn.LET(_xlpm.gam,$J$2,_xlpm.cat,IF(LEFT(mets24[[#This Row],[name w/o location]],4)="trna","PROT",mets24[[#This Row],[category]]),_xlpm.multipliers,_xlfn._xlws.FILTER(_xlfn.HSTACK(biomassComponents23[normalized coeffs],biomassComponents23[original coeffs from input]),(biomassComponents23[rxn name]="BIOSYN-"&amp;_xlpm.cat)+IF(mets24[[#This Row],[name w/o location]]="ppi",((biomassComponents23[rxn name]="BIOSYN-DNA"))+((biomassComponents23[rxn name]="BIOSYN-RNA"))&gt;0,FALSE),{1,1}),mets24[[#This Row],[normalized coeffs]]*(SUM(_xlfn.CHOOSECOLS(_xlpm.multipliers,1))/SUM(_xlfn.CHOOSECOLS(_xlpm.multipliers,2)))+_xlfn.IFS(OR(mets24[[#This Row],[name w/o location]]={"atp","h2o"}),-_xlpm.gam,OR(mets24[[#This Row],[name w/o location]]={"adp","h","pi"}),_xlpm.gam,TRUE,0))</f>
        <v>-1.5890005990986818E-3</v>
      </c>
      <c r="N97" s="149"/>
      <c r="O97" s="149"/>
      <c r="P97" s="149"/>
      <c r="Q97" s="149"/>
      <c r="R97" s="149"/>
      <c r="S97" s="149"/>
      <c r="T97" s="149"/>
      <c r="U97" s="149"/>
      <c r="V97" s="149"/>
    </row>
  </sheetData>
  <mergeCells count="3">
    <mergeCell ref="A1:F1"/>
    <mergeCell ref="A2:F2"/>
    <mergeCell ref="D4:E4"/>
  </mergeCells>
  <conditionalFormatting sqref="S6:S14">
    <cfRule type="expression" dxfId="35" priority="1" stopIfTrue="1">
      <formula>NOT(_xlfn.ISFORMULA(S6))</formula>
    </cfRule>
  </conditionalFormatting>
  <conditionalFormatting sqref="T6:T14">
    <cfRule type="expression" dxfId="34" priority="2"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60B99-6DAF-E948-9276-470F3D9A4BBD}">
  <dimension ref="A1:AG97"/>
  <sheetViews>
    <sheetView zoomScale="110" zoomScaleNormal="110" workbookViewId="0">
      <selection activeCell="A2" sqref="A2:F2"/>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3" width="26.5" customWidth="1"/>
    <col min="14" max="14" width="1.1640625" customWidth="1"/>
    <col min="15" max="15" width="13.33203125" customWidth="1"/>
    <col min="16" max="16" width="17.6640625" bestFit="1" customWidth="1"/>
    <col min="17" max="17" width="10.5" customWidth="1"/>
    <col min="18" max="18" width="25.5" customWidth="1"/>
    <col min="19" max="20" width="10.5" customWidth="1"/>
    <col min="21" max="21" width="35.6640625" customWidth="1"/>
    <col min="22" max="22" width="30.6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1306</v>
      </c>
      <c r="B1" s="182"/>
      <c r="C1" s="182"/>
      <c r="D1" s="182"/>
      <c r="E1" s="182"/>
      <c r="F1" s="182"/>
      <c r="G1" s="148" t="s">
        <v>744</v>
      </c>
      <c r="I1" s="148"/>
      <c r="J1" s="148" t="s">
        <v>743</v>
      </c>
      <c r="K1" s="148" t="s">
        <v>758</v>
      </c>
      <c r="L1" s="148"/>
      <c r="M1" s="148"/>
      <c r="N1" s="148"/>
      <c r="O1" s="148"/>
      <c r="P1" s="148"/>
      <c r="Q1" s="148"/>
      <c r="R1" s="148"/>
      <c r="S1" s="148"/>
      <c r="T1" s="148"/>
      <c r="U1" s="148"/>
      <c r="V1" s="148"/>
      <c r="W1" s="148"/>
    </row>
    <row r="2" spans="1:33" ht="13" customHeight="1" x14ac:dyDescent="0.15">
      <c r="A2" s="182"/>
      <c r="B2" s="182"/>
      <c r="C2" s="182"/>
      <c r="D2" s="182"/>
      <c r="E2" s="182"/>
      <c r="F2" s="182"/>
      <c r="G2" s="140">
        <v>2.58</v>
      </c>
      <c r="J2" s="145">
        <f>_xlfn.XLOOKUP("adp",mets2415[name w/o location],mets2415[raw (GSM) coefficient],0)</f>
        <v>189.454734</v>
      </c>
      <c r="K2" t="str" cm="1">
        <f t="array" ref="K2">_xlfn.LET(_xlpm.array,_xlfn._xlws.SORT(_xlfn._xlws.FILTER(_xlfn.HSTACK(mets2415[normalized coeff. w/ updated GAM]-mets2415[normalized coeffs],"MET-"&amp;mets2415[name]),(mets2415[category]="GAM")+(mets2415[name w/o location]="atp")+(mets2415[name w/o location]="pi"))),SUBSTITUTE(_xlfn.TEXTJOIN(" + ",TRUE,ABS(_xlfn.CHOOSECOLS(_xlpm.array,1))&amp;" "&amp;_xlfn.CHOOSECOLS(_xlpm.array,2))," + "," --&gt; ",2))</f>
        <v>186.874734 MET-atp_c + 186.874734 MET-h2o_c --&gt; 186.874734 MET-adp_c + 186.874734 MET-h_c + 186.874734 MET-pi_c</v>
      </c>
      <c r="L2" s="145"/>
      <c r="M2" s="164" t="s">
        <v>1123</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_xlfn.LET(_xlpm.coeffs,mets2415[coeff. w/o GAM],-SUM(_xlfn._xlws.FILTER(_xlpm.coeffs*mets2415[MW for biomass normalization (g/mol)],(IFERROR(_xlfn.NUMBERVALUE(_xlpm.coeffs),0)&lt;0)*(_xlfn.IFNA(mets2415[category],"ignore")&lt;&gt;"ignore")))/1000)</f>
        <v>0.99165150949544156</v>
      </c>
      <c r="H3" s="145" cm="1">
        <f t="array" ref="H3">_xlfn.LET(_xlpm.coeffs,mets2415[coeffs after extra operations],-SUM(_xlfn._xlws.FILTER(_xlpm.coeffs*mets2415[MW for biomass normalization (g/mol)],(IFERROR(_xlfn.NUMBERVALUE(_xlpm.coeffs),0)&lt;0)*(_xlfn.IFNA(mets2415[category],"ignore")&lt;&gt;"ignore")))/1000)</f>
        <v>0.99165150949544156</v>
      </c>
      <c r="I3" s="143" cm="1">
        <f t="array" ref="I3">_xlfn.LET(_xlpm.coeffs,mets2415[normalized coeffs],-SUM(_xlfn._xlws.FILTER(_xlpm.coeffs*mets2415[MW for biomass normalization (g/mol)],(IFERROR(_xlfn.NUMBERVALUE(_xlpm.coeffs),0)&lt;0)*(_xlfn.IFNA(mets2415[category],"ignore")&lt;&gt;"ignore")))/1000)</f>
        <v>1.0000000000000007</v>
      </c>
      <c r="J3" s="145"/>
      <c r="L3" s="145"/>
      <c r="M3" s="145" t="str" cm="1">
        <f t="array" ref="M3">_xlfn.TEXTJOIN(","&amp;CHAR(10),TRUE,CHAR(34)&amp;mets2415[name]&amp;CHAR(34)&amp;":"&amp;mets2415[new GSM coeffs])</f>
        <v>"13BDglucan_c":-1.50540498374178,
"16BDglucan_en":-0.396160031921396,
"G00006_c":-0.0222413751079213,
"adp_c":189.454734,
"alatrna_c":-0.121528776526075,
"amet_c":-0.000100841877456407,
"argtrna_c":-0.0480144421269092,
"asntrna_c":-0.0577169159303957,
"asptrna_c":-0.0577169159303957,
"atp_c":-189.455579684083,
"btn_c":-0.000100841877456407,
"ca2_c":-0.00129682654408939,
"chtn_c":-0.035591690901849,
"coa_c":-0.000100841877456407,
"ctp_c":-0.025955792932871,
"cu2_c":-0.000114959740300304,
"cystrna_c":-0.00174141276150945,
"datp_c":-0.0152088119668438,
"dctp_c":-0.0237383533805124,
"dgtp_c":-0.0237383533805124,
"docosa_c":-0.000202134646807695,
"dttp_c":-0.0152088119668438,
"epist_c":-0.511075174436277,
"fad_c":-0.000100841877456407,
"fe2_c":-0.00066959006631054,
"glntrna_c":-0.0962774039139727,
"glutrna_c":-0.0962774039139727,
"glytrna_c":-0.110582373066494,
"gpianchorSC_r":-0.0255711101575819,
"gtp_c":-0.0227426159942358,
"h2o_c":-189.454734,
"h_c":189.454734,
"hdca_c":-0.00243853171356504,
"hemeA_c":-0.000100841877456407,
"histrna_c":-0.0240069991709009,
"iletrna_c":-0.0732653709539036,
"ipc_g":-0.0145543403677477,
"k_c":-0.608731993265599,
"leutrna_c":-0.0996359696069144,
"linoea_c":-0.00308110031923168,
"linolen_c":-0.00121862005918889,
"lystrna_c":-0.0817239151012966,
"mettrna_c":-0.0141802655373373,
"mg2_c":-0.0641424929936966,
"mn2_c":-9.47913648090222E-05,
"nad_c":-0.000100841877456407,
"nadp_c":-0.000100841877456407,
"ocdca_c":-0.00207171868038047,
"ocdcea_c":-0.00633333700077657,
"oglycanSC_g":-0.0718579571023337,
"pail_c":-0.00425386874927249,
"pc_c":-0.00798528724529442,
"pe_c":-0.00192899741218718,
"phetrna_c":-0.0467705124708157,
"pi_c":189.348189514373,
"ppi_c":0.157009349672855,
"protrna_c":-0.05249223386076,
"ps_c":-0.00103392194740933,
"ribflv_c":-0.000100841877456407,
"sertrna_c":-0.0662997199078658,
"so4_c":-0.0314858593982138,
"spmd_c":-0.000100841877456407,
"tag_c":-0.0632306881903778,
"thf_c":-0.000100841877456407,
"thmpp_c":-0.000100841877456407,
"thrtrna_c":-0.0692850623254688,
"trnaala_c":0.121528776526075,
"trnaarg_c":0.0480144421269092,
"trnaasn_c":0.0577169159303957,
"trnaasp_c":0.0577169159303957,
"trnacys_c":0.00174141276150945,
"trnagln_c":0.0962774039139727,
"trnaglu_c":0.0962774039139727,
"trnagly_c":0.110582373066494,
"trnahis_c":0.0240069991709009,
"trnaile_c":0.0732653709539036,
"trnaleu_c":0.0996359696069144,
"trnalys_c":0.0817239151012966,
"trnamet_c":0.0141802655373373,
"trnaphe_c":0.0467705124708157,
"trnapro_c":0.05249223386076,
"trnaser_c":0.0662997199078658,
"trnathr_c":0.0692850623254688,
"trnatrp_c":0.00808532087205419,
"trnatyr_c":0.0243802224462397,
"trnaval_c":0.0911774254595215,
"trptrna_c":-0.00808532087205419,
"ttcosa_c":-0.000806601194449877,
"tyrtrna_c":-0.0243802224462397,
"utp_c":-0.013605424693149,
"valtrna_c":-0.0911774254595215,
"zn2_c":-0.00158926798871297</v>
      </c>
      <c r="N3" s="145"/>
      <c r="O3" s="145"/>
      <c r="P3" s="145"/>
      <c r="Q3" s="145"/>
      <c r="R3" s="145"/>
      <c r="S3" s="145"/>
      <c r="T3" s="145"/>
      <c r="U3" s="145"/>
      <c r="V3" s="145" t="str" cm="1">
        <f t="array" ref="V3">_xlfn.LET(_xlpm.eqn,_xlfn.TEXTJOIN(" + ",TRUE,biomassComponents2314[new GSM coeffs])&amp;" + "&amp;K2,_xlpm.reactants,"-"&amp;SUBSTITUTE(_xlfn.TEXTBEFORE(_xlpm.eqn,"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"13BDglucan_c":-1.50540498374178,
"16BDglucan_en":-0.396160031921396,
"G00006_c":-0.0222413751079213,
"chtn_c":-0.035591690901849,
"gpianchorSC_r":-0.0255711101575819,
"oglycanSC_g":-0.0718579571023337,
"amet_c":-0.000100841877456407,
"btn_c":-0.000100841877456407,
"coa_c":-0.000100841877456407,
"fad_c":-0.000100841877456407,
"hemeA_c":-0.000100841877456407,
"nad_c":-0.000100841877456407,
"nadp_c":-0.000100841877456407,
"ribflv_c":-0.000100841877456407,
"spmd_c":-0.000100841877456407,
"thf_c":-0.000100841877456407,
"thmpp_c":-0.000100841877456407,
"datp_c":-0.0152088119668438,
"dctp_c":-0.0237383533805124,
"dgtp_c":-0.0237383533805124,
"dttp_c":-0.0152088119668438,
"docosa_c":-0.000202134646807695,
"epist_c":-0.511075174436277,
"hdca_c":-0.00243853171356504,
"ipc_g":-0.0145543403677477,
"linoea_c":-0.00308110031923168,
"linolen_c":-0.00121862005918889,
"ocdca_c":-0.00207171868038047,
"ocdcea_c":-0.00633333700077658,
"pail_c":-0.00425386874927249,
"pc_c":-0.00798528724529442,
"pe_c":-0.00192899741218718,
"ps_c":-0.00103392194740933,
"tag_c":-0.0632306881903778,
"ttcosa_c":-0.000806601194449877,
"ca2_c":-0.00129682654408939,
"cu2_c":-0.000114959740300304,
"fe2_c":-0.00066959006631054,
"k_c":-0.608731993265599,
"mg2_c":-0.0641424929936966,
"mn2_c":-9.47913648090223E-05,
"zn2_c":-0.00158926798871297,
"pi_c":186.768189514373,
"alatrna_c":-0.121528776526074,
"argtrna_c":-0.0480144421269092,
"asntrna_c":-0.0577169159303957,
"asptrna_c":-0.0577169159303957,
"cystrna_c":-0.00174141276150945,
"glntrna_c":-0.0962774039139727,
"glutrna_c":-0.0962774039139727,
"glytrna_c":-0.110582373066494,
"histrna_c":-0.0240069991709009,
"iletrna_c":-0.0732653709539036,
"leutrna_c":-0.0996359696069144,
"lystrna_c":-0.0817239151012966,
"mettrna_c":-0.0141802655373373,
"phetrna_c":-0.0467705124708157,
"protrna_c":-0.05249223386076,
"sertrna_c":-0.0662997199078658,
"thrtrna_c":-0.0692850623254688,
"trptrna_c":-0.00808532087205419,
"tyrtrna_c":-0.0243802224462397,
"valtrna_c":-0.0911774254595214,
"atp_c":-186.875579684083,
"ctp_c":-0.025955792932871,
"gtp_c":-0.0227426159942358,
"utp_c":-0.013605424693149,
"so4_c":-0.0314858593982138,
"h2o_c":-186.874734,
"adp_c":186.874734,
"h_c":186.874734</v>
      </c>
      <c r="X3" s="143"/>
      <c r="Y3" s="143"/>
    </row>
    <row r="4" spans="1:33" ht="28" customHeight="1" x14ac:dyDescent="0.15">
      <c r="A4" s="143" t="s">
        <v>1204</v>
      </c>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x14ac:dyDescent="0.2">
      <c r="A6" s="144" t="s">
        <v>1050</v>
      </c>
      <c r="B6" t="str">
        <f>SUBSTITUTE(_xlfn.TEXTBEFORE(mets2415[[#This Row],[pasted JSON metabolite keys and values from GSM biomass rxn]],":"),CHAR(34),"")</f>
        <v>13BDglucan_c</v>
      </c>
      <c r="C6" t="str">
        <f>_xlfn.TEXTBEFORE(mets2415[[#This Row],[name]],"_",-1)</f>
        <v>13BDglucan</v>
      </c>
      <c r="D6" t="str">
        <f>_xlfn.XLOOKUP(mets2415[[#This Row],[name w/o location]],metaboliteInfo[name w/o location],metaboliteInfo[suggested category],"")</f>
        <v>CARB</v>
      </c>
      <c r="E6" s="21">
        <f>_xlfn.XLOOKUP(mets2415[[#This Row],[name w/o location]],metaboliteInfo[name w/o location],metaboliteInfo[MW for biomass normalization (g/mol)],0)</f>
        <v>162.14060000000001</v>
      </c>
      <c r="F6" s="21">
        <f>_xlfn.NUMBERVALUE(SUBSTITUTE(_xlfn.TEXTAFTER(mets2415[[#This Row],[pasted JSON metabolite keys and values from GSM biomass rxn]],":"),",",""))</f>
        <v>-0.38384099999999999</v>
      </c>
      <c r="G6" s="21" cm="1">
        <f t="array" ref="G6">_xlfn.LET(_xlpm.id,mets2415[[#This Row],[name w/o location]],IF(IsElementOfSet_DIY(_xlpm.id,{"atp","adp","h","pi","h2o"}),SIGN(mets2415[[#This Row],[raw (GSM) coefficient]])*(ABS(mets2415[[#This Row],[raw (GSM) coefficient]])-$J$2),mets2415[[#This Row],[raw (GSM) coefficient]]))</f>
        <v>-0.38384099999999999</v>
      </c>
      <c r="H6" s="21">
        <f>mets2415[[#This Row],[coeff. w/o GAM]]</f>
        <v>-0.38384099999999999</v>
      </c>
      <c r="I6" s="161">
        <f t="shared" ref="I6:I69" si="0">H6/($H$3)</f>
        <v>-0.38707247084744584</v>
      </c>
      <c r="J6" s="21" cm="1">
        <f t="array" ref="J6">_xlfn.LET(_xlpm.id,mets2415[[#This Row],[name w/o location]],_xlpm.oldcoeff,mets2415[[#This Row],[normalized coeffs]],_xlpm.gam,$J$2-$G$2,_xlfn.IFS(IFERROR(MATCH(_xlpm.id,{"atp","h2o"},0),0)&gt;0,_xlpm.oldcoeff-_xlpm.gam,IFERROR(MATCH(_xlpm.id,{"adp","h","pi"},0),0)&gt;0,_xlpm.oldcoeff+_xlpm.gam,TRUE,_xlpm.oldcoeff))</f>
        <v>-0.38707247084744584</v>
      </c>
      <c r="K6" t="str" cm="1">
        <f t="array" ref="K6">"BIOSYN-"&amp;_xlfn.IFS(IFERROR(MATCH(mets2415[[#This Row],[category]],{0,"0",""},0),0)&gt;0,mets2415[[#This Row],[name]],TRUE,mets2415[[#This Row],[category]]&amp;"-"&amp;mets2415[[#This Row],[name]])</f>
        <v>BIOSYN-CARB-13BDglucan_c</v>
      </c>
      <c r="L6" s="149" t="str" cm="1">
        <f t="array" ref="L6">IF(IsElementOfSet_DIY(mets2415[[#This Row],[category]],{"ignore","PROT"}),"",_xlfn.LET(_xlpm.mw,mets2415[[#This Row],[MW for biomass normalization (g/mol)]],"MET-"&amp;mets2415[[#This Row],[name]]&amp;" --&gt; "&amp;IF((mets2415[[#This Row],[category]]="DNA")+(mets2415[[#This Row],[category]]="RNA"),"MET-ppi_c + ","")&amp;ROUND(ABS(_xlpm.mw/1000),6)&amp;" BIO-"&amp;mets2415[[#This Row],[name]]))</f>
        <v>MET-13BDglucan_c --&gt; 0.162141 BIO-13BDglucan_c</v>
      </c>
      <c r="M6" s="149" cm="1">
        <f t="array" ref="M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-1.5054049837417778</v>
      </c>
      <c r="N6" s="149"/>
      <c r="O6" s="162" t="str" cm="1">
        <f t="array" ref="O6:O14">"BIOSYN-"&amp;_xlfn._xlws.SORT(_xlfn.UNIQUE(_xlfn._xlws.FILTER(mets2415[category],(mets2415[category]&lt;&gt;0)*(mets2415[category]&lt;&gt;"GAM")*(mets2415[category]&lt;&gt;"ignore"))))</f>
        <v>BIOSYN-CARB</v>
      </c>
      <c r="P6" s="158" t="str">
        <f t="shared" ref="P6:P14" si="1">O6</f>
        <v>BIOSYN-CARB</v>
      </c>
      <c r="Q6" s="158" t="str">
        <f>SUBSTITUTE(LOWER(biomassComponents2314[[#This Row],[rxn name]]),"biosyn-","BIO-")</f>
        <v>BIO-carb</v>
      </c>
      <c r="R6" s="160" cm="1">
        <f t="array" ref="R6">SUM(_xlfn._xlws.FILTER(-mets2415[MW for biomass normalization (g/mol)]*mets2415[normalized coeffs]/1000,mets2415[category]=_xlfn.TEXTAFTER(O6,"BIOSYN-"),""))</f>
        <v>0.12608591352303955</v>
      </c>
      <c r="S6" s="160">
        <v>0.51100000000000001</v>
      </c>
      <c r="T6" s="160" cm="1">
        <f t="array" ref="T6">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0.49037422419024779</v>
      </c>
      <c r="U6" s="158" t="str" cm="1">
        <f t="array" ref="U6">_xlfn.TEXTJOIN(" + ",TRUE,_xlfn._xlws.FILTER(ROUND(-mets2415[MW for biomass normalization (g/mol)]*mets2415[normalized coeffs]*(biomassComponents2314[[#This Row],[normalized coeffs]]/biomassComponents2314[[#This Row],[original coeffs from input]])/(1000*biomassComponents2314[[#This Row],[normalized coeffs]]),6)&amp;" BIO-"&amp;mets2415[name],mets2415[category]=_xlfn.TEXTAFTER(O6,"BIOSYN-"),""))&amp;" --&gt; "&amp;biomassComponents2314[[#This Row],[product name]]</f>
        <v>0.497757 BIO-13BDglucan_c + 0.130989 BIO-16BDglucan_en + 0.118793 BIO-G00006_c + 0.014748 BIO-chtn_c + 0.118915 BIO-gpianchorSC_r + 0.118798 BIO-oglycanSC_g --&gt; BIO-carb</v>
      </c>
      <c r="V6" s="158" t="str" cm="1">
        <f t="array" ref="V6">_xlfn.TEXTJOIN(" + ",TRUE,_xlfn._xlws.FILTER((-mets2415[normalized coeffs]*biomassComponents2314[[#This Row],[normalized coeffs]]/biomassComponents2314[[#This Row],[original coeffs from input]])&amp;" BIO-"&amp;mets2415[name],mets2415[category]=_xlfn.TEXTAFTER(P6,"BIOSYN-"),""))</f>
        <v>1.50540498374178 BIO-13BDglucan_c + 0.396160031921396 BIO-16BDglucan_en + 0.0222413751079213 BIO-G00006_c + 0.035591690901849 BIO-chtn_c + 0.0255711101575819 BIO-gpianchorSC_r + 0.0718579571023337 BIO-oglycanSC_g</v>
      </c>
      <c r="Y6" s="152" t="s">
        <v>17</v>
      </c>
      <c r="Z6" t="str">
        <f>SUBSTITUTE(Z7," --&gt; "," + "&amp;K2)</f>
        <v>0.490374224190248 BIO-carb + 0.000588082143389992 BIO-cofactor + 0.0239909111639065 BIO-dna + 0.28981020685999 BIO-lipid + 0.0255651560809252 BIO-metal + 0.0102260652558436 BIO-pi + 0.136268375410989 BIO-protmodeled + 0.0201523653776814 BIO-rna + 0.00302461351702686 BIO-so4 + 186.874734 MET-atp_c + 186.874734 MET-h2o_c --&gt; 186.874734 MET-adp_c + 186.874734 MET-h_c + 186.874734 MET-pi_c</v>
      </c>
      <c r="AB6" t="str" cm="1">
        <f t="array" ref="AB6:AC71">_xlfn.LET(_xlpm.macros,_xlfn._xlws.FILTER(_xlfn.HSTACK(_xlfn.ANCHORARRAY(O6),biomassComponents2314[stoichiometry (if needed)]),biomassComponents2314[stoichiometry (if needed)]&lt;&gt;""),_xlfn.VSTACK(ExtraRxns2210[[name]:[stoichiometry]],_xlpm.macros,_xlfn._xlws.SORT(_xlfn._xlws.FILTER(mets2415[[biomass equation name]:[biomass equation]],ISNUMBER(MATCH(mets2415[category],_xlfn.TEXTAFTER(biomassComponents2314[rxn name],"BIOSYN-"),0))*(mets2415[biomass equation]&lt;&gt;"")))))</f>
        <v>BIOSYN-BIODILAERO</v>
      </c>
      <c r="AC6" t="str">
        <v>0.490374224190248 BIO-carb + 0.000588082143389992 BIO-cofactor + 0.0239909111639065 BIO-dna + 0.28981020685999 BIO-lipid + 0.0255651560809252 BIO-metal + 0.0102260652558436 BIO-pi + 0.136268375410989 BIO-protmodeled + 0.0201523653776814 BIO-rna + 0.00302461351702686 BIO-so4 + 186.874734 MET-atp_c + 186.874734 MET-h2o_c --&gt; 186.874734 MET-adp_c + 186.874734 MET-h_c + 186.874734 MET-pi_c</v>
      </c>
    </row>
    <row r="7" spans="1:33" ht="16" x14ac:dyDescent="0.2">
      <c r="A7" s="144" t="s">
        <v>1051</v>
      </c>
      <c r="B7" t="str">
        <f>SUBSTITUTE(_xlfn.TEXTBEFORE(mets2415[[#This Row],[pasted JSON metabolite keys and values from GSM biomass rxn]],":"),CHAR(34),"")</f>
        <v>16BDglucan_en</v>
      </c>
      <c r="C7" t="str">
        <f>_xlfn.TEXTBEFORE(mets2415[[#This Row],[name]],"_",-1)</f>
        <v>16BDglucan</v>
      </c>
      <c r="D7" t="str">
        <f>_xlfn.XLOOKUP(mets2415[[#This Row],[name w/o location]],metaboliteInfo[name w/o location],metaboliteInfo[suggested category],"")</f>
        <v>CARB</v>
      </c>
      <c r="E7" s="21">
        <f>_xlfn.XLOOKUP(mets2415[[#This Row],[name w/o location]],metaboliteInfo[name w/o location],metaboliteInfo[MW for biomass normalization (g/mol)],0)</f>
        <v>162.14060000000001</v>
      </c>
      <c r="F7" s="21">
        <f>_xlfn.NUMBERVALUE(SUBSTITUTE(_xlfn.TEXTAFTER(mets2415[[#This Row],[pasted JSON metabolite keys and values from GSM biomass rxn]],":"),",",""))</f>
        <v>-0.101011</v>
      </c>
      <c r="G7" s="21" cm="1">
        <f t="array" ref="G7">_xlfn.LET(_xlpm.id,mets2415[[#This Row],[name w/o location]],IF(IsElementOfSet_DIY(_xlpm.id,{"atp","adp","h","pi","h2o"}),SIGN(mets2415[[#This Row],[raw (GSM) coefficient]])*(ABS(mets2415[[#This Row],[raw (GSM) coefficient]])-$J$2),mets2415[[#This Row],[raw (GSM) coefficient]]))</f>
        <v>-0.101011</v>
      </c>
      <c r="H7" s="161">
        <f>mets2415[[#This Row],[coeff. w/o GAM]]</f>
        <v>-0.101011</v>
      </c>
      <c r="I7" s="161">
        <f t="shared" si="0"/>
        <v>-0.10186138883749093</v>
      </c>
      <c r="J7" s="21" cm="1">
        <f t="array" ref="J7">_xlfn.LET(_xlpm.id,mets2415[[#This Row],[name w/o location]],_xlpm.oldcoeff,mets2415[[#This Row],[normalized coeffs]],_xlpm.gam,$J$2-$G$2,_xlfn.IFS(IFERROR(MATCH(_xlpm.id,{"atp","h2o"},0),0)&gt;0,_xlpm.oldcoeff-_xlpm.gam,IFERROR(MATCH(_xlpm.id,{"adp","h","pi"},0),0)&gt;0,_xlpm.oldcoeff+_xlpm.gam,TRUE,_xlpm.oldcoeff))</f>
        <v>-0.10186138883749093</v>
      </c>
      <c r="K7" t="str" cm="1">
        <f t="array" ref="K7">"BIOSYN-"&amp;_xlfn.IFS(IFERROR(MATCH(mets2415[[#This Row],[category]],{0,"0",""},0),0)&gt;0,mets2415[[#This Row],[name]],TRUE,mets2415[[#This Row],[category]]&amp;"-"&amp;mets2415[[#This Row],[name]])</f>
        <v>BIOSYN-CARB-16BDglucan_en</v>
      </c>
      <c r="L7" s="149" t="str" cm="1">
        <f t="array" ref="L7">IF(IsElementOfSet_DIY(mets2415[[#This Row],[category]],{"ignore","PROT"}),"",_xlfn.LET(_xlpm.mw,mets2415[[#This Row],[MW for biomass normalization (g/mol)]],"MET-"&amp;mets2415[[#This Row],[name]]&amp;" --&gt; "&amp;IF((mets2415[[#This Row],[category]]="DNA")+(mets2415[[#This Row],[category]]="RNA"),"MET-ppi_c + ","")&amp;ROUND(ABS(_xlpm.mw/1000),6)&amp;" BIO-"&amp;mets2415[[#This Row],[name]]))</f>
        <v>MET-16BDglucan_en --&gt; 0.162141 BIO-16BDglucan_en</v>
      </c>
      <c r="M7" s="149" cm="1">
        <f t="array" ref="M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-0.39616003192139648</v>
      </c>
      <c r="N7" s="149"/>
      <c r="O7" s="162" t="str">
        <v>BIOSYN-COFACTOR</v>
      </c>
      <c r="P7" s="158" t="str">
        <f t="shared" si="1"/>
        <v>BIOSYN-COFACTOR</v>
      </c>
      <c r="Q7" s="158" t="str">
        <f>SUBSTITUTE(LOWER(biomassComponents2314[[#This Row],[rxn name]]),"biosyn-","BIO-")</f>
        <v>BIO-cofactor</v>
      </c>
      <c r="R7" s="160" cm="1">
        <f t="array" ref="R7">SUM(_xlfn._xlws.FILTER(-mets2415[MW for biomass normalization (g/mol)]*mets2415[normalized coeffs]/1000,mets2415[category]=_xlfn.TEXTAFTER(O7,"BIOSYN-"),""))</f>
        <v>5.8808214338999169E-4</v>
      </c>
      <c r="S7" s="160"/>
      <c r="T7" s="160" cm="1">
        <f t="array" ref="T7">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5.8808214338999169E-4</v>
      </c>
      <c r="U7" s="158" t="str" cm="1">
        <f t="array" ref="U7">_xlfn.TEXTJOIN(" + ",TRUE,_xlfn._xlws.FILTER(ROUND(-mets2415[MW for biomass normalization (g/mol)]*mets2415[normalized coeffs]*(biomassComponents2314[[#This Row],[normalized coeffs]]/biomassComponents2314[[#This Row],[original coeffs from input]])/(1000*biomassComponents2314[[#This Row],[normalized coeffs]]),6)&amp;" BIO-"&amp;mets2415[name],mets2415[category]=_xlfn.TEXTAFTER(O7,"BIOSYN-"),""))&amp;" --&gt; "&amp;biomassComponents2314[[#This Row],[product name]]</f>
        <v>0.068495 BIO-amet_c + 0.041721 BIO-btn_c + 0.130922 BIO-coa_c + 0.134184 BIO-fad_c + 0.145895 BIO-hemeA_c + 0.113589 BIO-nad_c + 0.126957 BIO-nadp_c + 0.064364 BIO-ribflv_c + 0.025425 BIO-spmd_c + 0.076035 BIO-thf_c + 0.072413 BIO-thmpp_c --&gt; BIO-cofactor</v>
      </c>
      <c r="V7" s="158" t="str" cm="1">
        <f t="array" ref="V7">_xlfn.TEXTJOIN(" + ",TRUE,_xlfn._xlws.FILTER((-mets2415[normalized coeffs]*biomassComponents2314[[#This Row],[normalized coeffs]]/biomassComponents2314[[#This Row],[original coeffs from input]])&amp;" BIO-"&amp;mets2415[name],mets2415[category]=_xlfn.TEXTAFTER(P7,"BIOSYN-"),""))</f>
        <v>0.000100841877456407 BIO-amet_c + 0.000100841877456407 BIO-btn_c + 0.000100841877456407 BIO-coa_c + 0.000100841877456407 BIO-fad_c + 0.000100841877456407 BIO-hemeA_c + 0.000100841877456407 BIO-nad_c + 0.000100841877456407 BIO-nadp_c + 0.000100841877456407 BIO-ribflv_c + 0.000100841877456407 BIO-spmd_c + 0.000100841877456407 BIO-thf_c + 0.000100841877456407 BIO-thmpp_c</v>
      </c>
      <c r="Y7" s="152" t="str">
        <f>Y6&amp;"-NOGAM"</f>
        <v>BIOSYN-BIODILAERO-NOGAM</v>
      </c>
      <c r="Z7" t="str" cm="1">
        <f t="array" ref="Z7">_xlfn.TEXTJOIN(" + ",TRUE,_xlfn._xlws.FILTER(biomassComponents2314[normalized coeffs]&amp;" "&amp;biomassComponents2314[product name],biomassComponents2314[normalized coeffs]&lt;&gt;0))&amp;" --&gt; "</f>
        <v xml:space="preserve">0.490374224190248 BIO-carb + 0.000588082143389992 BIO-cofactor + 0.0239909111639065 BIO-dna + 0.28981020685999 BIO-lipid + 0.0255651560809252 BIO-metal + 0.0102260652558436 BIO-pi + 0.136268375410989 BIO-protmodeled + 0.0201523653776814 BIO-rna + 0.00302461351702686 BIO-so4 --&gt; </v>
      </c>
      <c r="AB7" t="str">
        <v>BIOSYN-BIODILAERO-NOGAM</v>
      </c>
      <c r="AC7" t="str">
        <v xml:space="preserve">0.490374224190248 BIO-carb + 0.000588082143389992 BIO-cofactor + 0.0239909111639065 BIO-dna + 0.28981020685999 BIO-lipid + 0.0255651560809252 BIO-metal + 0.0102260652558436 BIO-pi + 0.136268375410989 BIO-protmodeled + 0.0201523653776814 BIO-rna + 0.00302461351702686 BIO-so4 --&gt; </v>
      </c>
    </row>
    <row r="8" spans="1:33" ht="16" x14ac:dyDescent="0.2">
      <c r="A8" s="144" t="s">
        <v>1052</v>
      </c>
      <c r="B8" t="str">
        <f>SUBSTITUTE(_xlfn.TEXTBEFORE(mets2415[[#This Row],[pasted JSON metabolite keys and values from GSM biomass rxn]],":"),CHAR(34),"")</f>
        <v>G00006_c</v>
      </c>
      <c r="C8" t="str">
        <f>_xlfn.TEXTBEFORE(mets2415[[#This Row],[name]],"_",-1)</f>
        <v>G00006</v>
      </c>
      <c r="D8" t="str">
        <f>_xlfn.XLOOKUP(mets2415[[#This Row],[name w/o location]],metaboliteInfo[name w/o location],metaboliteInfo[suggested category],"")</f>
        <v>CARB</v>
      </c>
      <c r="E8" s="21">
        <f>_xlfn.XLOOKUP(mets2415[[#This Row],[name w/o location]],metaboliteInfo[name w/o location],metaboliteInfo[MW for biomass normalization (g/mol)],0)</f>
        <v>2619.1368040000002</v>
      </c>
      <c r="F8" s="21">
        <f>_xlfn.NUMBERVALUE(SUBSTITUTE(_xlfn.TEXTAFTER(mets2415[[#This Row],[pasted JSON metabolite keys and values from GSM biomass rxn]],":"),",",""))</f>
        <v>-5.6709999999999998E-3</v>
      </c>
      <c r="G8" s="21" cm="1">
        <f t="array" ref="G8">_xlfn.LET(_xlpm.id,mets2415[[#This Row],[name w/o location]],IF(IsElementOfSet_DIY(_xlpm.id,{"atp","adp","h","pi","h2o"}),SIGN(mets2415[[#This Row],[raw (GSM) coefficient]])*(ABS(mets2415[[#This Row],[raw (GSM) coefficient]])-$J$2),mets2415[[#This Row],[raw (GSM) coefficient]]))</f>
        <v>-5.6709999999999998E-3</v>
      </c>
      <c r="H8" s="21">
        <f>mets2415[[#This Row],[coeff. w/o GAM]]</f>
        <v>-5.6709999999999998E-3</v>
      </c>
      <c r="I8" s="161">
        <f t="shared" si="0"/>
        <v>-5.7187428705528214E-3</v>
      </c>
      <c r="J8" s="21" cm="1">
        <f t="array" ref="J8">_xlfn.LET(_xlpm.id,mets2415[[#This Row],[name w/o location]],_xlpm.oldcoeff,mets2415[[#This Row],[normalized coeffs]],_xlpm.gam,$J$2-$G$2,_xlfn.IFS(IFERROR(MATCH(_xlpm.id,{"atp","h2o"},0),0)&gt;0,_xlpm.oldcoeff-_xlpm.gam,IFERROR(MATCH(_xlpm.id,{"adp","h","pi"},0),0)&gt;0,_xlpm.oldcoeff+_xlpm.gam,TRUE,_xlpm.oldcoeff))</f>
        <v>-5.7187428705528214E-3</v>
      </c>
      <c r="K8" t="str" cm="1">
        <f t="array" ref="K8">"BIOSYN-"&amp;_xlfn.IFS(IFERROR(MATCH(mets2415[[#This Row],[category]],{0,"0",""},0),0)&gt;0,mets2415[[#This Row],[name]],TRUE,mets2415[[#This Row],[category]]&amp;"-"&amp;mets2415[[#This Row],[name]])</f>
        <v>BIOSYN-CARB-G00006_c</v>
      </c>
      <c r="L8" s="149" t="str" cm="1">
        <f t="array" ref="L8">IF(IsElementOfSet_DIY(mets2415[[#This Row],[category]],{"ignore","PROT"}),"",_xlfn.LET(_xlpm.mw,mets2415[[#This Row],[MW for biomass normalization (g/mol)]],"MET-"&amp;mets2415[[#This Row],[name]]&amp;" --&gt; "&amp;IF((mets2415[[#This Row],[category]]="DNA")+(mets2415[[#This Row],[category]]="RNA"),"MET-ppi_c + ","")&amp;ROUND(ABS(_xlpm.mw/1000),6)&amp;" BIO-"&amp;mets2415[[#This Row],[name]]))</f>
        <v>MET-G00006_c --&gt; 2.619137 BIO-G00006_c</v>
      </c>
      <c r="M8" s="149" cm="1">
        <f t="array" ref="M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-2.2241375107921308E-2</v>
      </c>
      <c r="N8" s="149"/>
      <c r="O8" s="162" t="str">
        <v>BIOSYN-DNA</v>
      </c>
      <c r="P8" s="158" t="str">
        <f t="shared" si="1"/>
        <v>BIOSYN-DNA</v>
      </c>
      <c r="Q8" s="158" t="str">
        <f>SUBSTITUTE(LOWER(biomassComponents2314[[#This Row],[rxn name]]),"biosyn-","BIO-")</f>
        <v>BIO-dna</v>
      </c>
      <c r="R8" s="160" cm="1">
        <f t="array" ref="R8">SUM(_xlfn._xlws.FILTER(-mets2415[MW for biomass normalization (g/mol)]*mets2415[normalized coeffs]/1000,mets2415[category]=_xlfn.TEXTAFTER(O8,"BIOSYN-"),""))</f>
        <v>3.3852005787309611E-2</v>
      </c>
      <c r="S8" s="160">
        <v>2.5000000000000001E-2</v>
      </c>
      <c r="T8" s="160" cm="1">
        <f t="array" ref="T8">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2.3990911163906451E-2</v>
      </c>
      <c r="U8" s="158" t="str" cm="1">
        <f t="array" ref="U8">_xlfn.TEXTJOIN(" + ",TRUE,_xlfn._xlws.FILTER(ROUND(-mets2415[MW for biomass normalization (g/mol)]*mets2415[normalized coeffs]*(biomassComponents2314[[#This Row],[normalized coeffs]]/biomassComponents2314[[#This Row],[original coeffs from input]])/(1000*biomassComponents2314[[#This Row],[normalized coeffs]]),6)&amp;" BIO-"&amp;mets2415[name],mets2415[category]=_xlfn.TEXTAFTER(O8,"BIOSYN-"),""))&amp;" --&gt; "&amp;biomassComponents2314[[#This Row],[product name]]</f>
        <v>0.197915 BIO-datp_c + 0.28514 BIO-dctp_c + 0.324743 BIO-dgtp_c + 0.192201 BIO-dttp_c --&gt; BIO-dna</v>
      </c>
      <c r="V8" s="158" t="str" cm="1">
        <f t="array" ref="V8">_xlfn.TEXTJOIN(" + ",TRUE,_xlfn._xlws.FILTER((-mets2415[normalized coeffs]*biomassComponents2314[[#This Row],[normalized coeffs]]/biomassComponents2314[[#This Row],[original coeffs from input]])&amp;" BIO-"&amp;mets2415[name],mets2415[category]=_xlfn.TEXTAFTER(P8,"BIOSYN-"),""))</f>
        <v>0.0152088119668438 BIO-datp_c + 0.0237383533805124 BIO-dctp_c + 0.0237383533805124 BIO-dgtp_c + 0.0152088119668438 BIO-dttp_c</v>
      </c>
      <c r="X8" s="153" t="s">
        <v>757</v>
      </c>
      <c r="Y8" t="s">
        <v>49</v>
      </c>
      <c r="Z8" t="s">
        <v>747</v>
      </c>
      <c r="AB8" t="str">
        <v>BIOSYN-PROTTOBIO</v>
      </c>
      <c r="AC8" t="str">
        <v>BIO-prot --&gt; BIO-varbiom</v>
      </c>
    </row>
    <row r="9" spans="1:33" ht="16" x14ac:dyDescent="0.2">
      <c r="A9" s="144" t="s">
        <v>1053</v>
      </c>
      <c r="B9" t="str">
        <f>SUBSTITUTE(_xlfn.TEXTBEFORE(mets2415[[#This Row],[pasted JSON metabolite keys and values from GSM biomass rxn]],":"),CHAR(34),"")</f>
        <v>adp_c</v>
      </c>
      <c r="C9" t="str">
        <f>_xlfn.TEXTBEFORE(mets2415[[#This Row],[name]],"_",-1)</f>
        <v>adp</v>
      </c>
      <c r="D9" t="str">
        <f>_xlfn.XLOOKUP(mets2415[[#This Row],[name w/o location]],metaboliteInfo[name w/o location],metaboliteInfo[suggested category],"")</f>
        <v>GAM</v>
      </c>
      <c r="E9" s="21">
        <f>_xlfn.XLOOKUP(mets2415[[#This Row],[name w/o location]],metaboliteInfo[name w/o location],metaboliteInfo[MW for biomass normalization (g/mol)],0)</f>
        <v>424.177302</v>
      </c>
      <c r="F9" s="21">
        <f>_xlfn.NUMBERVALUE(SUBSTITUTE(_xlfn.TEXTAFTER(mets2415[[#This Row],[pasted JSON metabolite keys and values from GSM biomass rxn]],":"),",",""))</f>
        <v>189.454734</v>
      </c>
      <c r="G9" s="21" cm="1">
        <f t="array" ref="G9">_xlfn.LET(_xlpm.id,mets2415[[#This Row],[name w/o location]],IF(IsElementOfSet_DIY(_xlpm.id,{"atp","adp","h","pi","h2o"}),SIGN(mets2415[[#This Row],[raw (GSM) coefficient]])*(ABS(mets2415[[#This Row],[raw (GSM) coefficient]])-$J$2),mets2415[[#This Row],[raw (GSM) coefficient]]))</f>
        <v>0</v>
      </c>
      <c r="H9" s="21">
        <f>mets2415[[#This Row],[coeff. w/o GAM]]</f>
        <v>0</v>
      </c>
      <c r="I9" s="161">
        <f t="shared" si="0"/>
        <v>0</v>
      </c>
      <c r="J9" s="21" cm="1">
        <f t="array" ref="J9">_xlfn.LET(_xlpm.id,mets2415[[#This Row],[name w/o location]],_xlpm.oldcoeff,mets2415[[#This Row],[normalized coeffs]],_xlpm.gam,$J$2-$G$2,_xlfn.IFS(IFERROR(MATCH(_xlpm.id,{"atp","h2o"},0),0)&gt;0,_xlpm.oldcoeff-_xlpm.gam,IFERROR(MATCH(_xlpm.id,{"adp","h","pi"},0),0)&gt;0,_xlpm.oldcoeff+_xlpm.gam,TRUE,_xlpm.oldcoeff))</f>
        <v>186.87473399999999</v>
      </c>
      <c r="K9" t="str" cm="1">
        <f t="array" ref="K9">"BIOSYN-"&amp;_xlfn.IFS(IFERROR(MATCH(mets2415[[#This Row],[category]],{0,"0",""},0),0)&gt;0,mets2415[[#This Row],[name]],TRUE,mets2415[[#This Row],[category]]&amp;"-"&amp;mets2415[[#This Row],[name]])</f>
        <v>BIOSYN-GAM-adp_c</v>
      </c>
      <c r="L9" s="149" t="str" cm="1">
        <f t="array" ref="L9">IF(IsElementOfSet_DIY(mets2415[[#This Row],[category]],{"ignore","PROT"}),"",_xlfn.LET(_xlpm.mw,mets2415[[#This Row],[MW for biomass normalization (g/mol)]],"MET-"&amp;mets2415[[#This Row],[name]]&amp;" --&gt; "&amp;IF((mets2415[[#This Row],[category]]="DNA")+(mets2415[[#This Row],[category]]="RNA"),"MET-ppi_c + ","")&amp;ROUND(ABS(_xlpm.mw/1000),6)&amp;" BIO-"&amp;mets2415[[#This Row],[name]]))</f>
        <v>MET-adp_c --&gt; 0.424177 BIO-adp_c</v>
      </c>
      <c r="M9" s="149" cm="1">
        <f t="array" ref="M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189.454734</v>
      </c>
      <c r="N9" s="149"/>
      <c r="O9" s="162" t="str">
        <v>BIOSYN-LIPID</v>
      </c>
      <c r="P9" s="158" t="str">
        <f t="shared" si="1"/>
        <v>BIOSYN-LIPID</v>
      </c>
      <c r="Q9" s="158" t="str">
        <f>SUBSTITUTE(LOWER(biomassComponents2314[[#This Row],[rxn name]]),"biosyn-","BIO-")</f>
        <v>BIO-lipid</v>
      </c>
      <c r="R9" s="160" cm="1">
        <f t="array" ref="R9">SUM(_xlfn._xlws.FILTER(-mets2415[MW for biomass normalization (g/mol)]*mets2415[normalized coeffs]/1000,mets2415[category]=_xlfn.TEXTAFTER(O9,"BIOSYN-"),""))</f>
        <v>0.45254125524532918</v>
      </c>
      <c r="S9" s="160">
        <v>0.30199999999999999</v>
      </c>
      <c r="T9" s="160" cm="1">
        <f t="array" ref="T9">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0.28981020685998987</v>
      </c>
      <c r="U9" s="158" t="str" cm="1">
        <f t="array" ref="U9">_xlfn.TEXTJOIN(" + ",TRUE,_xlfn._xlws.FILTER(ROUND(-mets2415[MW for biomass normalization (g/mol)]*mets2415[normalized coeffs]*(biomassComponents2314[[#This Row],[normalized coeffs]]/biomassComponents2314[[#This Row],[original coeffs from input]])/(1000*biomassComponents2314[[#This Row],[normalized coeffs]]),6)&amp;" BIO-"&amp;mets2415[name],mets2415[category]=_xlfn.TEXTAFTER(O9,"BIOSYN-"),""))&amp;" --&gt; "&amp;biomassComponents2314[[#This Row],[product name]]</f>
        <v>0.000237 BIO-docosa_c + 0.703037 BIO-epist_c + 0.002149 BIO-hdca_c + 0.045965 BIO-ipc_g + 0.002971 BIO-linoea_c + 0.001167 BIO-linolen_c + 0.002026 BIO-ocdca_c + 0.006151 BIO-ocdcea_c + 0.012655 BIO-pail_c + 0.021662 BIO-pc_c + 0.004953 BIO-pe_c + 0.002804 BIO-ps_c + 0.193201 BIO-tag_c + 0.001023 BIO-ttcosa_c --&gt; BIO-lipid</v>
      </c>
      <c r="V9" s="158" t="str" cm="1">
        <f t="array" ref="V9">_xlfn.TEXTJOIN(" + ",TRUE,_xlfn._xlws.FILTER((-mets2415[normalized coeffs]*biomassComponents2314[[#This Row],[normalized coeffs]]/biomassComponents2314[[#This Row],[original coeffs from input]])&amp;" BIO-"&amp;mets2415[name],mets2415[category]=_xlfn.TEXTAFTER(P9,"BIOSYN-"),""))</f>
        <v>0.000202134646807695 BIO-docosa_c + 0.511075174436277 BIO-epist_c + 0.00243853171356504 BIO-hdca_c + 0.0145543403677477 BIO-ipc_g + 0.00308110031923168 BIO-linoea_c + 0.00121862005918889 BIO-linolen_c + 0.00207171868038047 BIO-ocdca_c + 0.00633333700077658 BIO-ocdcea_c + 0.00425386874927249 BIO-pail_c + 0.00798528724529442 BIO-pc_c + 0.00192899741218718 BIO-pe_c + 0.00103392194740933 BIO-ps_c + 0.0632306881903778 BIO-tag_c + 0.000806601194449877 BIO-ttcosa_c</v>
      </c>
      <c r="X9" s="153" t="s">
        <v>757</v>
      </c>
      <c r="Y9" t="s">
        <v>50</v>
      </c>
      <c r="Z9" t="s">
        <v>755</v>
      </c>
      <c r="AB9" t="str">
        <v>BIOSYN-RNATOBIO</v>
      </c>
      <c r="AC9" t="str">
        <v>BIO-rna --&gt; BIO-varbiom</v>
      </c>
    </row>
    <row r="10" spans="1:33" ht="16" x14ac:dyDescent="0.2">
      <c r="A10" s="144" t="s">
        <v>1054</v>
      </c>
      <c r="B10" t="str">
        <f>SUBSTITUTE(_xlfn.TEXTBEFORE(mets2415[[#This Row],[pasted JSON metabolite keys and values from GSM biomass rxn]],":"),CHAR(34),"")</f>
        <v>alatrna_c</v>
      </c>
      <c r="C10" t="str">
        <f>_xlfn.TEXTBEFORE(mets2415[[#This Row],[name]],"_",-1)</f>
        <v>alatrna</v>
      </c>
      <c r="D10" t="str">
        <f>_xlfn.XLOOKUP(mets2415[[#This Row],[name w/o location]],metaboliteInfo[name w/o location],metaboliteInfo[suggested category],"")</f>
        <v>PROT</v>
      </c>
      <c r="E10" s="21">
        <f>_xlfn.XLOOKUP(mets2415[[#This Row],[name w/o location]],metaboliteInfo[name w/o location],metaboliteInfo[MW for biomass normalization (g/mol)],0)</f>
        <v>72.085840000000005</v>
      </c>
      <c r="F10" s="21">
        <f>_xlfn.NUMBERVALUE(SUBSTITUTE(_xlfn.TEXTAFTER(mets2415[[#This Row],[pasted JSON metabolite keys and values from GSM biomass rxn]],":"),",",""))</f>
        <v>-0.27384599999999998</v>
      </c>
      <c r="G10" s="21" cm="1">
        <f t="array" ref="G10">_xlfn.LET(_xlpm.id,mets2415[[#This Row],[name w/o location]],IF(IsElementOfSet_DIY(_xlpm.id,{"atp","adp","h","pi","h2o"}),SIGN(mets2415[[#This Row],[raw (GSM) coefficient]])*(ABS(mets2415[[#This Row],[raw (GSM) coefficient]])-$J$2),mets2415[[#This Row],[raw (GSM) coefficient]]))</f>
        <v>-0.27384599999999998</v>
      </c>
      <c r="H10" s="21">
        <f>mets2415[[#This Row],[coeff. w/o GAM]]</f>
        <v>-0.27384599999999998</v>
      </c>
      <c r="I10" s="161">
        <f t="shared" si="0"/>
        <v>-0.27615144773927136</v>
      </c>
      <c r="J10" s="21" cm="1">
        <f t="array" ref="J10">_xlfn.LET(_xlpm.id,mets2415[[#This Row],[name w/o location]],_xlpm.oldcoeff,mets2415[[#This Row],[normalized coeffs]],_xlpm.gam,$J$2-$G$2,_xlfn.IFS(IFERROR(MATCH(_xlpm.id,{"atp","h2o"},0),0)&gt;0,_xlpm.oldcoeff-_xlpm.gam,IFERROR(MATCH(_xlpm.id,{"adp","h","pi"},0),0)&gt;0,_xlpm.oldcoeff+_xlpm.gam,TRUE,_xlpm.oldcoeff))</f>
        <v>-0.27615144773927136</v>
      </c>
      <c r="K10" t="str" cm="1">
        <f t="array" ref="K10">"BIOSYN-"&amp;_xlfn.IFS(IFERROR(MATCH(mets2415[[#This Row],[category]],{0,"0",""},0),0)&gt;0,mets2415[[#This Row],[name]],TRUE,mets2415[[#This Row],[category]]&amp;"-"&amp;mets2415[[#This Row],[name]])</f>
        <v>BIOSYN-PROT-alatrna_c</v>
      </c>
      <c r="L10" s="149" t="str" cm="1">
        <f t="array" ref="L10">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10" s="149" cm="1">
        <f t="array" ref="M1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-0.12152877652607451</v>
      </c>
      <c r="N10" s="149"/>
      <c r="O10" s="162" t="str">
        <v>BIOSYN-METAL</v>
      </c>
      <c r="P10" s="158" t="str">
        <f t="shared" si="1"/>
        <v>BIOSYN-METAL</v>
      </c>
      <c r="Q10" s="158" t="str">
        <f>SUBSTITUTE(LOWER(biomassComponents2314[[#This Row],[rxn name]]),"biosyn-","BIO-")</f>
        <v>BIO-metal</v>
      </c>
      <c r="R10" s="160" cm="1">
        <f t="array" ref="R10">SUM(_xlfn._xlws.FILTER(-mets2415[MW for biomass normalization (g/mol)]*mets2415[normalized coeffs]/1000,mets2415[category]=_xlfn.TEXTAFTER(O10,"BIOSYN-"),""))</f>
        <v>2.5565156080925164E-2</v>
      </c>
      <c r="S10" s="160"/>
      <c r="T10" s="160" cm="1">
        <f t="array" ref="T10">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2.5565156080925164E-2</v>
      </c>
      <c r="U10" s="158" t="str" cm="1">
        <f t="array" ref="U10">_xlfn.TEXTJOIN(" + ",TRUE,_xlfn._xlws.FILTER(ROUND(-mets2415[MW for biomass normalization (g/mol)]*mets2415[normalized coeffs]*(biomassComponents2314[[#This Row],[normalized coeffs]]/biomassComponents2314[[#This Row],[original coeffs from input]])/(1000*biomassComponents2314[[#This Row],[normalized coeffs]]),6)&amp;" BIO-"&amp;mets2415[name],mets2415[category]=_xlfn.TEXTAFTER(O10,"BIOSYN-"),""))&amp;" --&gt; "&amp;biomassComponents2314[[#This Row],[product name]]</f>
        <v>0.002033 BIO-ca2_c + 0.000286 BIO-cu2_c + 0.001463 BIO-fe2_c + 0.93097 BIO-k_c + 0.060981 BIO-mg2_c + 0.000204 BIO-mn2_c + 0.004064 BIO-zn2_c --&gt; BIO-metal</v>
      </c>
      <c r="V10" s="158" t="str" cm="1">
        <f t="array" ref="V10">_xlfn.TEXTJOIN(" + ",TRUE,_xlfn._xlws.FILTER((-mets2415[normalized coeffs]*biomassComponents2314[[#This Row],[normalized coeffs]]/biomassComponents2314[[#This Row],[original coeffs from input]])&amp;" BIO-"&amp;mets2415[name],mets2415[category]=_xlfn.TEXTAFTER(P10,"BIOSYN-"),""))</f>
        <v>0.00129682654408939 BIO-ca2_c + 0.000114959740300304 BIO-cu2_c + 0.00066959006631054 BIO-fe2_c + 0.608731993265599 BIO-k_c + 0.0641424929936966 BIO-mg2_c + 9.47913648090223E-05 BIO-mn2_c + 0.00158926798871297 BIO-zn2_c</v>
      </c>
      <c r="X10" s="153" t="s">
        <v>757</v>
      </c>
      <c r="Y10" t="s">
        <v>51</v>
      </c>
      <c r="Z10" t="s">
        <v>756</v>
      </c>
      <c r="AB10" t="str">
        <v>BIOSYN-CARBTOBIO</v>
      </c>
      <c r="AC10" t="str">
        <v>BIO-carb --&gt; BIO-varbiom</v>
      </c>
    </row>
    <row r="11" spans="1:33" ht="16" x14ac:dyDescent="0.2">
      <c r="A11" s="144" t="s">
        <v>958</v>
      </c>
      <c r="B11" t="str">
        <f>SUBSTITUTE(_xlfn.TEXTBEFORE(mets2415[[#This Row],[pasted JSON metabolite keys and values from GSM biomass rxn]],":"),CHAR(34),"")</f>
        <v>amet_c</v>
      </c>
      <c r="C11" t="str">
        <f>_xlfn.TEXTBEFORE(mets2415[[#This Row],[name]],"_",-1)</f>
        <v>amet</v>
      </c>
      <c r="D11" t="str">
        <f>_xlfn.XLOOKUP(mets2415[[#This Row],[name w/o location]],metaboliteInfo[name w/o location],metaboliteInfo[suggested category],"")</f>
        <v>COFACTOR</v>
      </c>
      <c r="E11" s="21">
        <f>_xlfn.XLOOKUP(mets2415[[#This Row],[name w/o location]],metaboliteInfo[name w/o location],metaboliteInfo[MW for biomass normalization (g/mol)],0)</f>
        <v>399.44531999999998</v>
      </c>
      <c r="F11" s="21">
        <f>_xlfn.NUMBERVALUE(SUBSTITUTE(_xlfn.TEXTAFTER(mets2415[[#This Row],[pasted JSON metabolite keys and values from GSM biomass rxn]],":"),",",""))</f>
        <v>-1E-4</v>
      </c>
      <c r="G11" s="21" cm="1">
        <f t="array" ref="G11">_xlfn.LET(_xlpm.id,mets2415[[#This Row],[name w/o location]],IF(IsElementOfSet_DIY(_xlpm.id,{"atp","adp","h","pi","h2o"}),SIGN(mets2415[[#This Row],[raw (GSM) coefficient]])*(ABS(mets2415[[#This Row],[raw (GSM) coefficient]])-$J$2),mets2415[[#This Row],[raw (GSM) coefficient]]))</f>
        <v>-1E-4</v>
      </c>
      <c r="H11" s="21">
        <f>mets2415[[#This Row],[coeff. w/o GAM]]</f>
        <v>-1E-4</v>
      </c>
      <c r="I11" s="161">
        <f t="shared" si="0"/>
        <v>-1.0084187745640667E-4</v>
      </c>
      <c r="J11" s="21" cm="1">
        <f t="array" ref="J11">_xlfn.LET(_xlpm.id,mets2415[[#This Row],[name w/o location]],_xlpm.oldcoeff,mets2415[[#This Row],[normalized coeffs]],_xlpm.gam,$J$2-$G$2,_xlfn.IFS(IFERROR(MATCH(_xlpm.id,{"atp","h2o"},0),0)&gt;0,_xlpm.oldcoeff-_xlpm.gam,IFERROR(MATCH(_xlpm.id,{"adp","h","pi"},0),0)&gt;0,_xlpm.oldcoeff+_xlpm.gam,TRUE,_xlpm.oldcoeff))</f>
        <v>-1.0084187745640667E-4</v>
      </c>
      <c r="K11" t="str" cm="1">
        <f t="array" ref="K11">"BIOSYN-"&amp;_xlfn.IFS(IFERROR(MATCH(mets2415[[#This Row],[category]],{0,"0",""},0),0)&gt;0,mets2415[[#This Row],[name]],TRUE,mets2415[[#This Row],[category]]&amp;"-"&amp;mets2415[[#This Row],[name]])</f>
        <v>BIOSYN-COFACTOR-amet_c</v>
      </c>
      <c r="L11" s="149" t="str" cm="1">
        <f t="array" ref="L11">IF(IsElementOfSet_DIY(mets2415[[#This Row],[category]],{"ignore","PROT"}),"",_xlfn.LET(_xlpm.mw,mets2415[[#This Row],[MW for biomass normalization (g/mol)]],"MET-"&amp;mets2415[[#This Row],[name]]&amp;" --&gt; "&amp;IF((mets2415[[#This Row],[category]]="DNA")+(mets2415[[#This Row],[category]]="RNA"),"MET-ppi_c + ","")&amp;ROUND(ABS(_xlpm.mw/1000),6)&amp;" BIO-"&amp;mets2415[[#This Row],[name]]))</f>
        <v>MET-amet_c --&gt; 0.399445 BIO-amet_c</v>
      </c>
      <c r="M11" s="149" cm="1">
        <f t="array" ref="M1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11" s="149"/>
      <c r="O11" s="162" t="str">
        <v>BIOSYN-PI</v>
      </c>
      <c r="P11" s="158" t="str">
        <f t="shared" si="1"/>
        <v>BIOSYN-PI</v>
      </c>
      <c r="Q11" s="158" t="str">
        <f>SUBSTITUTE(LOWER(biomassComponents2314[[#This Row],[rxn name]]),"biosyn-","BIO-")</f>
        <v>BIO-pi</v>
      </c>
      <c r="R11" s="160" cm="1">
        <f t="array" ref="R11">SUM(_xlfn._xlws.FILTER(-mets2415[MW for biomass normalization (g/mol)]*mets2415[normalized coeffs]/1000,mets2415[category]=_xlfn.TEXTAFTER(O11,"BIOSYN-"),""))</f>
        <v>1.0226065255843646E-2</v>
      </c>
      <c r="S11" s="160"/>
      <c r="T11" s="160" cm="1">
        <f t="array" ref="T11">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1.0226065255843646E-2</v>
      </c>
      <c r="U11" s="158"/>
      <c r="V11" s="158" t="str" cm="1">
        <f t="array" ref="V11">_xlfn.TEXTJOIN(" + ",TRUE,_xlfn._xlws.FILTER((-mets2415[normalized coeffs]*biomassComponents2314[[#This Row],[normalized coeffs]]/biomassComponents2314[[#This Row],[original coeffs from input]])&amp;" BIO-"&amp;mets2415[name],mets2415[category]=_xlfn.TEXTAFTER(P11,"BIOSYN-"),""))</f>
        <v>0.106544485626579 BIO-pi_c</v>
      </c>
      <c r="X11" s="154" t="s">
        <v>52</v>
      </c>
      <c r="Y11" s="152" t="s">
        <v>53</v>
      </c>
      <c r="Z11" s="152" t="s">
        <v>54</v>
      </c>
      <c r="AB11" t="str">
        <v>BIOSYN-PROTMODELED</v>
      </c>
      <c r="AC11" t="str">
        <v>BIO-protmodeled --&gt; BIO-prot</v>
      </c>
    </row>
    <row r="12" spans="1:33" ht="16" x14ac:dyDescent="0.2">
      <c r="A12" s="144" t="s">
        <v>1055</v>
      </c>
      <c r="B12" t="str">
        <f>SUBSTITUTE(_xlfn.TEXTBEFORE(mets2415[[#This Row],[pasted JSON metabolite keys and values from GSM biomass rxn]],":"),CHAR(34),"")</f>
        <v>argtrna_c</v>
      </c>
      <c r="C12" t="str">
        <f>_xlfn.TEXTBEFORE(mets2415[[#This Row],[name]],"_",-1)</f>
        <v>argtrna</v>
      </c>
      <c r="D12" t="str">
        <f>_xlfn.XLOOKUP(mets2415[[#This Row],[name w/o location]],metaboliteInfo[name w/o location],metaboliteInfo[suggested category],"")</f>
        <v>PROT</v>
      </c>
      <c r="E12" s="21">
        <f>_xlfn.XLOOKUP(mets2415[[#This Row],[name w/o location]],metaboliteInfo[name w/o location],metaboliteInfo[MW for biomass normalization (g/mol)],0)</f>
        <v>158.20156</v>
      </c>
      <c r="F12" s="21">
        <f>_xlfn.NUMBERVALUE(SUBSTITUTE(_xlfn.TEXTAFTER(mets2415[[#This Row],[pasted JSON metabolite keys and values from GSM biomass rxn]],":"),",",""))</f>
        <v>-0.108193</v>
      </c>
      <c r="G12" s="21" cm="1">
        <f t="array" ref="G12">_xlfn.LET(_xlpm.id,mets2415[[#This Row],[name w/o location]],IF(IsElementOfSet_DIY(_xlpm.id,{"atp","adp","h","pi","h2o"}),SIGN(mets2415[[#This Row],[raw (GSM) coefficient]])*(ABS(mets2415[[#This Row],[raw (GSM) coefficient]])-$J$2),mets2415[[#This Row],[raw (GSM) coefficient]]))</f>
        <v>-0.108193</v>
      </c>
      <c r="H12" s="21">
        <f>mets2415[[#This Row],[coeff. w/o GAM]]</f>
        <v>-0.108193</v>
      </c>
      <c r="I12" s="161">
        <f t="shared" si="0"/>
        <v>-0.10910385247641005</v>
      </c>
      <c r="J12" s="21" cm="1">
        <f t="array" ref="J12">_xlfn.LET(_xlpm.id,mets2415[[#This Row],[name w/o location]],_xlpm.oldcoeff,mets2415[[#This Row],[normalized coeffs]],_xlpm.gam,$J$2-$G$2,_xlfn.IFS(IFERROR(MATCH(_xlpm.id,{"atp","h2o"},0),0)&gt;0,_xlpm.oldcoeff-_xlpm.gam,IFERROR(MATCH(_xlpm.id,{"adp","h","pi"},0),0)&gt;0,_xlpm.oldcoeff+_xlpm.gam,TRUE,_xlpm.oldcoeff))</f>
        <v>-0.10910385247641005</v>
      </c>
      <c r="K12" t="str" cm="1">
        <f t="array" ref="K12">"BIOSYN-"&amp;_xlfn.IFS(IFERROR(MATCH(mets2415[[#This Row],[category]],{0,"0",""},0),0)&gt;0,mets2415[[#This Row],[name]],TRUE,mets2415[[#This Row],[category]]&amp;"-"&amp;mets2415[[#This Row],[name]])</f>
        <v>BIOSYN-PROT-argtrna_c</v>
      </c>
      <c r="L12" s="149" t="str" cm="1">
        <f t="array" ref="L12">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12" s="149" cm="1">
        <f t="array" ref="M1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-4.801444212690921E-2</v>
      </c>
      <c r="N12" s="149"/>
      <c r="O12" s="162" t="str">
        <v>BIOSYN-PROT</v>
      </c>
      <c r="P12" s="158" t="str">
        <f t="shared" si="1"/>
        <v>BIOSYN-PROT</v>
      </c>
      <c r="Q12" s="158" t="s">
        <v>768</v>
      </c>
      <c r="R12" s="160" cm="1">
        <f t="array" ref="R12">SUM(_xlfn._xlws.FILTER(-mets2415[MW for biomass normalization (g/mol)]*mets2415[normalized coeffs]/1000,mets2415[category]=_xlfn.TEXTAFTER(O12,"BIOSYN-"),""))</f>
        <v>0.30964443341325998</v>
      </c>
      <c r="S12" s="160">
        <v>0.14199999999999999</v>
      </c>
      <c r="T12" s="160" cm="1">
        <f t="array" ref="T12">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0.1362683754109886</v>
      </c>
      <c r="U12" s="158"/>
      <c r="V12" s="158" t="str" cm="1">
        <f t="array" ref="V12">_xlfn.TEXTJOIN(" + ",TRUE,_xlfn._xlws.FILTER((-mets2415[normalized coeffs]*biomassComponents2314[[#This Row],[normalized coeffs]]/biomassComponents2314[[#This Row],[original coeffs from input]])&amp;" BIO-"&amp;mets2415[name],mets2415[category]=_xlfn.TEXTAFTER(P12,"BIOSYN-"),""))</f>
        <v>0.121528776526074 BIO-alatrna_c + 0.0480144421269092 BIO-argtrna_c + 0.0577169159303957 BIO-asntrna_c + 0.0577169159303957 BIO-asptrna_c + 0.00174141276150945 BIO-cystrna_c + 0.0962774039139727 BIO-glntrna_c + 0.0962774039139727 BIO-glutrna_c + 0.110582373066494 BIO-glytrna_c + 0.0240069991709009 BIO-histrna_c + 0.0732653709539036 BIO-iletrna_c + 0.0996359696069144 BIO-leutrna_c + 0.0817239151012966 BIO-lystrna_c + 0.0141802655373373 BIO-mettrna_c + 0.0467705124708157 BIO-phetrna_c + 0.05249223386076 BIO-protrna_c + 0.0662997199078658 BIO-sertrna_c + 0.0692850623254688 BIO-thrtrna_c + 0.00808532087205419 BIO-trptrna_c + 0.0243802224462397 BIO-tyrtrna_c + 0.0911774254595214 BIO-valtrna_c</v>
      </c>
      <c r="X12" s="154" t="s">
        <v>52</v>
      </c>
      <c r="Y12" s="152" t="s">
        <v>55</v>
      </c>
      <c r="Z12" s="152" t="s">
        <v>56</v>
      </c>
      <c r="AB12" t="str">
        <v>BIOSYN-PROTDUMMY</v>
      </c>
      <c r="AC12" t="str">
        <v>BIO-protdummy --&gt; BIO-prot</v>
      </c>
    </row>
    <row r="13" spans="1:33" ht="16" x14ac:dyDescent="0.2">
      <c r="A13" s="144" t="s">
        <v>1056</v>
      </c>
      <c r="B13" t="str">
        <f>SUBSTITUTE(_xlfn.TEXTBEFORE(mets2415[[#This Row],[pasted JSON metabolite keys and values from GSM biomass rxn]],":"),CHAR(34),"")</f>
        <v>asntrna_c</v>
      </c>
      <c r="C13" t="str">
        <f>_xlfn.TEXTBEFORE(mets2415[[#This Row],[name]],"_",-1)</f>
        <v>asntrna</v>
      </c>
      <c r="D13" t="str">
        <f>_xlfn.XLOOKUP(mets2415[[#This Row],[name w/o location]],metaboliteInfo[name w/o location],metaboliteInfo[suggested category],"")</f>
        <v>PROT</v>
      </c>
      <c r="E13" s="21">
        <f>_xlfn.XLOOKUP(mets2415[[#This Row],[name w/o location]],metaboliteInfo[name w/o location],metaboliteInfo[MW for biomass normalization (g/mol)],0)</f>
        <v>115.11058</v>
      </c>
      <c r="F13" s="21">
        <f>_xlfn.NUMBERVALUE(SUBSTITUTE(_xlfn.TEXTAFTER(mets2415[[#This Row],[pasted JSON metabolite keys and values from GSM biomass rxn]],":"),",",""))</f>
        <v>-0.130056</v>
      </c>
      <c r="G13" s="21" cm="1">
        <f t="array" ref="G13">_xlfn.LET(_xlpm.id,mets2415[[#This Row],[name w/o location]],IF(IsElementOfSet_DIY(_xlpm.id,{"atp","adp","h","pi","h2o"}),SIGN(mets2415[[#This Row],[raw (GSM) coefficient]])*(ABS(mets2415[[#This Row],[raw (GSM) coefficient]])-$J$2),mets2415[[#This Row],[raw (GSM) coefficient]]))</f>
        <v>-0.130056</v>
      </c>
      <c r="H13" s="21">
        <f>mets2415[[#This Row],[coeff. w/o GAM]]</f>
        <v>-0.130056</v>
      </c>
      <c r="I13" s="161">
        <f t="shared" si="0"/>
        <v>-0.13115091214470426</v>
      </c>
      <c r="J13" s="21" cm="1">
        <f t="array" ref="J13">_xlfn.LET(_xlpm.id,mets2415[[#This Row],[name w/o location]],_xlpm.oldcoeff,mets2415[[#This Row],[normalized coeffs]],_xlpm.gam,$J$2-$G$2,_xlfn.IFS(IFERROR(MATCH(_xlpm.id,{"atp","h2o"},0),0)&gt;0,_xlpm.oldcoeff-_xlpm.gam,IFERROR(MATCH(_xlpm.id,{"adp","h","pi"},0),0)&gt;0,_xlpm.oldcoeff+_xlpm.gam,TRUE,_xlpm.oldcoeff))</f>
        <v>-0.13115091214470426</v>
      </c>
      <c r="K13" t="str" cm="1">
        <f t="array" ref="K13">"BIOSYN-"&amp;_xlfn.IFS(IFERROR(MATCH(mets2415[[#This Row],[category]],{0,"0",""},0),0)&gt;0,mets2415[[#This Row],[name]],TRUE,mets2415[[#This Row],[category]]&amp;"-"&amp;mets2415[[#This Row],[name]])</f>
        <v>BIOSYN-PROT-asntrna_c</v>
      </c>
      <c r="L13" s="149" t="str" cm="1">
        <f t="array" ref="L13">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13" s="149" cm="1">
        <f t="array" ref="M1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-5.7716915930395726E-2</v>
      </c>
      <c r="N13" s="149"/>
      <c r="O13" s="162" t="str">
        <v>BIOSYN-RNA</v>
      </c>
      <c r="P13" s="158" t="str">
        <f t="shared" si="1"/>
        <v>BIOSYN-RNA</v>
      </c>
      <c r="Q13" s="158" t="str">
        <f>SUBSTITUTE(LOWER(biomassComponents2314[[#This Row],[rxn name]]),"biosyn-","BIO-")</f>
        <v>BIO-rna</v>
      </c>
      <c r="R13" s="160" cm="1">
        <f t="array" ref="R13">SUM(_xlfn._xlws.FILTER(-mets2415[MW for biomass normalization (g/mol)]*mets2415[normalized coeffs]/1000,mets2415[category]=_xlfn.TEXTAFTER(O13,"BIOSYN-"),""))</f>
        <v>3.847247503387613E-2</v>
      </c>
      <c r="S13" s="160">
        <v>2.1000000000000001E-2</v>
      </c>
      <c r="T13" s="160" cm="1">
        <f t="array" ref="T13">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2.0152365377681419E-2</v>
      </c>
      <c r="U13" s="163" t="s">
        <v>81</v>
      </c>
      <c r="V13" s="158" t="str" cm="1">
        <f t="array" ref="V13">_xlfn.TEXTJOIN(" + ",TRUE,_xlfn._xlws.FILTER((-mets2415[normalized coeffs]*biomassComponents2314[[#This Row],[normalized coeffs]]/biomassComponents2314[[#This Row],[original coeffs from input]])&amp;" BIO-"&amp;mets2415[name],mets2415[category]=_xlfn.TEXTAFTER(P13,"BIOSYN-"),""))</f>
        <v>0.000845684083303433 BIO-atp_c + 0.025955792932871 BIO-ctp_c + 0.0227426159942358 BIO-gtp_c + 0.013605424693149 BIO-utp_c</v>
      </c>
      <c r="X13" s="154" t="s">
        <v>52</v>
      </c>
      <c r="Y13" s="152" t="s">
        <v>59</v>
      </c>
      <c r="Z13" s="152" t="s">
        <v>60</v>
      </c>
      <c r="AB13" t="str">
        <v>BIOSYN-PROTCYT</v>
      </c>
      <c r="AC13" t="str">
        <v>BIO-protcyt --&gt; BIO-protmodeled</v>
      </c>
    </row>
    <row r="14" spans="1:33" ht="16" x14ac:dyDescent="0.2">
      <c r="A14" s="144" t="s">
        <v>1057</v>
      </c>
      <c r="B14" t="str">
        <f>SUBSTITUTE(_xlfn.TEXTBEFORE(mets2415[[#This Row],[pasted JSON metabolite keys and values from GSM biomass rxn]],":"),CHAR(34),"")</f>
        <v>asptrna_c</v>
      </c>
      <c r="C14" t="str">
        <f>_xlfn.TEXTBEFORE(mets2415[[#This Row],[name]],"_",-1)</f>
        <v>asptrna</v>
      </c>
      <c r="D14" t="str">
        <f>_xlfn.XLOOKUP(mets2415[[#This Row],[name w/o location]],metaboliteInfo[name w/o location],metaboliteInfo[suggested category],"")</f>
        <v>PROT</v>
      </c>
      <c r="E14" s="21">
        <f>_xlfn.XLOOKUP(mets2415[[#This Row],[name w/o location]],metaboliteInfo[name w/o location],metaboliteInfo[MW for biomass normalization (g/mol)],0)</f>
        <v>115.0874</v>
      </c>
      <c r="F14" s="21">
        <f>_xlfn.NUMBERVALUE(SUBSTITUTE(_xlfn.TEXTAFTER(mets2415[[#This Row],[pasted JSON metabolite keys and values from GSM biomass rxn]],":"),",",""))</f>
        <v>-0.130056</v>
      </c>
      <c r="G14" s="21" cm="1">
        <f t="array" ref="G14">_xlfn.LET(_xlpm.id,mets2415[[#This Row],[name w/o location]],IF(IsElementOfSet_DIY(_xlpm.id,{"atp","adp","h","pi","h2o"}),SIGN(mets2415[[#This Row],[raw (GSM) coefficient]])*(ABS(mets2415[[#This Row],[raw (GSM) coefficient]])-$J$2),mets2415[[#This Row],[raw (GSM) coefficient]]))</f>
        <v>-0.130056</v>
      </c>
      <c r="H14" s="21">
        <f>mets2415[[#This Row],[coeff. w/o GAM]]</f>
        <v>-0.130056</v>
      </c>
      <c r="I14" s="161">
        <f t="shared" si="0"/>
        <v>-0.13115091214470426</v>
      </c>
      <c r="J14" s="21" cm="1">
        <f t="array" ref="J14">_xlfn.LET(_xlpm.id,mets2415[[#This Row],[name w/o location]],_xlpm.oldcoeff,mets2415[[#This Row],[normalized coeffs]],_xlpm.gam,$J$2-$G$2,_xlfn.IFS(IFERROR(MATCH(_xlpm.id,{"atp","h2o"},0),0)&gt;0,_xlpm.oldcoeff-_xlpm.gam,IFERROR(MATCH(_xlpm.id,{"adp","h","pi"},0),0)&gt;0,_xlpm.oldcoeff+_xlpm.gam,TRUE,_xlpm.oldcoeff))</f>
        <v>-0.13115091214470426</v>
      </c>
      <c r="K14" t="str" cm="1">
        <f t="array" ref="K14">"BIOSYN-"&amp;_xlfn.IFS(IFERROR(MATCH(mets2415[[#This Row],[category]],{0,"0",""},0),0)&gt;0,mets2415[[#This Row],[name]],TRUE,mets2415[[#This Row],[category]]&amp;"-"&amp;mets2415[[#This Row],[name]])</f>
        <v>BIOSYN-PROT-asptrna_c</v>
      </c>
      <c r="L14" s="149" t="str" cm="1">
        <f t="array" ref="L14">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14" s="149" cm="1">
        <f t="array" ref="M1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-5.7716915930395726E-2</v>
      </c>
      <c r="N14" s="149"/>
      <c r="O14" s="162" t="str">
        <v>BIOSYN-SO4</v>
      </c>
      <c r="P14" s="158" t="str">
        <f t="shared" si="1"/>
        <v>BIOSYN-SO4</v>
      </c>
      <c r="Q14" s="158" t="str">
        <f>SUBSTITUTE(LOWER(biomassComponents2314[[#This Row],[rxn name]]),"biosyn-","BIO-")</f>
        <v>BIO-so4</v>
      </c>
      <c r="R14" s="160" cm="1">
        <f t="array" ref="R14">SUM(_xlfn._xlws.FILTER(-mets2415[MW for biomass normalization (g/mol)]*mets2415[normalized coeffs]/1000,mets2415[category]=_xlfn.TEXTAFTER(O14,"BIOSYN-"),""))</f>
        <v>3.0246135170268577E-3</v>
      </c>
      <c r="S14" s="160"/>
      <c r="T14" s="160" cm="1">
        <f t="array" ref="T14">IF(biomassComponents2314[[#This Row],[pre-determined coeffs]]&lt;&gt;"",biomassComponents2314[[#This Row],[pre-determined coeffs]]*IF(SUM(biomassComponents2314[pre-determined coeffs])&gt;1,1/SUM(biomassComponents2314[pre-determined coeffs]),1)*(1-SUM(_xlfn._xlws.FILTER(biomassComponents2314[original coeffs from input],biomassComponents2314[pre-determined coeffs]=""))),biomassComponents2314[[#This Row],[original coeffs from input]])</f>
        <v>3.0246135170268577E-3</v>
      </c>
      <c r="U14" s="158"/>
      <c r="V14" s="158" t="str" cm="1">
        <f t="array" ref="V14">_xlfn.TEXTJOIN(" + ",TRUE,_xlfn._xlws.FILTER((-mets2415[normalized coeffs]*biomassComponents2314[[#This Row],[normalized coeffs]]/biomassComponents2314[[#This Row],[original coeffs from input]])&amp;" BIO-"&amp;mets2415[name],mets2415[category]=_xlfn.TEXTAFTER(P14,"BIOSYN-"),""))</f>
        <v>0.0314858593982138 BIO-so4_c</v>
      </c>
      <c r="X14" s="154" t="s">
        <v>52</v>
      </c>
      <c r="Y14" s="152" t="s">
        <v>61</v>
      </c>
      <c r="Z14" s="152" t="s">
        <v>62</v>
      </c>
      <c r="AB14" t="str">
        <v>BIOSYN-PROTMITO</v>
      </c>
      <c r="AC14" t="str">
        <v>BIO-protmito --&gt; BIO-protmodeled</v>
      </c>
    </row>
    <row r="15" spans="1:33" ht="16" x14ac:dyDescent="0.2">
      <c r="A15" s="144" t="s">
        <v>1058</v>
      </c>
      <c r="B15" t="str">
        <f>SUBSTITUTE(_xlfn.TEXTBEFORE(mets2415[[#This Row],[pasted JSON metabolite keys and values from GSM biomass rxn]],":"),CHAR(34),"")</f>
        <v>atp_c</v>
      </c>
      <c r="C15" t="str">
        <f>_xlfn.TEXTBEFORE(mets2415[[#This Row],[name]],"_",-1)</f>
        <v>atp</v>
      </c>
      <c r="D15" t="str">
        <f>_xlfn.XLOOKUP(mets2415[[#This Row],[name w/o location]],metaboliteInfo[name w/o location],metaboliteInfo[suggested category],"")</f>
        <v>RNA</v>
      </c>
      <c r="E15" s="21">
        <f>_xlfn.XLOOKUP(mets2415[[#This Row],[name w/o location]],metaboliteInfo[name w/o location],metaboliteInfo[MW for biomass normalization (g/mol)],0)</f>
        <v>328.19800099999998</v>
      </c>
      <c r="F15" s="21">
        <f>_xlfn.NUMBERVALUE(SUBSTITUTE(_xlfn.TEXTAFTER(mets2415[[#This Row],[pasted JSON metabolite keys and values from GSM biomass rxn]],":"),",",""))</f>
        <v>-189.456335</v>
      </c>
      <c r="G15" s="21" cm="1">
        <f t="array" ref="G15">_xlfn.LET(_xlpm.id,mets2415[[#This Row],[name w/o location]],IF(IsElementOfSet_DIY(_xlpm.id,{"atp","adp","h","pi","h2o"}),SIGN(mets2415[[#This Row],[raw (GSM) coefficient]])*(ABS(mets2415[[#This Row],[raw (GSM) coefficient]])-$J$2),mets2415[[#This Row],[raw (GSM) coefficient]]))</f>
        <v>-1.6009999999937463E-3</v>
      </c>
      <c r="H15" s="21">
        <f>mets2415[[#This Row],[coeff. w/o GAM]]</f>
        <v>-1.6009999999937463E-3</v>
      </c>
      <c r="I15" s="161">
        <f t="shared" si="0"/>
        <v>-1.6144784580707642E-3</v>
      </c>
      <c r="J15" s="21" cm="1">
        <f t="array" ref="J15">_xlfn.LET(_xlpm.id,mets2415[[#This Row],[name w/o location]],_xlpm.oldcoeff,mets2415[[#This Row],[normalized coeffs]],_xlpm.gam,$J$2-$G$2,_xlfn.IFS(IFERROR(MATCH(_xlpm.id,{"atp","h2o"},0),0)&gt;0,_xlpm.oldcoeff-_xlpm.gam,IFERROR(MATCH(_xlpm.id,{"adp","h","pi"},0),0)&gt;0,_xlpm.oldcoeff+_xlpm.gam,TRUE,_xlpm.oldcoeff))</f>
        <v>-186.87634847845806</v>
      </c>
      <c r="K15" t="str" cm="1">
        <f t="array" ref="K15">"BIOSYN-"&amp;_xlfn.IFS(IFERROR(MATCH(mets2415[[#This Row],[category]],{0,"0",""},0),0)&gt;0,mets2415[[#This Row],[name]],TRUE,mets2415[[#This Row],[category]]&amp;"-"&amp;mets2415[[#This Row],[name]])</f>
        <v>BIOSYN-RNA-atp_c</v>
      </c>
      <c r="L15" s="149" t="str" cm="1">
        <f t="array" ref="L15">IF(IsElementOfSet_DIY(mets2415[[#This Row],[category]],{"ignore","PROT"}),"",_xlfn.LET(_xlpm.mw,mets2415[[#This Row],[MW for biomass normalization (g/mol)]],"MET-"&amp;mets2415[[#This Row],[name]]&amp;" --&gt; "&amp;IF((mets2415[[#This Row],[category]]="DNA")+(mets2415[[#This Row],[category]]="RNA"),"MET-ppi_c + ","")&amp;ROUND(ABS(_xlpm.mw/1000),6)&amp;" BIO-"&amp;mets2415[[#This Row],[name]]))</f>
        <v>MET-atp_c --&gt; MET-ppi_c + 0.328198 BIO-atp_c</v>
      </c>
      <c r="M15" s="149" cm="1">
        <f t="array" ref="M1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-189.45557968408332</v>
      </c>
      <c r="N15" s="149"/>
      <c r="O15" s="149"/>
      <c r="P15" s="149"/>
      <c r="Q15" s="149"/>
      <c r="R15" s="149"/>
      <c r="S15" s="149"/>
      <c r="T15" s="149"/>
      <c r="U15" s="149"/>
      <c r="V15" s="149"/>
      <c r="X15" s="154"/>
      <c r="Y15" s="152" t="s">
        <v>763</v>
      </c>
      <c r="Z15" s="152" t="str" cm="1">
        <f t="array" ref="Z15">_xlfn.LET(_xlpm.RNAmass,_xlfn.XLOOKUP("BIOSYN-RNA",biomassComponents2314[rxn name],biomassComponents2314[normalized coeffs],0),_xlpm.coeff,1/_xlpm.RNAmass,_xlfn.TEXTJOIN(" + ",TRUE,_xlfn._xlws.FILTER(ROUND(-mets2415[MW for biomass normalization (g/mol)]*mets2415[normalized coeffs]/(1000),6)*_xlpm.coeff&amp;" BIO-"&amp;mets2415[name],mets2415[category]="RNA",""))&amp;" --&gt; "&amp;SUBSTITUTE(LOWER(ExtraRxns2210[[#This Row],[name]]),"biosyn-","BIO-"))</f>
        <v>0.026299642253756 BIO-atp_c + 0.747902279337001 BIO-ctp_c + 0.741550667622887 BIO-gtp_c + 0.393303706609944 BIO-utp_c --&gt; BIO-trna</v>
      </c>
      <c r="AB15" t="str">
        <v>BIOSYN-TRNA</v>
      </c>
      <c r="AC15" t="str">
        <v>0.026299642253756 BIO-atp_c + 0.747902279337001 BIO-ctp_c + 0.741550667622887 BIO-gtp_c + 0.393303706609944 BIO-utp_c --&gt; BIO-trna</v>
      </c>
    </row>
    <row r="16" spans="1:33" ht="16" x14ac:dyDescent="0.2">
      <c r="A16" s="144" t="s">
        <v>962</v>
      </c>
      <c r="B16" t="str">
        <f>SUBSTITUTE(_xlfn.TEXTBEFORE(mets2415[[#This Row],[pasted JSON metabolite keys and values from GSM biomass rxn]],":"),CHAR(34),"")</f>
        <v>btn_c</v>
      </c>
      <c r="C16" t="str">
        <f>_xlfn.TEXTBEFORE(mets2415[[#This Row],[name]],"_",-1)</f>
        <v>btn</v>
      </c>
      <c r="D16" t="str">
        <f>_xlfn.XLOOKUP(mets2415[[#This Row],[name w/o location]],metaboliteInfo[name w/o location],metaboliteInfo[suggested category],"")</f>
        <v>COFACTOR</v>
      </c>
      <c r="E16" s="21">
        <f>_xlfn.XLOOKUP(mets2415[[#This Row],[name w/o location]],metaboliteInfo[name w/o location],metaboliteInfo[MW for biomass normalization (g/mol)],0)</f>
        <v>243.30269999999999</v>
      </c>
      <c r="F16" s="21">
        <f>_xlfn.NUMBERVALUE(SUBSTITUTE(_xlfn.TEXTAFTER(mets2415[[#This Row],[pasted JSON metabolite keys and values from GSM biomass rxn]],":"),",",""))</f>
        <v>-1E-4</v>
      </c>
      <c r="G16" s="21" cm="1">
        <f t="array" ref="G16">_xlfn.LET(_xlpm.id,mets2415[[#This Row],[name w/o location]],IF(IsElementOfSet_DIY(_xlpm.id,{"atp","adp","h","pi","h2o"}),SIGN(mets2415[[#This Row],[raw (GSM) coefficient]])*(ABS(mets2415[[#This Row],[raw (GSM) coefficient]])-$J$2),mets2415[[#This Row],[raw (GSM) coefficient]]))</f>
        <v>-1E-4</v>
      </c>
      <c r="H16" s="21">
        <f>mets2415[[#This Row],[coeff. w/o GAM]]</f>
        <v>-1E-4</v>
      </c>
      <c r="I16" s="161">
        <f t="shared" si="0"/>
        <v>-1.0084187745640667E-4</v>
      </c>
      <c r="J16" s="21" cm="1">
        <f t="array" ref="J16">_xlfn.LET(_xlpm.id,mets2415[[#This Row],[name w/o location]],_xlpm.oldcoeff,mets2415[[#This Row],[normalized coeffs]],_xlpm.gam,$J$2-$G$2,_xlfn.IFS(IFERROR(MATCH(_xlpm.id,{"atp","h2o"},0),0)&gt;0,_xlpm.oldcoeff-_xlpm.gam,IFERROR(MATCH(_xlpm.id,{"adp","h","pi"},0),0)&gt;0,_xlpm.oldcoeff+_xlpm.gam,TRUE,_xlpm.oldcoeff))</f>
        <v>-1.0084187745640667E-4</v>
      </c>
      <c r="K16" t="str" cm="1">
        <f t="array" ref="K16">"BIOSYN-"&amp;_xlfn.IFS(IFERROR(MATCH(mets2415[[#This Row],[category]],{0,"0",""},0),0)&gt;0,mets2415[[#This Row],[name]],TRUE,mets2415[[#This Row],[category]]&amp;"-"&amp;mets2415[[#This Row],[name]])</f>
        <v>BIOSYN-COFACTOR-btn_c</v>
      </c>
      <c r="L16" s="149" t="str" cm="1">
        <f t="array" ref="L16">IF(IsElementOfSet_DIY(mets2415[[#This Row],[category]],{"ignore","PROT"}),"",_xlfn.LET(_xlpm.mw,mets2415[[#This Row],[MW for biomass normalization (g/mol)]],"MET-"&amp;mets2415[[#This Row],[name]]&amp;" --&gt; "&amp;IF((mets2415[[#This Row],[category]]="DNA")+(mets2415[[#This Row],[category]]="RNA"),"MET-ppi_c + ","")&amp;ROUND(ABS(_xlpm.mw/1000),6)&amp;" BIO-"&amp;mets2415[[#This Row],[name]]))</f>
        <v>MET-btn_c --&gt; 0.243303 BIO-btn_c</v>
      </c>
      <c r="M16" s="149" cm="1">
        <f t="array" ref="M1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16" s="149"/>
      <c r="O16" s="149"/>
      <c r="P16" s="145"/>
      <c r="Q16" s="166"/>
      <c r="R16" s="95"/>
      <c r="S16" s="149"/>
      <c r="T16" s="149"/>
      <c r="U16" s="149"/>
      <c r="V16" s="149"/>
      <c r="X16" s="154"/>
      <c r="Y16" s="152" t="s">
        <v>765</v>
      </c>
      <c r="Z16" s="152" t="str" cm="1">
        <f t="array" ref="Z16">_xlfn.LET(_xlpm.RNAmass,_xlfn.XLOOKUP("BIOSYN-RNA",biomassComponents2314[rxn name],biomassComponents2314[normalized coeffs],0),_xlpm.coeff,1/_xlpm.RNAmass,_xlfn.TEXTJOIN(" + ",TRUE,_xlfn._xlws.FILTER(ROUND(-mets2415[MW for biomass normalization (g/mol)]*mets2415[normalized coeffs]/(1000),6)*_xlpm.coeff&amp;" BIO-"&amp;mets2415[name],mets2415[category]="RNA",""))&amp;" --&gt; "&amp;SUBSTITUTE(LOWER(ExtraRxns2210[[#This Row],[name]]),"biosyn-","BIO-"))</f>
        <v>0.026299642253756 BIO-atp_c + 0.747902279337001 BIO-ctp_c + 0.741550667622887 BIO-gtp_c + 0.393303706609944 BIO-utp_c --&gt; BIO-rrna</v>
      </c>
      <c r="AB16" t="str">
        <v>BIOSYN-RRNA</v>
      </c>
      <c r="AC16" t="str">
        <v>0.026299642253756 BIO-atp_c + 0.747902279337001 BIO-ctp_c + 0.741550667622887 BIO-gtp_c + 0.393303706609944 BIO-utp_c --&gt; BIO-rrna</v>
      </c>
    </row>
    <row r="17" spans="1:29" ht="16" x14ac:dyDescent="0.2">
      <c r="A17" s="144" t="s">
        <v>963</v>
      </c>
      <c r="B17" t="str">
        <f>SUBSTITUTE(_xlfn.TEXTBEFORE(mets2415[[#This Row],[pasted JSON metabolite keys and values from GSM biomass rxn]],":"),CHAR(34),"")</f>
        <v>ca2_c</v>
      </c>
      <c r="C17" t="str">
        <f>_xlfn.TEXTBEFORE(mets2415[[#This Row],[name]],"_",-1)</f>
        <v>ca2</v>
      </c>
      <c r="D17" t="str">
        <f>_xlfn.XLOOKUP(mets2415[[#This Row],[name w/o location]],metaboliteInfo[name w/o location],metaboliteInfo[suggested category],"")</f>
        <v>METAL</v>
      </c>
      <c r="E17" s="21">
        <f>_xlfn.XLOOKUP(mets2415[[#This Row],[name w/o location]],metaboliteInfo[name w/o location],metaboliteInfo[MW for biomass normalization (g/mol)],0)</f>
        <v>40.078000000000003</v>
      </c>
      <c r="F17" s="21">
        <f>_xlfn.NUMBERVALUE(SUBSTITUTE(_xlfn.TEXTAFTER(mets2415[[#This Row],[pasted JSON metabolite keys and values from GSM biomass rxn]],":"),",",""))</f>
        <v>-1.286E-3</v>
      </c>
      <c r="G17" s="21" cm="1">
        <f t="array" ref="G17">_xlfn.LET(_xlpm.id,mets2415[[#This Row],[name w/o location]],IF(IsElementOfSet_DIY(_xlpm.id,{"atp","adp","h","pi","h2o"}),SIGN(mets2415[[#This Row],[raw (GSM) coefficient]])*(ABS(mets2415[[#This Row],[raw (GSM) coefficient]])-$J$2),mets2415[[#This Row],[raw (GSM) coefficient]]))</f>
        <v>-1.286E-3</v>
      </c>
      <c r="H17" s="21">
        <f>mets2415[[#This Row],[coeff. w/o GAM]]</f>
        <v>-1.286E-3</v>
      </c>
      <c r="I17" s="161">
        <f t="shared" si="0"/>
        <v>-1.2968265440893897E-3</v>
      </c>
      <c r="J17" s="21" cm="1">
        <f t="array" ref="J17">_xlfn.LET(_xlpm.id,mets2415[[#This Row],[name w/o location]],_xlpm.oldcoeff,mets2415[[#This Row],[normalized coeffs]],_xlpm.gam,$J$2-$G$2,_xlfn.IFS(IFERROR(MATCH(_xlpm.id,{"atp","h2o"},0),0)&gt;0,_xlpm.oldcoeff-_xlpm.gam,IFERROR(MATCH(_xlpm.id,{"adp","h","pi"},0),0)&gt;0,_xlpm.oldcoeff+_xlpm.gam,TRUE,_xlpm.oldcoeff))</f>
        <v>-1.2968265440893897E-3</v>
      </c>
      <c r="K17" t="str" cm="1">
        <f t="array" ref="K17">"BIOSYN-"&amp;_xlfn.IFS(IFERROR(MATCH(mets2415[[#This Row],[category]],{0,"0",""},0),0)&gt;0,mets2415[[#This Row],[name]],TRUE,mets2415[[#This Row],[category]]&amp;"-"&amp;mets2415[[#This Row],[name]])</f>
        <v>BIOSYN-METAL-ca2_c</v>
      </c>
      <c r="L17" s="149" t="str" cm="1">
        <f t="array" ref="L17">IF(IsElementOfSet_DIY(mets2415[[#This Row],[category]],{"ignore","PROT"}),"",_xlfn.LET(_xlpm.mw,mets2415[[#This Row],[MW for biomass normalization (g/mol)]],"MET-"&amp;mets2415[[#This Row],[name]]&amp;" --&gt; "&amp;IF((mets2415[[#This Row],[category]]="DNA")+(mets2415[[#This Row],[category]]="RNA"),"MET-ppi_c + ","")&amp;ROUND(ABS(_xlpm.mw/1000),6)&amp;" BIO-"&amp;mets2415[[#This Row],[name]]))</f>
        <v>MET-ca2_c --&gt; 0.040078 BIO-ca2_c</v>
      </c>
      <c r="M17" s="149" cm="1">
        <f t="array" ref="M1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-1.2968265440893897E-3</v>
      </c>
      <c r="N17" s="149"/>
      <c r="O17" s="149"/>
      <c r="P17" s="169"/>
      <c r="Q17" s="169"/>
      <c r="R17" s="169"/>
      <c r="S17" s="169"/>
      <c r="T17" s="169"/>
      <c r="U17" s="169"/>
      <c r="V17" s="149"/>
      <c r="X17" s="154"/>
      <c r="Y17" s="152" t="s">
        <v>764</v>
      </c>
      <c r="Z17" s="152" t="str" cm="1">
        <f t="array" ref="Z17">_xlfn.LET(_xlpm.RNAmass,_xlfn.XLOOKUP("BIOSYN-RNA",biomassComponents2314[rxn name],biomassComponents2314[normalized coeffs],0),_xlpm.coeff,1/_xlpm.RNAmass,_xlfn.TEXTJOIN(" + ",TRUE,_xlfn._xlws.FILTER(ROUND(-mets2415[MW for biomass normalization (g/mol)]*mets2415[normalized coeffs]/(1000),6)*_xlpm.coeff&amp;" BIO-"&amp;mets2415[name],mets2415[category]="RNA",""))&amp;" --&gt; "&amp;SUBSTITUTE(LOWER(ExtraRxns2210[[#This Row],[name]]),"biosyn-","BIO-"))</f>
        <v>0.026299642253756 BIO-atp_c + 0.747902279337001 BIO-ctp_c + 0.741550667622887 BIO-gtp_c + 0.393303706609944 BIO-utp_c --&gt; BIO-mrna</v>
      </c>
      <c r="AB17" t="str">
        <v>BIOSYN-MRNA</v>
      </c>
      <c r="AC17" t="str">
        <v>0.026299642253756 BIO-atp_c + 0.747902279337001 BIO-ctp_c + 0.741550667622887 BIO-gtp_c + 0.393303706609944 BIO-utp_c --&gt; BIO-mrna</v>
      </c>
    </row>
    <row r="18" spans="1:29" ht="16" x14ac:dyDescent="0.2">
      <c r="A18" s="144" t="s">
        <v>1059</v>
      </c>
      <c r="B18" t="str">
        <f>SUBSTITUTE(_xlfn.TEXTBEFORE(mets2415[[#This Row],[pasted JSON metabolite keys and values from GSM biomass rxn]],":"),CHAR(34),"")</f>
        <v>chtn_c</v>
      </c>
      <c r="C18" t="str">
        <f>_xlfn.TEXTBEFORE(mets2415[[#This Row],[name]],"_",-1)</f>
        <v>chtn</v>
      </c>
      <c r="D18" t="str">
        <f>_xlfn.XLOOKUP(mets2415[[#This Row],[name w/o location]],metaboliteInfo[name w/o location],metaboliteInfo[suggested category],"")</f>
        <v>CARB</v>
      </c>
      <c r="E18" s="21">
        <f>_xlfn.XLOOKUP(mets2415[[#This Row],[name w/o location]],metaboliteInfo[name w/o location],metaboliteInfo[MW for biomass normalization (g/mol)],0)</f>
        <v>203.19252</v>
      </c>
      <c r="F18" s="21">
        <f>_xlfn.NUMBERVALUE(SUBSTITUTE(_xlfn.TEXTAFTER(mets2415[[#This Row],[pasted JSON metabolite keys and values from GSM biomass rxn]],":"),",",""))</f>
        <v>-9.0749999999999997E-3</v>
      </c>
      <c r="G18" s="21" cm="1">
        <f t="array" ref="G18">_xlfn.LET(_xlpm.id,mets2415[[#This Row],[name w/o location]],IF(IsElementOfSet_DIY(_xlpm.id,{"atp","adp","h","pi","h2o"}),SIGN(mets2415[[#This Row],[raw (GSM) coefficient]])*(ABS(mets2415[[#This Row],[raw (GSM) coefficient]])-$J$2),mets2415[[#This Row],[raw (GSM) coefficient]]))</f>
        <v>-9.0749999999999997E-3</v>
      </c>
      <c r="H18" s="21">
        <f>mets2415[[#This Row],[coeff. w/o GAM]]</f>
        <v>-9.0749999999999997E-3</v>
      </c>
      <c r="I18" s="161">
        <f t="shared" si="0"/>
        <v>-9.1514003791689034E-3</v>
      </c>
      <c r="J18" s="21" cm="1">
        <f t="array" ref="J18">_xlfn.LET(_xlpm.id,mets2415[[#This Row],[name w/o location]],_xlpm.oldcoeff,mets2415[[#This Row],[normalized coeffs]],_xlpm.gam,$J$2-$G$2,_xlfn.IFS(IFERROR(MATCH(_xlpm.id,{"atp","h2o"},0),0)&gt;0,_xlpm.oldcoeff-_xlpm.gam,IFERROR(MATCH(_xlpm.id,{"adp","h","pi"},0),0)&gt;0,_xlpm.oldcoeff+_xlpm.gam,TRUE,_xlpm.oldcoeff))</f>
        <v>-9.1514003791689034E-3</v>
      </c>
      <c r="K18" t="str" cm="1">
        <f t="array" ref="K18">"BIOSYN-"&amp;_xlfn.IFS(IFERROR(MATCH(mets2415[[#This Row],[category]],{0,"0",""},0),0)&gt;0,mets2415[[#This Row],[name]],TRUE,mets2415[[#This Row],[category]]&amp;"-"&amp;mets2415[[#This Row],[name]])</f>
        <v>BIOSYN-CARB-chtn_c</v>
      </c>
      <c r="L18" s="149" t="str" cm="1">
        <f t="array" ref="L18">IF(IsElementOfSet_DIY(mets2415[[#This Row],[category]],{"ignore","PROT"}),"",_xlfn.LET(_xlpm.mw,mets2415[[#This Row],[MW for biomass normalization (g/mol)]],"MET-"&amp;mets2415[[#This Row],[name]]&amp;" --&gt; "&amp;IF((mets2415[[#This Row],[category]]="DNA")+(mets2415[[#This Row],[category]]="RNA"),"MET-ppi_c + ","")&amp;ROUND(ABS(_xlpm.mw/1000),6)&amp;" BIO-"&amp;mets2415[[#This Row],[name]]))</f>
        <v>MET-chtn_c --&gt; 0.203193 BIO-chtn_c</v>
      </c>
      <c r="M18" s="149" cm="1">
        <f t="array" ref="M1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-3.5591690901849028E-2</v>
      </c>
      <c r="N18" s="149"/>
      <c r="O18" s="149"/>
      <c r="P18" s="168"/>
      <c r="Q18" s="168"/>
      <c r="R18" s="168"/>
      <c r="S18" s="168"/>
      <c r="T18" s="168"/>
      <c r="U18" s="149"/>
      <c r="V18" s="149"/>
      <c r="AB18" t="str">
        <v>BIOSYN-CARB</v>
      </c>
      <c r="AC18" t="str">
        <v>0.497757 BIO-13BDglucan_c + 0.130989 BIO-16BDglucan_en + 0.118793 BIO-G00006_c + 0.014748 BIO-chtn_c + 0.118915 BIO-gpianchorSC_r + 0.118798 BIO-oglycanSC_g --&gt; BIO-carb</v>
      </c>
    </row>
    <row r="19" spans="1:29" ht="16" x14ac:dyDescent="0.2">
      <c r="A19" s="144" t="s">
        <v>965</v>
      </c>
      <c r="B19" t="str">
        <f>SUBSTITUTE(_xlfn.TEXTBEFORE(mets2415[[#This Row],[pasted JSON metabolite keys and values from GSM biomass rxn]],":"),CHAR(34),"")</f>
        <v>coa_c</v>
      </c>
      <c r="C19" t="str">
        <f>_xlfn.TEXTBEFORE(mets2415[[#This Row],[name]],"_",-1)</f>
        <v>coa</v>
      </c>
      <c r="D19" t="str">
        <f>_xlfn.XLOOKUP(mets2415[[#This Row],[name w/o location]],metaboliteInfo[name w/o location],metaboliteInfo[suggested category],"")</f>
        <v>COFACTOR</v>
      </c>
      <c r="E19" s="21">
        <f>_xlfn.XLOOKUP(mets2415[[#This Row],[name w/o location]],metaboliteInfo[name w/o location],metaboliteInfo[MW for biomass normalization (g/mol)],0)</f>
        <v>763.50236299999995</v>
      </c>
      <c r="F19" s="21">
        <f>_xlfn.NUMBERVALUE(SUBSTITUTE(_xlfn.TEXTAFTER(mets2415[[#This Row],[pasted JSON metabolite keys and values from GSM biomass rxn]],":"),",",""))</f>
        <v>-1E-4</v>
      </c>
      <c r="G19" s="21" cm="1">
        <f t="array" ref="G19">_xlfn.LET(_xlpm.id,mets2415[[#This Row],[name w/o location]],IF(IsElementOfSet_DIY(_xlpm.id,{"atp","adp","h","pi","h2o"}),SIGN(mets2415[[#This Row],[raw (GSM) coefficient]])*(ABS(mets2415[[#This Row],[raw (GSM) coefficient]])-$J$2),mets2415[[#This Row],[raw (GSM) coefficient]]))</f>
        <v>-1E-4</v>
      </c>
      <c r="H19" s="21">
        <f>mets2415[[#This Row],[coeff. w/o GAM]]</f>
        <v>-1E-4</v>
      </c>
      <c r="I19" s="161">
        <f t="shared" si="0"/>
        <v>-1.0084187745640667E-4</v>
      </c>
      <c r="J19" s="21" cm="1">
        <f t="array" ref="J19">_xlfn.LET(_xlpm.id,mets2415[[#This Row],[name w/o location]],_xlpm.oldcoeff,mets2415[[#This Row],[normalized coeffs]],_xlpm.gam,$J$2-$G$2,_xlfn.IFS(IFERROR(MATCH(_xlpm.id,{"atp","h2o"},0),0)&gt;0,_xlpm.oldcoeff-_xlpm.gam,IFERROR(MATCH(_xlpm.id,{"adp","h","pi"},0),0)&gt;0,_xlpm.oldcoeff+_xlpm.gam,TRUE,_xlpm.oldcoeff))</f>
        <v>-1.0084187745640667E-4</v>
      </c>
      <c r="K19" t="str" cm="1">
        <f t="array" ref="K19">"BIOSYN-"&amp;_xlfn.IFS(IFERROR(MATCH(mets2415[[#This Row],[category]],{0,"0",""},0),0)&gt;0,mets2415[[#This Row],[name]],TRUE,mets2415[[#This Row],[category]]&amp;"-"&amp;mets2415[[#This Row],[name]])</f>
        <v>BIOSYN-COFACTOR-coa_c</v>
      </c>
      <c r="L19" s="149" t="str" cm="1">
        <f t="array" ref="L19">IF(IsElementOfSet_DIY(mets2415[[#This Row],[category]],{"ignore","PROT"}),"",_xlfn.LET(_xlpm.mw,mets2415[[#This Row],[MW for biomass normalization (g/mol)]],"MET-"&amp;mets2415[[#This Row],[name]]&amp;" --&gt; "&amp;IF((mets2415[[#This Row],[category]]="DNA")+(mets2415[[#This Row],[category]]="RNA"),"MET-ppi_c + ","")&amp;ROUND(ABS(_xlpm.mw/1000),6)&amp;" BIO-"&amp;mets2415[[#This Row],[name]]))</f>
        <v>MET-coa_c --&gt; 0.763502 BIO-coa_c</v>
      </c>
      <c r="M19" s="149" cm="1">
        <f t="array" ref="M1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19" s="149"/>
      <c r="O19" s="149"/>
      <c r="P19" s="149"/>
      <c r="Q19" s="149"/>
      <c r="R19" s="149"/>
      <c r="S19" s="149"/>
      <c r="T19" s="149"/>
      <c r="U19" s="149"/>
      <c r="V19" s="149"/>
      <c r="AB19" t="str">
        <v>BIOSYN-COFACTOR</v>
      </c>
      <c r="AC19" t="str">
        <v>0.068495 BIO-amet_c + 0.041721 BIO-btn_c + 0.130922 BIO-coa_c + 0.134184 BIO-fad_c + 0.145895 BIO-hemeA_c + 0.113589 BIO-nad_c + 0.126957 BIO-nadp_c + 0.064364 BIO-ribflv_c + 0.025425 BIO-spmd_c + 0.076035 BIO-thf_c + 0.072413 BIO-thmpp_c --&gt; BIO-cofactor</v>
      </c>
    </row>
    <row r="20" spans="1:29" ht="16" x14ac:dyDescent="0.2">
      <c r="A20" s="144" t="s">
        <v>1060</v>
      </c>
      <c r="B20" t="str">
        <f>SUBSTITUTE(_xlfn.TEXTBEFORE(mets2415[[#This Row],[pasted JSON metabolite keys and values from GSM biomass rxn]],":"),CHAR(34),"")</f>
        <v>ctp_c</v>
      </c>
      <c r="C20" t="str">
        <f>_xlfn.TEXTBEFORE(mets2415[[#This Row],[name]],"_",-1)</f>
        <v>ctp</v>
      </c>
      <c r="D20" t="str">
        <f>_xlfn.XLOOKUP(mets2415[[#This Row],[name w/o location]],metaboliteInfo[name w/o location],metaboliteInfo[suggested category],"")</f>
        <v>RNA</v>
      </c>
      <c r="E20" s="21">
        <f>_xlfn.XLOOKUP(mets2415[[#This Row],[name w/o location]],metaboliteInfo[name w/o location],metaboliteInfo[MW for biomass normalization (g/mol)],0)</f>
        <v>304.17330100000004</v>
      </c>
      <c r="F20" s="21">
        <f>_xlfn.NUMBERVALUE(SUBSTITUTE(_xlfn.TEXTAFTER(mets2415[[#This Row],[pasted JSON metabolite keys and values from GSM biomass rxn]],":"),",",""))</f>
        <v>-4.9138000000000001E-2</v>
      </c>
      <c r="G20" s="21" cm="1">
        <f t="array" ref="G20">_xlfn.LET(_xlpm.id,mets2415[[#This Row],[name w/o location]],IF(IsElementOfSet_DIY(_xlpm.id,{"atp","adp","h","pi","h2o"}),SIGN(mets2415[[#This Row],[raw (GSM) coefficient]])*(ABS(mets2415[[#This Row],[raw (GSM) coefficient]])-$J$2),mets2415[[#This Row],[raw (GSM) coefficient]]))</f>
        <v>-4.9138000000000001E-2</v>
      </c>
      <c r="H20" s="21">
        <f>mets2415[[#This Row],[coeff. w/o GAM]]</f>
        <v>-4.9138000000000001E-2</v>
      </c>
      <c r="I20" s="161">
        <f t="shared" si="0"/>
        <v>-4.9551681744529105E-2</v>
      </c>
      <c r="J20" s="21" cm="1">
        <f t="array" ref="J20">_xlfn.LET(_xlpm.id,mets2415[[#This Row],[name w/o location]],_xlpm.oldcoeff,mets2415[[#This Row],[normalized coeffs]],_xlpm.gam,$J$2-$G$2,_xlfn.IFS(IFERROR(MATCH(_xlpm.id,{"atp","h2o"},0),0)&gt;0,_xlpm.oldcoeff-_xlpm.gam,IFERROR(MATCH(_xlpm.id,{"adp","h","pi"},0),0)&gt;0,_xlpm.oldcoeff+_xlpm.gam,TRUE,_xlpm.oldcoeff))</f>
        <v>-4.9551681744529105E-2</v>
      </c>
      <c r="K20" t="str" cm="1">
        <f t="array" ref="K20">"BIOSYN-"&amp;_xlfn.IFS(IFERROR(MATCH(mets2415[[#This Row],[category]],{0,"0",""},0),0)&gt;0,mets2415[[#This Row],[name]],TRUE,mets2415[[#This Row],[category]]&amp;"-"&amp;mets2415[[#This Row],[name]])</f>
        <v>BIOSYN-RNA-ctp_c</v>
      </c>
      <c r="L20" s="149" t="str" cm="1">
        <f t="array" ref="L20">IF(IsElementOfSet_DIY(mets2415[[#This Row],[category]],{"ignore","PROT"}),"",_xlfn.LET(_xlpm.mw,mets2415[[#This Row],[MW for biomass normalization (g/mol)]],"MET-"&amp;mets2415[[#This Row],[name]]&amp;" --&gt; "&amp;IF((mets2415[[#This Row],[category]]="DNA")+(mets2415[[#This Row],[category]]="RNA"),"MET-ppi_c + ","")&amp;ROUND(ABS(_xlpm.mw/1000),6)&amp;" BIO-"&amp;mets2415[[#This Row],[name]]))</f>
        <v>MET-ctp_c --&gt; MET-ppi_c + 0.304173 BIO-ctp_c</v>
      </c>
      <c r="M20" s="149" cm="1">
        <f t="array" ref="M2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-2.5955792932870966E-2</v>
      </c>
      <c r="N20" s="149"/>
      <c r="O20" s="149"/>
      <c r="P20" s="149"/>
      <c r="Q20" s="149"/>
      <c r="R20" s="149"/>
      <c r="S20" s="149"/>
      <c r="T20" s="149"/>
      <c r="U20" s="149"/>
      <c r="V20" s="149"/>
      <c r="AB20" t="str">
        <v>BIOSYN-DNA</v>
      </c>
      <c r="AC20" t="str">
        <v>0.197915 BIO-datp_c + 0.28514 BIO-dctp_c + 0.324743 BIO-dgtp_c + 0.192201 BIO-dttp_c --&gt; BIO-dna</v>
      </c>
    </row>
    <row r="21" spans="1:29" ht="16" x14ac:dyDescent="0.2">
      <c r="A21" s="144" t="s">
        <v>966</v>
      </c>
      <c r="B21" t="str">
        <f>SUBSTITUTE(_xlfn.TEXTBEFORE(mets2415[[#This Row],[pasted JSON metabolite keys and values from GSM biomass rxn]],":"),CHAR(34),"")</f>
        <v>cu2_c</v>
      </c>
      <c r="C21" t="str">
        <f>_xlfn.TEXTBEFORE(mets2415[[#This Row],[name]],"_",-1)</f>
        <v>cu2</v>
      </c>
      <c r="D21" t="str">
        <f>_xlfn.XLOOKUP(mets2415[[#This Row],[name w/o location]],metaboliteInfo[name w/o location],metaboliteInfo[suggested category],"")</f>
        <v>METAL</v>
      </c>
      <c r="E21" s="21">
        <f>_xlfn.XLOOKUP(mets2415[[#This Row],[name w/o location]],metaboliteInfo[name w/o location],metaboliteInfo[MW for biomass normalization (g/mol)],0)</f>
        <v>63.545999999999999</v>
      </c>
      <c r="F21" s="21">
        <f>_xlfn.NUMBERVALUE(SUBSTITUTE(_xlfn.TEXTAFTER(mets2415[[#This Row],[pasted JSON metabolite keys and values from GSM biomass rxn]],":"),",",""))</f>
        <v>-1.1400000000000001E-4</v>
      </c>
      <c r="G21" s="21" cm="1">
        <f t="array" ref="G21">_xlfn.LET(_xlpm.id,mets2415[[#This Row],[name w/o location]],IF(IsElementOfSet_DIY(_xlpm.id,{"atp","adp","h","pi","h2o"}),SIGN(mets2415[[#This Row],[raw (GSM) coefficient]])*(ABS(mets2415[[#This Row],[raw (GSM) coefficient]])-$J$2),mets2415[[#This Row],[raw (GSM) coefficient]]))</f>
        <v>-1.1400000000000001E-4</v>
      </c>
      <c r="H21" s="21">
        <f>mets2415[[#This Row],[coeff. w/o GAM]]</f>
        <v>-1.1400000000000001E-4</v>
      </c>
      <c r="I21" s="161">
        <f t="shared" si="0"/>
        <v>-1.149597403003036E-4</v>
      </c>
      <c r="J21" s="21" cm="1">
        <f t="array" ref="J21">_xlfn.LET(_xlpm.id,mets2415[[#This Row],[name w/o location]],_xlpm.oldcoeff,mets2415[[#This Row],[normalized coeffs]],_xlpm.gam,$J$2-$G$2,_xlfn.IFS(IFERROR(MATCH(_xlpm.id,{"atp","h2o"},0),0)&gt;0,_xlpm.oldcoeff-_xlpm.gam,IFERROR(MATCH(_xlpm.id,{"adp","h","pi"},0),0)&gt;0,_xlpm.oldcoeff+_xlpm.gam,TRUE,_xlpm.oldcoeff))</f>
        <v>-1.149597403003036E-4</v>
      </c>
      <c r="K21" t="str" cm="1">
        <f t="array" ref="K21">"BIOSYN-"&amp;_xlfn.IFS(IFERROR(MATCH(mets2415[[#This Row],[category]],{0,"0",""},0),0)&gt;0,mets2415[[#This Row],[name]],TRUE,mets2415[[#This Row],[category]]&amp;"-"&amp;mets2415[[#This Row],[name]])</f>
        <v>BIOSYN-METAL-cu2_c</v>
      </c>
      <c r="L21" s="149" t="str" cm="1">
        <f t="array" ref="L21">IF(IsElementOfSet_DIY(mets2415[[#This Row],[category]],{"ignore","PROT"}),"",_xlfn.LET(_xlpm.mw,mets2415[[#This Row],[MW for biomass normalization (g/mol)]],"MET-"&amp;mets2415[[#This Row],[name]]&amp;" --&gt; "&amp;IF((mets2415[[#This Row],[category]]="DNA")+(mets2415[[#This Row],[category]]="RNA"),"MET-ppi_c + ","")&amp;ROUND(ABS(_xlpm.mw/1000),6)&amp;" BIO-"&amp;mets2415[[#This Row],[name]]))</f>
        <v>MET-cu2_c --&gt; 0.063546 BIO-cu2_c</v>
      </c>
      <c r="M21" s="149" cm="1">
        <f t="array" ref="M2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-1.149597403003036E-4</v>
      </c>
      <c r="N21" s="149"/>
      <c r="O21" s="149"/>
      <c r="P21" s="149"/>
      <c r="Q21" s="149"/>
      <c r="R21" s="149"/>
      <c r="S21" s="149"/>
      <c r="T21" s="149"/>
      <c r="U21" s="149"/>
      <c r="V21" s="149"/>
      <c r="AB21" t="str">
        <v>BIOSYN-LIPID</v>
      </c>
      <c r="AC21" t="str">
        <v>0.000237 BIO-docosa_c + 0.703037 BIO-epist_c + 0.002149 BIO-hdca_c + 0.045965 BIO-ipc_g + 0.002971 BIO-linoea_c + 0.001167 BIO-linolen_c + 0.002026 BIO-ocdca_c + 0.006151 BIO-ocdcea_c + 0.012655 BIO-pail_c + 0.021662 BIO-pc_c + 0.004953 BIO-pe_c + 0.002804 BIO-ps_c + 0.193201 BIO-tag_c + 0.001023 BIO-ttcosa_c --&gt; BIO-lipid</v>
      </c>
    </row>
    <row r="22" spans="1:29" ht="16" x14ac:dyDescent="0.2">
      <c r="A22" s="144" t="s">
        <v>1061</v>
      </c>
      <c r="B22" t="str">
        <f>SUBSTITUTE(_xlfn.TEXTBEFORE(mets2415[[#This Row],[pasted JSON metabolite keys and values from GSM biomass rxn]],":"),CHAR(34),"")</f>
        <v>cystrna_c</v>
      </c>
      <c r="C22" t="str">
        <f>_xlfn.TEXTBEFORE(mets2415[[#This Row],[name]],"_",-1)</f>
        <v>cystrna</v>
      </c>
      <c r="D22" t="str">
        <f>_xlfn.XLOOKUP(mets2415[[#This Row],[name w/o location]],metaboliteInfo[name w/o location],metaboliteInfo[suggested category],"")</f>
        <v>PROT</v>
      </c>
      <c r="E22" s="21">
        <f>_xlfn.XLOOKUP(mets2415[[#This Row],[name w/o location]],metaboliteInfo[name w/o location],metaboliteInfo[MW for biomass normalization (g/mol)],0)</f>
        <v>104.15084</v>
      </c>
      <c r="F22" s="21">
        <f>_xlfn.NUMBERVALUE(SUBSTITUTE(_xlfn.TEXTAFTER(mets2415[[#This Row],[pasted JSON metabolite keys and values from GSM biomass rxn]],":"),",",""))</f>
        <v>-3.9240000000000004E-3</v>
      </c>
      <c r="G22" s="21" cm="1">
        <f t="array" ref="G22">_xlfn.LET(_xlpm.id,mets2415[[#This Row],[name w/o location]],IF(IsElementOfSet_DIY(_xlpm.id,{"atp","adp","h","pi","h2o"}),SIGN(mets2415[[#This Row],[raw (GSM) coefficient]])*(ABS(mets2415[[#This Row],[raw (GSM) coefficient]])-$J$2),mets2415[[#This Row],[raw (GSM) coefficient]]))</f>
        <v>-3.9240000000000004E-3</v>
      </c>
      <c r="H22" s="21">
        <f>mets2415[[#This Row],[coeff. w/o GAM]]</f>
        <v>-3.9240000000000004E-3</v>
      </c>
      <c r="I22" s="161">
        <f t="shared" si="0"/>
        <v>-3.9570352713893973E-3</v>
      </c>
      <c r="J22" s="21" cm="1">
        <f t="array" ref="J22">_xlfn.LET(_xlpm.id,mets2415[[#This Row],[name w/o location]],_xlpm.oldcoeff,mets2415[[#This Row],[normalized coeffs]],_xlpm.gam,$J$2-$G$2,_xlfn.IFS(IFERROR(MATCH(_xlpm.id,{"atp","h2o"},0),0)&gt;0,_xlpm.oldcoeff-_xlpm.gam,IFERROR(MATCH(_xlpm.id,{"adp","h","pi"},0),0)&gt;0,_xlpm.oldcoeff+_xlpm.gam,TRUE,_xlpm.oldcoeff))</f>
        <v>-3.9570352713893973E-3</v>
      </c>
      <c r="K22" t="str" cm="1">
        <f t="array" ref="K22">"BIOSYN-"&amp;_xlfn.IFS(IFERROR(MATCH(mets2415[[#This Row],[category]],{0,"0",""},0),0)&gt;0,mets2415[[#This Row],[name]],TRUE,mets2415[[#This Row],[category]]&amp;"-"&amp;mets2415[[#This Row],[name]])</f>
        <v>BIOSYN-PROT-cystrna_c</v>
      </c>
      <c r="L22" s="149" t="str" cm="1">
        <f t="array" ref="L22">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22" s="149" cm="1">
        <f t="array" ref="M2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-1.7414127615094483E-3</v>
      </c>
      <c r="N22" s="149"/>
      <c r="O22" s="149"/>
      <c r="P22" s="149"/>
      <c r="Q22" s="149"/>
      <c r="R22" s="149"/>
      <c r="S22" s="149"/>
      <c r="T22" s="149"/>
      <c r="U22" s="149"/>
      <c r="V22" s="149"/>
      <c r="AB22" t="str">
        <v>BIOSYN-METAL</v>
      </c>
      <c r="AC22" t="str">
        <v>0.002033 BIO-ca2_c + 0.000286 BIO-cu2_c + 0.001463 BIO-fe2_c + 0.93097 BIO-k_c + 0.060981 BIO-mg2_c + 0.000204 BIO-mn2_c + 0.004064 BIO-zn2_c --&gt; BIO-metal</v>
      </c>
    </row>
    <row r="23" spans="1:29" ht="16" x14ac:dyDescent="0.2">
      <c r="A23" s="144" t="s">
        <v>1062</v>
      </c>
      <c r="B23" t="str">
        <f>SUBSTITUTE(_xlfn.TEXTBEFORE(mets2415[[#This Row],[pasted JSON metabolite keys and values from GSM biomass rxn]],":"),CHAR(34),"")</f>
        <v>datp_c</v>
      </c>
      <c r="C23" t="str">
        <f>_xlfn.TEXTBEFORE(mets2415[[#This Row],[name]],"_",-1)</f>
        <v>datp</v>
      </c>
      <c r="D23" t="str">
        <f>_xlfn.XLOOKUP(mets2415[[#This Row],[name w/o location]],metaboliteInfo[name w/o location],metaboliteInfo[suggested category],"")</f>
        <v>DNA</v>
      </c>
      <c r="E23" s="21">
        <f>_xlfn.XLOOKUP(mets2415[[#This Row],[name w/o location]],metaboliteInfo[name w/o location],metaboliteInfo[MW for biomass normalization (g/mol)],0)</f>
        <v>312.19860099999994</v>
      </c>
      <c r="F23" s="21">
        <f>_xlfn.NUMBERVALUE(SUBSTITUTE(_xlfn.TEXTAFTER(mets2415[[#This Row],[pasted JSON metabolite keys and values from GSM biomass rxn]],":"),",",""))</f>
        <v>-2.1281000000000001E-2</v>
      </c>
      <c r="G23" s="21" cm="1">
        <f t="array" ref="G23">_xlfn.LET(_xlpm.id,mets2415[[#This Row],[name w/o location]],IF(IsElementOfSet_DIY(_xlpm.id,{"atp","adp","h","pi","h2o"}),SIGN(mets2415[[#This Row],[raw (GSM) coefficient]])*(ABS(mets2415[[#This Row],[raw (GSM) coefficient]])-$J$2),mets2415[[#This Row],[raw (GSM) coefficient]]))</f>
        <v>-2.1281000000000001E-2</v>
      </c>
      <c r="H23" s="21">
        <f>mets2415[[#This Row],[coeff. w/o GAM]]</f>
        <v>-2.1281000000000001E-2</v>
      </c>
      <c r="I23" s="161">
        <f t="shared" si="0"/>
        <v>-2.1460159941497903E-2</v>
      </c>
      <c r="J23" s="21" cm="1">
        <f t="array" ref="J23">_xlfn.LET(_xlpm.id,mets2415[[#This Row],[name w/o location]],_xlpm.oldcoeff,mets2415[[#This Row],[normalized coeffs]],_xlpm.gam,$J$2-$G$2,_xlfn.IFS(IFERROR(MATCH(_xlpm.id,{"atp","h2o"},0),0)&gt;0,_xlpm.oldcoeff-_xlpm.gam,IFERROR(MATCH(_xlpm.id,{"adp","h","pi"},0),0)&gt;0,_xlpm.oldcoeff+_xlpm.gam,TRUE,_xlpm.oldcoeff))</f>
        <v>-2.1460159941497903E-2</v>
      </c>
      <c r="K23" t="str" cm="1">
        <f t="array" ref="K23">"BIOSYN-"&amp;_xlfn.IFS(IFERROR(MATCH(mets2415[[#This Row],[category]],{0,"0",""},0),0)&gt;0,mets2415[[#This Row],[name]],TRUE,mets2415[[#This Row],[category]]&amp;"-"&amp;mets2415[[#This Row],[name]])</f>
        <v>BIOSYN-DNA-datp_c</v>
      </c>
      <c r="L23" s="149" t="str" cm="1">
        <f t="array" ref="L23">IF(IsElementOfSet_DIY(mets2415[[#This Row],[category]],{"ignore","PROT"}),"",_xlfn.LET(_xlpm.mw,mets2415[[#This Row],[MW for biomass normalization (g/mol)]],"MET-"&amp;mets2415[[#This Row],[name]]&amp;" --&gt; "&amp;IF((mets2415[[#This Row],[category]]="DNA")+(mets2415[[#This Row],[category]]="RNA"),"MET-ppi_c + ","")&amp;ROUND(ABS(_xlpm.mw/1000),6)&amp;" BIO-"&amp;mets2415[[#This Row],[name]]))</f>
        <v>MET-datp_c --&gt; MET-ppi_c + 0.312199 BIO-datp_c</v>
      </c>
      <c r="M23" s="149" cm="1">
        <f t="array" ref="M2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-1.5208811966843804E-2</v>
      </c>
      <c r="N23" s="149"/>
      <c r="O23" s="149"/>
      <c r="P23" s="149"/>
      <c r="Q23" s="149"/>
      <c r="R23" s="149"/>
      <c r="S23" s="149"/>
      <c r="T23" s="149"/>
      <c r="U23" s="149"/>
      <c r="V23" s="149"/>
      <c r="AB23" t="str">
        <v>BIOSYN-RNA</v>
      </c>
      <c r="AC23" t="str">
        <v>0.15 BIO-trna + 0.05 BIO-mrna + 0.80 BIO-rrna --&gt; BIO-rna</v>
      </c>
    </row>
    <row r="24" spans="1:29" ht="16" x14ac:dyDescent="0.2">
      <c r="A24" s="144" t="s">
        <v>1063</v>
      </c>
      <c r="B24" t="str">
        <f>SUBSTITUTE(_xlfn.TEXTBEFORE(mets2415[[#This Row],[pasted JSON metabolite keys and values from GSM biomass rxn]],":"),CHAR(34),"")</f>
        <v>dctp_c</v>
      </c>
      <c r="C24" t="str">
        <f>_xlfn.TEXTBEFORE(mets2415[[#This Row],[name]],"_",-1)</f>
        <v>dctp</v>
      </c>
      <c r="D24" t="str">
        <f>_xlfn.XLOOKUP(mets2415[[#This Row],[name w/o location]],metaboliteInfo[name w/o location],metaboliteInfo[suggested category],"")</f>
        <v>DNA</v>
      </c>
      <c r="E24" s="21">
        <f>_xlfn.XLOOKUP(mets2415[[#This Row],[name w/o location]],metaboliteInfo[name w/o location],metaboliteInfo[MW for biomass normalization (g/mol)],0)</f>
        <v>288.173901</v>
      </c>
      <c r="F24" s="21">
        <f>_xlfn.NUMBERVALUE(SUBSTITUTE(_xlfn.TEXTAFTER(mets2415[[#This Row],[pasted JSON metabolite keys and values from GSM biomass rxn]],":"),",",""))</f>
        <v>-3.3216000000000002E-2</v>
      </c>
      <c r="G24" s="21" cm="1">
        <f t="array" ref="G24">_xlfn.LET(_xlpm.id,mets2415[[#This Row],[name w/o location]],IF(IsElementOfSet_DIY(_xlpm.id,{"atp","adp","h","pi","h2o"}),SIGN(mets2415[[#This Row],[raw (GSM) coefficient]])*(ABS(mets2415[[#This Row],[raw (GSM) coefficient]])-$J$2),mets2415[[#This Row],[raw (GSM) coefficient]]))</f>
        <v>-3.3216000000000002E-2</v>
      </c>
      <c r="H24" s="21">
        <f>mets2415[[#This Row],[coeff. w/o GAM]]</f>
        <v>-3.3216000000000002E-2</v>
      </c>
      <c r="I24" s="161">
        <f t="shared" si="0"/>
        <v>-3.3495638015920037E-2</v>
      </c>
      <c r="J24" s="21" cm="1">
        <f t="array" ref="J24">_xlfn.LET(_xlpm.id,mets2415[[#This Row],[name w/o location]],_xlpm.oldcoeff,mets2415[[#This Row],[normalized coeffs]],_xlpm.gam,$J$2-$G$2,_xlfn.IFS(IFERROR(MATCH(_xlpm.id,{"atp","h2o"},0),0)&gt;0,_xlpm.oldcoeff-_xlpm.gam,IFERROR(MATCH(_xlpm.id,{"adp","h","pi"},0),0)&gt;0,_xlpm.oldcoeff+_xlpm.gam,TRUE,_xlpm.oldcoeff))</f>
        <v>-3.3495638015920037E-2</v>
      </c>
      <c r="K24" t="str" cm="1">
        <f t="array" ref="K24">"BIOSYN-"&amp;_xlfn.IFS(IFERROR(MATCH(mets2415[[#This Row],[category]],{0,"0",""},0),0)&gt;0,mets2415[[#This Row],[name]],TRUE,mets2415[[#This Row],[category]]&amp;"-"&amp;mets2415[[#This Row],[name]])</f>
        <v>BIOSYN-DNA-dctp_c</v>
      </c>
      <c r="L24" s="149" t="str" cm="1">
        <f t="array" ref="L24">IF(IsElementOfSet_DIY(mets2415[[#This Row],[category]],{"ignore","PROT"}),"",_xlfn.LET(_xlpm.mw,mets2415[[#This Row],[MW for biomass normalization (g/mol)]],"MET-"&amp;mets2415[[#This Row],[name]]&amp;" --&gt; "&amp;IF((mets2415[[#This Row],[category]]="DNA")+(mets2415[[#This Row],[category]]="RNA"),"MET-ppi_c + ","")&amp;ROUND(ABS(_xlpm.mw/1000),6)&amp;" BIO-"&amp;mets2415[[#This Row],[name]]))</f>
        <v>MET-dctp_c --&gt; MET-ppi_c + 0.288174 BIO-dctp_c</v>
      </c>
      <c r="M24" s="149" cm="1">
        <f t="array" ref="M2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-2.3738353380512368E-2</v>
      </c>
      <c r="N24" s="149"/>
      <c r="O24" s="149"/>
      <c r="P24" s="149"/>
      <c r="Q24" s="149"/>
      <c r="R24" s="149"/>
      <c r="S24" s="149"/>
      <c r="T24" s="149"/>
      <c r="U24" s="149"/>
      <c r="V24" s="149"/>
      <c r="AB24" t="str">
        <v>BIOSYN-CARB-13BDglucan_c</v>
      </c>
      <c r="AC24" t="str">
        <v>MET-13BDglucan_c --&gt; 0.162141 BIO-13BDglucan_c</v>
      </c>
    </row>
    <row r="25" spans="1:29" ht="16" x14ac:dyDescent="0.2">
      <c r="A25" s="144" t="s">
        <v>1064</v>
      </c>
      <c r="B25" t="str">
        <f>SUBSTITUTE(_xlfn.TEXTBEFORE(mets2415[[#This Row],[pasted JSON metabolite keys and values from GSM biomass rxn]],":"),CHAR(34),"")</f>
        <v>dgtp_c</v>
      </c>
      <c r="C25" t="str">
        <f>_xlfn.TEXTBEFORE(mets2415[[#This Row],[name]],"_",-1)</f>
        <v>dgtp</v>
      </c>
      <c r="D25" t="str">
        <f>_xlfn.XLOOKUP(mets2415[[#This Row],[name w/o location]],metaboliteInfo[name w/o location],metaboliteInfo[suggested category],"")</f>
        <v>DNA</v>
      </c>
      <c r="E25" s="21">
        <f>_xlfn.XLOOKUP(mets2415[[#This Row],[name w/o location]],metaboliteInfo[name w/o location],metaboliteInfo[MW for biomass normalization (g/mol)],0)</f>
        <v>328.19800099999998</v>
      </c>
      <c r="F25" s="21">
        <f>_xlfn.NUMBERVALUE(SUBSTITUTE(_xlfn.TEXTAFTER(mets2415[[#This Row],[pasted JSON metabolite keys and values from GSM biomass rxn]],":"),",",""))</f>
        <v>-3.3216000000000002E-2</v>
      </c>
      <c r="G25" s="21" cm="1">
        <f t="array" ref="G25">_xlfn.LET(_xlpm.id,mets2415[[#This Row],[name w/o location]],IF(IsElementOfSet_DIY(_xlpm.id,{"atp","adp","h","pi","h2o"}),SIGN(mets2415[[#This Row],[raw (GSM) coefficient]])*(ABS(mets2415[[#This Row],[raw (GSM) coefficient]])-$J$2),mets2415[[#This Row],[raw (GSM) coefficient]]))</f>
        <v>-3.3216000000000002E-2</v>
      </c>
      <c r="H25" s="21">
        <f>mets2415[[#This Row],[coeff. w/o GAM]]</f>
        <v>-3.3216000000000002E-2</v>
      </c>
      <c r="I25" s="161">
        <f t="shared" si="0"/>
        <v>-3.3495638015920037E-2</v>
      </c>
      <c r="J25" s="21" cm="1">
        <f t="array" ref="J25">_xlfn.LET(_xlpm.id,mets2415[[#This Row],[name w/o location]],_xlpm.oldcoeff,mets2415[[#This Row],[normalized coeffs]],_xlpm.gam,$J$2-$G$2,_xlfn.IFS(IFERROR(MATCH(_xlpm.id,{"atp","h2o"},0),0)&gt;0,_xlpm.oldcoeff-_xlpm.gam,IFERROR(MATCH(_xlpm.id,{"adp","h","pi"},0),0)&gt;0,_xlpm.oldcoeff+_xlpm.gam,TRUE,_xlpm.oldcoeff))</f>
        <v>-3.3495638015920037E-2</v>
      </c>
      <c r="K25" t="str" cm="1">
        <f t="array" ref="K25">"BIOSYN-"&amp;_xlfn.IFS(IFERROR(MATCH(mets2415[[#This Row],[category]],{0,"0",""},0),0)&gt;0,mets2415[[#This Row],[name]],TRUE,mets2415[[#This Row],[category]]&amp;"-"&amp;mets2415[[#This Row],[name]])</f>
        <v>BIOSYN-DNA-dgtp_c</v>
      </c>
      <c r="L25" s="149" t="str" cm="1">
        <f t="array" ref="L25">IF(IsElementOfSet_DIY(mets2415[[#This Row],[category]],{"ignore","PROT"}),"",_xlfn.LET(_xlpm.mw,mets2415[[#This Row],[MW for biomass normalization (g/mol)]],"MET-"&amp;mets2415[[#This Row],[name]]&amp;" --&gt; "&amp;IF((mets2415[[#This Row],[category]]="DNA")+(mets2415[[#This Row],[category]]="RNA"),"MET-ppi_c + ","")&amp;ROUND(ABS(_xlpm.mw/1000),6)&amp;" BIO-"&amp;mets2415[[#This Row],[name]]))</f>
        <v>MET-dgtp_c --&gt; MET-ppi_c + 0.328198 BIO-dgtp_c</v>
      </c>
      <c r="M25" s="149" cm="1">
        <f t="array" ref="M2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-2.3738353380512368E-2</v>
      </c>
      <c r="N25" s="149"/>
      <c r="O25" s="149"/>
      <c r="P25" s="149"/>
      <c r="Q25" s="149"/>
      <c r="R25" s="149"/>
      <c r="S25" s="149"/>
      <c r="T25" s="149"/>
      <c r="U25" s="149"/>
      <c r="V25" s="149"/>
      <c r="AB25" t="str">
        <v>BIOSYN-CARB-16BDglucan_en</v>
      </c>
      <c r="AC25" t="str">
        <v>MET-16BDglucan_en --&gt; 0.162141 BIO-16BDglucan_en</v>
      </c>
    </row>
    <row r="26" spans="1:29" ht="16" x14ac:dyDescent="0.2">
      <c r="A26" s="144" t="s">
        <v>1065</v>
      </c>
      <c r="B26" t="str">
        <f>SUBSTITUTE(_xlfn.TEXTBEFORE(mets2415[[#This Row],[pasted JSON metabolite keys and values from GSM biomass rxn]],":"),CHAR(34),"")</f>
        <v>docosa_c</v>
      </c>
      <c r="C26" t="str">
        <f>_xlfn.TEXTBEFORE(mets2415[[#This Row],[name]],"_",-1)</f>
        <v>docosa</v>
      </c>
      <c r="D26" t="str">
        <f>_xlfn.XLOOKUP(mets2415[[#This Row],[name w/o location]],metaboliteInfo[name w/o location],metaboliteInfo[suggested category],"")</f>
        <v>LIPID</v>
      </c>
      <c r="E26" s="21">
        <f>_xlfn.XLOOKUP(mets2415[[#This Row],[name w/o location]],metaboliteInfo[name w/o location],metaboliteInfo[MW for biomass normalization (g/mol)],0)</f>
        <v>339.57481999999999</v>
      </c>
      <c r="F26" s="21">
        <f>_xlfn.NUMBERVALUE(SUBSTITUTE(_xlfn.TEXTAFTER(mets2415[[#This Row],[pasted JSON metabolite keys and values from GSM biomass rxn]],":"),",",""))</f>
        <v>-3.1300000000000002E-4</v>
      </c>
      <c r="G26" s="21" cm="1">
        <f t="array" ref="G26">_xlfn.LET(_xlpm.id,mets2415[[#This Row],[name w/o location]],IF(IsElementOfSet_DIY(_xlpm.id,{"atp","adp","h","pi","h2o"}),SIGN(mets2415[[#This Row],[raw (GSM) coefficient]])*(ABS(mets2415[[#This Row],[raw (GSM) coefficient]])-$J$2),mets2415[[#This Row],[raw (GSM) coefficient]]))</f>
        <v>-3.1300000000000002E-4</v>
      </c>
      <c r="H26" s="21">
        <f>mets2415[[#This Row],[coeff. w/o GAM]]</f>
        <v>-3.1300000000000002E-4</v>
      </c>
      <c r="I26" s="161">
        <f t="shared" si="0"/>
        <v>-3.1563507643855284E-4</v>
      </c>
      <c r="J26" s="21" cm="1">
        <f t="array" ref="J26">_xlfn.LET(_xlpm.id,mets2415[[#This Row],[name w/o location]],_xlpm.oldcoeff,mets2415[[#This Row],[normalized coeffs]],_xlpm.gam,$J$2-$G$2,_xlfn.IFS(IFERROR(MATCH(_xlpm.id,{"atp","h2o"},0),0)&gt;0,_xlpm.oldcoeff-_xlpm.gam,IFERROR(MATCH(_xlpm.id,{"adp","h","pi"},0),0)&gt;0,_xlpm.oldcoeff+_xlpm.gam,TRUE,_xlpm.oldcoeff))</f>
        <v>-3.1563507643855284E-4</v>
      </c>
      <c r="K26" t="str" cm="1">
        <f t="array" ref="K26">"BIOSYN-"&amp;_xlfn.IFS(IFERROR(MATCH(mets2415[[#This Row],[category]],{0,"0",""},0),0)&gt;0,mets2415[[#This Row],[name]],TRUE,mets2415[[#This Row],[category]]&amp;"-"&amp;mets2415[[#This Row],[name]])</f>
        <v>BIOSYN-LIPID-docosa_c</v>
      </c>
      <c r="L26" s="149" t="str" cm="1">
        <f t="array" ref="L26">IF(IsElementOfSet_DIY(mets2415[[#This Row],[category]],{"ignore","PROT"}),"",_xlfn.LET(_xlpm.mw,mets2415[[#This Row],[MW for biomass normalization (g/mol)]],"MET-"&amp;mets2415[[#This Row],[name]]&amp;" --&gt; "&amp;IF((mets2415[[#This Row],[category]]="DNA")+(mets2415[[#This Row],[category]]="RNA"),"MET-ppi_c + ","")&amp;ROUND(ABS(_xlpm.mw/1000),6)&amp;" BIO-"&amp;mets2415[[#This Row],[name]]))</f>
        <v>MET-docosa_c --&gt; 0.339575 BIO-docosa_c</v>
      </c>
      <c r="M26" s="149" cm="1">
        <f t="array" ref="M2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-2.0213464680769532E-4</v>
      </c>
      <c r="N26" s="149"/>
      <c r="O26" s="149"/>
      <c r="P26" s="149"/>
      <c r="Q26" s="149"/>
      <c r="R26" s="149"/>
      <c r="S26" s="149"/>
      <c r="T26" s="149"/>
      <c r="U26" s="149"/>
      <c r="V26" s="149"/>
      <c r="AB26" t="str">
        <v>BIOSYN-CARB-chtn_c</v>
      </c>
      <c r="AC26" t="str">
        <v>MET-chtn_c --&gt; 0.203193 BIO-chtn_c</v>
      </c>
    </row>
    <row r="27" spans="1:29" ht="16" x14ac:dyDescent="0.2">
      <c r="A27" s="144" t="s">
        <v>1066</v>
      </c>
      <c r="B27" t="str">
        <f>SUBSTITUTE(_xlfn.TEXTBEFORE(mets2415[[#This Row],[pasted JSON metabolite keys and values from GSM biomass rxn]],":"),CHAR(34),"")</f>
        <v>dttp_c</v>
      </c>
      <c r="C27" t="str">
        <f>_xlfn.TEXTBEFORE(mets2415[[#This Row],[name]],"_",-1)</f>
        <v>dttp</v>
      </c>
      <c r="D27" t="str">
        <f>_xlfn.XLOOKUP(mets2415[[#This Row],[name w/o location]],metaboliteInfo[name w/o location],metaboliteInfo[suggested category],"")</f>
        <v>DNA</v>
      </c>
      <c r="E27" s="21">
        <f>_xlfn.XLOOKUP(mets2415[[#This Row],[name w/o location]],metaboliteInfo[name w/o location],metaboliteInfo[MW for biomass normalization (g/mol)],0)</f>
        <v>303.18524100000002</v>
      </c>
      <c r="F27" s="21">
        <f>_xlfn.NUMBERVALUE(SUBSTITUTE(_xlfn.TEXTAFTER(mets2415[[#This Row],[pasted JSON metabolite keys and values from GSM biomass rxn]],":"),",",""))</f>
        <v>-2.1281000000000001E-2</v>
      </c>
      <c r="G27" s="21" cm="1">
        <f t="array" ref="G27">_xlfn.LET(_xlpm.id,mets2415[[#This Row],[name w/o location]],IF(IsElementOfSet_DIY(_xlpm.id,{"atp","adp","h","pi","h2o"}),SIGN(mets2415[[#This Row],[raw (GSM) coefficient]])*(ABS(mets2415[[#This Row],[raw (GSM) coefficient]])-$J$2),mets2415[[#This Row],[raw (GSM) coefficient]]))</f>
        <v>-2.1281000000000001E-2</v>
      </c>
      <c r="H27" s="21">
        <f>mets2415[[#This Row],[coeff. w/o GAM]]</f>
        <v>-2.1281000000000001E-2</v>
      </c>
      <c r="I27" s="161">
        <f t="shared" si="0"/>
        <v>-2.1460159941497903E-2</v>
      </c>
      <c r="J27" s="21" cm="1">
        <f t="array" ref="J27">_xlfn.LET(_xlpm.id,mets2415[[#This Row],[name w/o location]],_xlpm.oldcoeff,mets2415[[#This Row],[normalized coeffs]],_xlpm.gam,$J$2-$G$2,_xlfn.IFS(IFERROR(MATCH(_xlpm.id,{"atp","h2o"},0),0)&gt;0,_xlpm.oldcoeff-_xlpm.gam,IFERROR(MATCH(_xlpm.id,{"adp","h","pi"},0),0)&gt;0,_xlpm.oldcoeff+_xlpm.gam,TRUE,_xlpm.oldcoeff))</f>
        <v>-2.1460159941497903E-2</v>
      </c>
      <c r="K27" t="str" cm="1">
        <f t="array" ref="K27">"BIOSYN-"&amp;_xlfn.IFS(IFERROR(MATCH(mets2415[[#This Row],[category]],{0,"0",""},0),0)&gt;0,mets2415[[#This Row],[name]],TRUE,mets2415[[#This Row],[category]]&amp;"-"&amp;mets2415[[#This Row],[name]])</f>
        <v>BIOSYN-DNA-dttp_c</v>
      </c>
      <c r="L27" s="149" t="str" cm="1">
        <f t="array" ref="L27">IF(IsElementOfSet_DIY(mets2415[[#This Row],[category]],{"ignore","PROT"}),"",_xlfn.LET(_xlpm.mw,mets2415[[#This Row],[MW for biomass normalization (g/mol)]],"MET-"&amp;mets2415[[#This Row],[name]]&amp;" --&gt; "&amp;IF((mets2415[[#This Row],[category]]="DNA")+(mets2415[[#This Row],[category]]="RNA"),"MET-ppi_c + ","")&amp;ROUND(ABS(_xlpm.mw/1000),6)&amp;" BIO-"&amp;mets2415[[#This Row],[name]]))</f>
        <v>MET-dttp_c --&gt; MET-ppi_c + 0.303185 BIO-dttp_c</v>
      </c>
      <c r="M27" s="149" cm="1">
        <f t="array" ref="M2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-1.5208811966843804E-2</v>
      </c>
      <c r="N27" s="149"/>
      <c r="O27" s="149"/>
      <c r="P27" s="149"/>
      <c r="Q27" s="149"/>
      <c r="R27" s="149"/>
      <c r="S27" s="149"/>
      <c r="T27" s="149"/>
      <c r="U27" s="149"/>
      <c r="V27" s="149"/>
      <c r="AB27" t="str">
        <v>BIOSYN-CARB-G00006_c</v>
      </c>
      <c r="AC27" t="str">
        <v>MET-G00006_c --&gt; 2.619137 BIO-G00006_c</v>
      </c>
    </row>
    <row r="28" spans="1:29" ht="16" x14ac:dyDescent="0.2">
      <c r="A28" s="144" t="s">
        <v>1067</v>
      </c>
      <c r="B28" t="str">
        <f>SUBSTITUTE(_xlfn.TEXTBEFORE(mets2415[[#This Row],[pasted JSON metabolite keys and values from GSM biomass rxn]],":"),CHAR(34),"")</f>
        <v>epist_c</v>
      </c>
      <c r="C28" t="str">
        <f>_xlfn.TEXTBEFORE(mets2415[[#This Row],[name]],"_",-1)</f>
        <v>epist</v>
      </c>
      <c r="D28" t="str">
        <f>_xlfn.XLOOKUP(mets2415[[#This Row],[name w/o location]],metaboliteInfo[name w/o location],metaboliteInfo[suggested category],"")</f>
        <v>LIPID</v>
      </c>
      <c r="E28" s="21">
        <f>_xlfn.XLOOKUP(mets2415[[#This Row],[name w/o location]],metaboliteInfo[name w/o location],metaboliteInfo[MW for biomass normalization (g/mol)],0)</f>
        <v>398.66424000000001</v>
      </c>
      <c r="F28" s="21">
        <f>_xlfn.NUMBERVALUE(SUBSTITUTE(_xlfn.TEXTAFTER(mets2415[[#This Row],[pasted JSON metabolite keys and values from GSM biomass rxn]],":"),",",""))</f>
        <v>-0.79138600000000003</v>
      </c>
      <c r="G28" s="21" cm="1">
        <f t="array" ref="G28">_xlfn.LET(_xlpm.id,mets2415[[#This Row],[name w/o location]],IF(IsElementOfSet_DIY(_xlpm.id,{"atp","adp","h","pi","h2o"}),SIGN(mets2415[[#This Row],[raw (GSM) coefficient]])*(ABS(mets2415[[#This Row],[raw (GSM) coefficient]])-$J$2),mets2415[[#This Row],[raw (GSM) coefficient]]))</f>
        <v>-0.79138600000000003</v>
      </c>
      <c r="H28" s="21">
        <f>mets2415[[#This Row],[coeff. w/o GAM]]</f>
        <v>-0.79138600000000003</v>
      </c>
      <c r="I28" s="161">
        <f t="shared" si="0"/>
        <v>-0.79804850032715846</v>
      </c>
      <c r="J28" s="21" cm="1">
        <f t="array" ref="J28">_xlfn.LET(_xlpm.id,mets2415[[#This Row],[name w/o location]],_xlpm.oldcoeff,mets2415[[#This Row],[normalized coeffs]],_xlpm.gam,$J$2-$G$2,_xlfn.IFS(IFERROR(MATCH(_xlpm.id,{"atp","h2o"},0),0)&gt;0,_xlpm.oldcoeff-_xlpm.gam,IFERROR(MATCH(_xlpm.id,{"adp","h","pi"},0),0)&gt;0,_xlpm.oldcoeff+_xlpm.gam,TRUE,_xlpm.oldcoeff))</f>
        <v>-0.79804850032715846</v>
      </c>
      <c r="K28" t="str" cm="1">
        <f t="array" ref="K28">"BIOSYN-"&amp;_xlfn.IFS(IFERROR(MATCH(mets2415[[#This Row],[category]],{0,"0",""},0),0)&gt;0,mets2415[[#This Row],[name]],TRUE,mets2415[[#This Row],[category]]&amp;"-"&amp;mets2415[[#This Row],[name]])</f>
        <v>BIOSYN-LIPID-epist_c</v>
      </c>
      <c r="L28" s="149" t="str" cm="1">
        <f t="array" ref="L28">IF(IsElementOfSet_DIY(mets2415[[#This Row],[category]],{"ignore","PROT"}),"",_xlfn.LET(_xlpm.mw,mets2415[[#This Row],[MW for biomass normalization (g/mol)]],"MET-"&amp;mets2415[[#This Row],[name]]&amp;" --&gt; "&amp;IF((mets2415[[#This Row],[category]]="DNA")+(mets2415[[#This Row],[category]]="RNA"),"MET-ppi_c + ","")&amp;ROUND(ABS(_xlpm.mw/1000),6)&amp;" BIO-"&amp;mets2415[[#This Row],[name]]))</f>
        <v>MET-epist_c --&gt; 0.398664 BIO-epist_c</v>
      </c>
      <c r="M28" s="149" cm="1">
        <f t="array" ref="M2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-0.51107517443627726</v>
      </c>
      <c r="N28" s="149"/>
      <c r="O28" s="149"/>
      <c r="P28" s="149"/>
      <c r="Q28" s="149"/>
      <c r="R28" s="149"/>
      <c r="S28" s="149"/>
      <c r="T28" s="149"/>
      <c r="U28" s="149"/>
      <c r="V28" s="149"/>
      <c r="AB28" t="str">
        <v>BIOSYN-CARB-gpianchorSC_r</v>
      </c>
      <c r="AC28" t="str">
        <v>MET-gpianchorSC_r --&gt; 2.280413 BIO-gpianchorSC_r</v>
      </c>
    </row>
    <row r="29" spans="1:29" ht="16" x14ac:dyDescent="0.2">
      <c r="A29" s="144" t="s">
        <v>974</v>
      </c>
      <c r="B29" t="str">
        <f>SUBSTITUTE(_xlfn.TEXTBEFORE(mets2415[[#This Row],[pasted JSON metabolite keys and values from GSM biomass rxn]],":"),CHAR(34),"")</f>
        <v>fad_c</v>
      </c>
      <c r="C29" t="str">
        <f>_xlfn.TEXTBEFORE(mets2415[[#This Row],[name]],"_",-1)</f>
        <v>fad</v>
      </c>
      <c r="D29" t="str">
        <f>_xlfn.XLOOKUP(mets2415[[#This Row],[name w/o location]],metaboliteInfo[name w/o location],metaboliteInfo[suggested category],"")</f>
        <v>COFACTOR</v>
      </c>
      <c r="E29" s="21">
        <f>_xlfn.XLOOKUP(mets2415[[#This Row],[name w/o location]],metaboliteInfo[name w/o location],metaboliteInfo[MW for biomass normalization (g/mol)],0)</f>
        <v>782.52592200000004</v>
      </c>
      <c r="F29" s="21">
        <f>_xlfn.NUMBERVALUE(SUBSTITUTE(_xlfn.TEXTAFTER(mets2415[[#This Row],[pasted JSON metabolite keys and values from GSM biomass rxn]],":"),",",""))</f>
        <v>-1E-4</v>
      </c>
      <c r="G29" s="21" cm="1">
        <f t="array" ref="G29">_xlfn.LET(_xlpm.id,mets2415[[#This Row],[name w/o location]],IF(IsElementOfSet_DIY(_xlpm.id,{"atp","adp","h","pi","h2o"}),SIGN(mets2415[[#This Row],[raw (GSM) coefficient]])*(ABS(mets2415[[#This Row],[raw (GSM) coefficient]])-$J$2),mets2415[[#This Row],[raw (GSM) coefficient]]))</f>
        <v>-1E-4</v>
      </c>
      <c r="H29" s="21">
        <f>mets2415[[#This Row],[coeff. w/o GAM]]</f>
        <v>-1E-4</v>
      </c>
      <c r="I29" s="161">
        <f t="shared" si="0"/>
        <v>-1.0084187745640667E-4</v>
      </c>
      <c r="J29" s="21" cm="1">
        <f t="array" ref="J29">_xlfn.LET(_xlpm.id,mets2415[[#This Row],[name w/o location]],_xlpm.oldcoeff,mets2415[[#This Row],[normalized coeffs]],_xlpm.gam,$J$2-$G$2,_xlfn.IFS(IFERROR(MATCH(_xlpm.id,{"atp","h2o"},0),0)&gt;0,_xlpm.oldcoeff-_xlpm.gam,IFERROR(MATCH(_xlpm.id,{"adp","h","pi"},0),0)&gt;0,_xlpm.oldcoeff+_xlpm.gam,TRUE,_xlpm.oldcoeff))</f>
        <v>-1.0084187745640667E-4</v>
      </c>
      <c r="K29" t="str" cm="1">
        <f t="array" ref="K29">"BIOSYN-"&amp;_xlfn.IFS(IFERROR(MATCH(mets2415[[#This Row],[category]],{0,"0",""},0),0)&gt;0,mets2415[[#This Row],[name]],TRUE,mets2415[[#This Row],[category]]&amp;"-"&amp;mets2415[[#This Row],[name]])</f>
        <v>BIOSYN-COFACTOR-fad_c</v>
      </c>
      <c r="L29" s="149" t="str" cm="1">
        <f t="array" ref="L29">IF(IsElementOfSet_DIY(mets2415[[#This Row],[category]],{"ignore","PROT"}),"",_xlfn.LET(_xlpm.mw,mets2415[[#This Row],[MW for biomass normalization (g/mol)]],"MET-"&amp;mets2415[[#This Row],[name]]&amp;" --&gt; "&amp;IF((mets2415[[#This Row],[category]]="DNA")+(mets2415[[#This Row],[category]]="RNA"),"MET-ppi_c + ","")&amp;ROUND(ABS(_xlpm.mw/1000),6)&amp;" BIO-"&amp;mets2415[[#This Row],[name]]))</f>
        <v>MET-fad_c --&gt; 0.782526 BIO-fad_c</v>
      </c>
      <c r="M29" s="149" cm="1">
        <f t="array" ref="M2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29" s="149"/>
      <c r="O29" s="149"/>
      <c r="P29" s="149"/>
      <c r="Q29" s="149"/>
      <c r="R29" s="149"/>
      <c r="S29" s="149"/>
      <c r="T29" s="149"/>
      <c r="U29" s="149"/>
      <c r="V29" s="149"/>
      <c r="AB29" t="str">
        <v>BIOSYN-CARB-oglycanSC_g</v>
      </c>
      <c r="AC29" t="str">
        <v>MET-oglycanSC_g --&gt; 0.810703 BIO-oglycanSC_g</v>
      </c>
    </row>
    <row r="30" spans="1:29" ht="16" x14ac:dyDescent="0.2">
      <c r="A30" s="144" t="s">
        <v>975</v>
      </c>
      <c r="B30" t="str">
        <f>SUBSTITUTE(_xlfn.TEXTBEFORE(mets2415[[#This Row],[pasted JSON metabolite keys and values from GSM biomass rxn]],":"),CHAR(34),"")</f>
        <v>fe2_c</v>
      </c>
      <c r="C30" t="str">
        <f>_xlfn.TEXTBEFORE(mets2415[[#This Row],[name]],"_",-1)</f>
        <v>fe2</v>
      </c>
      <c r="D30" t="str">
        <f>_xlfn.XLOOKUP(mets2415[[#This Row],[name w/o location]],metaboliteInfo[name w/o location],metaboliteInfo[suggested category],"")</f>
        <v>METAL</v>
      </c>
      <c r="E30" s="21">
        <f>_xlfn.XLOOKUP(mets2415[[#This Row],[name w/o location]],metaboliteInfo[name w/o location],metaboliteInfo[MW for biomass normalization (g/mol)],0)</f>
        <v>55.844999999999999</v>
      </c>
      <c r="F30" s="21">
        <f>_xlfn.NUMBERVALUE(SUBSTITUTE(_xlfn.TEXTAFTER(mets2415[[#This Row],[pasted JSON metabolite keys and values from GSM biomass rxn]],":"),",",""))</f>
        <v>-6.6399999999999999E-4</v>
      </c>
      <c r="G30" s="21" cm="1">
        <f t="array" ref="G30">_xlfn.LET(_xlpm.id,mets2415[[#This Row],[name w/o location]],IF(IsElementOfSet_DIY(_xlpm.id,{"atp","adp","h","pi","h2o"}),SIGN(mets2415[[#This Row],[raw (GSM) coefficient]])*(ABS(mets2415[[#This Row],[raw (GSM) coefficient]])-$J$2),mets2415[[#This Row],[raw (GSM) coefficient]]))</f>
        <v>-6.6399999999999999E-4</v>
      </c>
      <c r="H30" s="21">
        <f>mets2415[[#This Row],[coeff. w/o GAM]]</f>
        <v>-6.6399999999999999E-4</v>
      </c>
      <c r="I30" s="161">
        <f t="shared" si="0"/>
        <v>-6.6959006631054014E-4</v>
      </c>
      <c r="J30" s="21" cm="1">
        <f t="array" ref="J30">_xlfn.LET(_xlpm.id,mets2415[[#This Row],[name w/o location]],_xlpm.oldcoeff,mets2415[[#This Row],[normalized coeffs]],_xlpm.gam,$J$2-$G$2,_xlfn.IFS(IFERROR(MATCH(_xlpm.id,{"atp","h2o"},0),0)&gt;0,_xlpm.oldcoeff-_xlpm.gam,IFERROR(MATCH(_xlpm.id,{"adp","h","pi"},0),0)&gt;0,_xlpm.oldcoeff+_xlpm.gam,TRUE,_xlpm.oldcoeff))</f>
        <v>-6.6959006631054014E-4</v>
      </c>
      <c r="K30" t="str" cm="1">
        <f t="array" ref="K30">"BIOSYN-"&amp;_xlfn.IFS(IFERROR(MATCH(mets2415[[#This Row],[category]],{0,"0",""},0),0)&gt;0,mets2415[[#This Row],[name]],TRUE,mets2415[[#This Row],[category]]&amp;"-"&amp;mets2415[[#This Row],[name]])</f>
        <v>BIOSYN-METAL-fe2_c</v>
      </c>
      <c r="L30" s="149" t="str" cm="1">
        <f t="array" ref="L30">IF(IsElementOfSet_DIY(mets2415[[#This Row],[category]],{"ignore","PROT"}),"",_xlfn.LET(_xlpm.mw,mets2415[[#This Row],[MW for biomass normalization (g/mol)]],"MET-"&amp;mets2415[[#This Row],[name]]&amp;" --&gt; "&amp;IF((mets2415[[#This Row],[category]]="DNA")+(mets2415[[#This Row],[category]]="RNA"),"MET-ppi_c + ","")&amp;ROUND(ABS(_xlpm.mw/1000),6)&amp;" BIO-"&amp;mets2415[[#This Row],[name]]))</f>
        <v>MET-fe2_c --&gt; 0.055845 BIO-fe2_c</v>
      </c>
      <c r="M30" s="149" cm="1">
        <f t="array" ref="M3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-6.6959006631054014E-4</v>
      </c>
      <c r="N30" s="149"/>
      <c r="O30" s="149"/>
      <c r="P30" s="149"/>
      <c r="Q30" s="149"/>
      <c r="R30" s="149"/>
      <c r="S30" s="149"/>
      <c r="T30" s="149"/>
      <c r="U30" s="149"/>
      <c r="V30" s="149"/>
      <c r="AB30" t="str">
        <v>BIOSYN-COFACTOR-amet_c</v>
      </c>
      <c r="AC30" t="str">
        <v>MET-amet_c --&gt; 0.399445 BIO-amet_c</v>
      </c>
    </row>
    <row r="31" spans="1:29" ht="16" x14ac:dyDescent="0.2">
      <c r="A31" s="144" t="s">
        <v>1068</v>
      </c>
      <c r="B31" t="str">
        <f>SUBSTITUTE(_xlfn.TEXTBEFORE(mets2415[[#This Row],[pasted JSON metabolite keys and values from GSM biomass rxn]],":"),CHAR(34),"")</f>
        <v>glntrna_c</v>
      </c>
      <c r="C31" t="str">
        <f>_xlfn.TEXTBEFORE(mets2415[[#This Row],[name]],"_",-1)</f>
        <v>glntrna</v>
      </c>
      <c r="D31" t="str">
        <f>_xlfn.XLOOKUP(mets2415[[#This Row],[name w/o location]],metaboliteInfo[name w/o location],metaboliteInfo[suggested category],"")</f>
        <v>PROT</v>
      </c>
      <c r="E31" s="21">
        <f>_xlfn.XLOOKUP(mets2415[[#This Row],[name w/o location]],metaboliteInfo[name w/o location],metaboliteInfo[MW for biomass normalization (g/mol)],0)</f>
        <v>129.13715999999999</v>
      </c>
      <c r="F31" s="21">
        <f>_xlfn.NUMBERVALUE(SUBSTITUTE(_xlfn.TEXTAFTER(mets2415[[#This Row],[pasted JSON metabolite keys and values from GSM biomass rxn]],":"),",",""))</f>
        <v>-0.216946</v>
      </c>
      <c r="G31" s="21" cm="1">
        <f t="array" ref="G31">_xlfn.LET(_xlpm.id,mets2415[[#This Row],[name w/o location]],IF(IsElementOfSet_DIY(_xlpm.id,{"atp","adp","h","pi","h2o"}),SIGN(mets2415[[#This Row],[raw (GSM) coefficient]])*(ABS(mets2415[[#This Row],[raw (GSM) coefficient]])-$J$2),mets2415[[#This Row],[raw (GSM) coefficient]]))</f>
        <v>-0.216946</v>
      </c>
      <c r="H31" s="21">
        <f>mets2415[[#This Row],[coeff. w/o GAM]]</f>
        <v>-0.216946</v>
      </c>
      <c r="I31" s="161">
        <f t="shared" si="0"/>
        <v>-0.218772419466576</v>
      </c>
      <c r="J31" s="21" cm="1">
        <f t="array" ref="J31">_xlfn.LET(_xlpm.id,mets2415[[#This Row],[name w/o location]],_xlpm.oldcoeff,mets2415[[#This Row],[normalized coeffs]],_xlpm.gam,$J$2-$G$2,_xlfn.IFS(IFERROR(MATCH(_xlpm.id,{"atp","h2o"},0),0)&gt;0,_xlpm.oldcoeff-_xlpm.gam,IFERROR(MATCH(_xlpm.id,{"adp","h","pi"},0),0)&gt;0,_xlpm.oldcoeff+_xlpm.gam,TRUE,_xlpm.oldcoeff))</f>
        <v>-0.218772419466576</v>
      </c>
      <c r="K31" t="str" cm="1">
        <f t="array" ref="K31">"BIOSYN-"&amp;_xlfn.IFS(IFERROR(MATCH(mets2415[[#This Row],[category]],{0,"0",""},0),0)&gt;0,mets2415[[#This Row],[name]],TRUE,mets2415[[#This Row],[category]]&amp;"-"&amp;mets2415[[#This Row],[name]])</f>
        <v>BIOSYN-PROT-glntrna_c</v>
      </c>
      <c r="L31" s="149" t="str" cm="1">
        <f t="array" ref="L31">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31" s="149" cm="1">
        <f t="array" ref="M3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-9.6277403913972673E-2</v>
      </c>
      <c r="N31" s="149"/>
      <c r="O31" s="149"/>
      <c r="P31" s="149"/>
      <c r="Q31" s="149"/>
      <c r="R31" s="149"/>
      <c r="S31" s="149"/>
      <c r="T31" s="149"/>
      <c r="U31" s="149"/>
      <c r="V31" s="149"/>
      <c r="AB31" t="str">
        <v>BIOSYN-COFACTOR-btn_c</v>
      </c>
      <c r="AC31" t="str">
        <v>MET-btn_c --&gt; 0.243303 BIO-btn_c</v>
      </c>
    </row>
    <row r="32" spans="1:29" ht="16" x14ac:dyDescent="0.2">
      <c r="A32" s="144" t="s">
        <v>1069</v>
      </c>
      <c r="B32" t="str">
        <f>SUBSTITUTE(_xlfn.TEXTBEFORE(mets2415[[#This Row],[pasted JSON metabolite keys and values from GSM biomass rxn]],":"),CHAR(34),"")</f>
        <v>glutrna_c</v>
      </c>
      <c r="C32" t="str">
        <f>_xlfn.TEXTBEFORE(mets2415[[#This Row],[name]],"_",-1)</f>
        <v>glutrna</v>
      </c>
      <c r="D32" t="str">
        <f>_xlfn.XLOOKUP(mets2415[[#This Row],[name w/o location]],metaboliteInfo[name w/o location],metaboliteInfo[suggested category],"")</f>
        <v>PROT</v>
      </c>
      <c r="E32" s="21">
        <f>_xlfn.XLOOKUP(mets2415[[#This Row],[name w/o location]],metaboliteInfo[name w/o location],metaboliteInfo[MW for biomass normalization (g/mol)],0)</f>
        <v>129.11398</v>
      </c>
      <c r="F32" s="21">
        <f>_xlfn.NUMBERVALUE(SUBSTITUTE(_xlfn.TEXTAFTER(mets2415[[#This Row],[pasted JSON metabolite keys and values from GSM biomass rxn]],":"),",",""))</f>
        <v>-0.216946</v>
      </c>
      <c r="G32" s="21" cm="1">
        <f t="array" ref="G32">_xlfn.LET(_xlpm.id,mets2415[[#This Row],[name w/o location]],IF(IsElementOfSet_DIY(_xlpm.id,{"atp","adp","h","pi","h2o"}),SIGN(mets2415[[#This Row],[raw (GSM) coefficient]])*(ABS(mets2415[[#This Row],[raw (GSM) coefficient]])-$J$2),mets2415[[#This Row],[raw (GSM) coefficient]]))</f>
        <v>-0.216946</v>
      </c>
      <c r="H32" s="21">
        <f>mets2415[[#This Row],[coeff. w/o GAM]]</f>
        <v>-0.216946</v>
      </c>
      <c r="I32" s="161">
        <f t="shared" si="0"/>
        <v>-0.218772419466576</v>
      </c>
      <c r="J32" s="21" cm="1">
        <f t="array" ref="J32">_xlfn.LET(_xlpm.id,mets2415[[#This Row],[name w/o location]],_xlpm.oldcoeff,mets2415[[#This Row],[normalized coeffs]],_xlpm.gam,$J$2-$G$2,_xlfn.IFS(IFERROR(MATCH(_xlpm.id,{"atp","h2o"},0),0)&gt;0,_xlpm.oldcoeff-_xlpm.gam,IFERROR(MATCH(_xlpm.id,{"adp","h","pi"},0),0)&gt;0,_xlpm.oldcoeff+_xlpm.gam,TRUE,_xlpm.oldcoeff))</f>
        <v>-0.218772419466576</v>
      </c>
      <c r="K32" t="str" cm="1">
        <f t="array" ref="K32">"BIOSYN-"&amp;_xlfn.IFS(IFERROR(MATCH(mets2415[[#This Row],[category]],{0,"0",""},0),0)&gt;0,mets2415[[#This Row],[name]],TRUE,mets2415[[#This Row],[category]]&amp;"-"&amp;mets2415[[#This Row],[name]])</f>
        <v>BIOSYN-PROT-glutrna_c</v>
      </c>
      <c r="L32" s="149" t="str" cm="1">
        <f t="array" ref="L32">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32" s="149" cm="1">
        <f t="array" ref="M3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-9.6277403913972673E-2</v>
      </c>
      <c r="N32" s="149"/>
      <c r="O32" s="149"/>
      <c r="P32" s="149"/>
      <c r="Q32" s="149"/>
      <c r="R32" s="149"/>
      <c r="S32" s="149"/>
      <c r="T32" s="149"/>
      <c r="U32" s="149"/>
      <c r="V32" s="149"/>
      <c r="AB32" t="str">
        <v>BIOSYN-COFACTOR-coa_c</v>
      </c>
      <c r="AC32" t="str">
        <v>MET-coa_c --&gt; 0.763502 BIO-coa_c</v>
      </c>
    </row>
    <row r="33" spans="1:29" ht="16" x14ac:dyDescent="0.2">
      <c r="A33" s="144" t="s">
        <v>1070</v>
      </c>
      <c r="B33" t="str">
        <f>SUBSTITUTE(_xlfn.TEXTBEFORE(mets2415[[#This Row],[pasted JSON metabolite keys and values from GSM biomass rxn]],":"),CHAR(34),"")</f>
        <v>glytrna_c</v>
      </c>
      <c r="C33" t="str">
        <f>_xlfn.TEXTBEFORE(mets2415[[#This Row],[name]],"_",-1)</f>
        <v>glytrna</v>
      </c>
      <c r="D33" t="str">
        <f>_xlfn.XLOOKUP(mets2415[[#This Row],[name w/o location]],metaboliteInfo[name w/o location],metaboliteInfo[suggested category],"")</f>
        <v>PROT</v>
      </c>
      <c r="E33" s="21">
        <f>_xlfn.XLOOKUP(mets2415[[#This Row],[name w/o location]],metaboliteInfo[name w/o location],metaboliteInfo[MW for biomass normalization (g/mol)],0)</f>
        <v>58.059260000000002</v>
      </c>
      <c r="F33" s="21">
        <f>_xlfn.NUMBERVALUE(SUBSTITUTE(_xlfn.TEXTAFTER(mets2415[[#This Row],[pasted JSON metabolite keys and values from GSM biomass rxn]],":"),",",""))</f>
        <v>-0.24918000000000001</v>
      </c>
      <c r="G33" s="21" cm="1">
        <f t="array" ref="G33">_xlfn.LET(_xlpm.id,mets2415[[#This Row],[name w/o location]],IF(IsElementOfSet_DIY(_xlpm.id,{"atp","adp","h","pi","h2o"}),SIGN(mets2415[[#This Row],[raw (GSM) coefficient]])*(ABS(mets2415[[#This Row],[raw (GSM) coefficient]])-$J$2),mets2415[[#This Row],[raw (GSM) coefficient]]))</f>
        <v>-0.24918000000000001</v>
      </c>
      <c r="H33" s="21">
        <f>mets2415[[#This Row],[coeff. w/o GAM]]</f>
        <v>-0.24918000000000001</v>
      </c>
      <c r="I33" s="161">
        <f t="shared" si="0"/>
        <v>-0.2512777902458741</v>
      </c>
      <c r="J33" s="21" cm="1">
        <f t="array" ref="J33">_xlfn.LET(_xlpm.id,mets2415[[#This Row],[name w/o location]],_xlpm.oldcoeff,mets2415[[#This Row],[normalized coeffs]],_xlpm.gam,$J$2-$G$2,_xlfn.IFS(IFERROR(MATCH(_xlpm.id,{"atp","h2o"},0),0)&gt;0,_xlpm.oldcoeff-_xlpm.gam,IFERROR(MATCH(_xlpm.id,{"adp","h","pi"},0),0)&gt;0,_xlpm.oldcoeff+_xlpm.gam,TRUE,_xlpm.oldcoeff))</f>
        <v>-0.2512777902458741</v>
      </c>
      <c r="K33" t="str" cm="1">
        <f t="array" ref="K33">"BIOSYN-"&amp;_xlfn.IFS(IFERROR(MATCH(mets2415[[#This Row],[category]],{0,"0",""},0),0)&gt;0,mets2415[[#This Row],[name]],TRUE,mets2415[[#This Row],[category]]&amp;"-"&amp;mets2415[[#This Row],[name]])</f>
        <v>BIOSYN-PROT-glytrna_c</v>
      </c>
      <c r="L33" s="149" t="str" cm="1">
        <f t="array" ref="L33">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33" s="149" cm="1">
        <f t="array" ref="M3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-0.11058237306649447</v>
      </c>
      <c r="N33" s="149"/>
      <c r="O33" s="149"/>
      <c r="P33" s="149"/>
      <c r="Q33" s="149"/>
      <c r="R33" s="149"/>
      <c r="S33" s="149"/>
      <c r="T33" s="149"/>
      <c r="U33" s="149"/>
      <c r="V33" s="149"/>
      <c r="AB33" t="str">
        <v>BIOSYN-COFACTOR-fad_c</v>
      </c>
      <c r="AC33" t="str">
        <v>MET-fad_c --&gt; 0.782526 BIO-fad_c</v>
      </c>
    </row>
    <row r="34" spans="1:29" ht="16" x14ac:dyDescent="0.2">
      <c r="A34" s="144" t="s">
        <v>1071</v>
      </c>
      <c r="B34" t="str">
        <f>SUBSTITUTE(_xlfn.TEXTBEFORE(mets2415[[#This Row],[pasted JSON metabolite keys and values from GSM biomass rxn]],":"),CHAR(34),"")</f>
        <v>gpianchorSC_r</v>
      </c>
      <c r="C34" t="str">
        <f>_xlfn.TEXTBEFORE(mets2415[[#This Row],[name]],"_",-1)</f>
        <v>gpianchorSC</v>
      </c>
      <c r="D34" t="str">
        <f>_xlfn.XLOOKUP(mets2415[[#This Row],[name w/o location]],metaboliteInfo[name w/o location],metaboliteInfo[suggested category],"")</f>
        <v>CARB</v>
      </c>
      <c r="E34" s="21">
        <f>_xlfn.XLOOKUP(mets2415[[#This Row],[name w/o location]],metaboliteInfo[name w/o location],metaboliteInfo[MW for biomass normalization (g/mol)],0)</f>
        <v>2280.41334042176</v>
      </c>
      <c r="F34" s="21">
        <f>_xlfn.NUMBERVALUE(SUBSTITUTE(_xlfn.TEXTAFTER(mets2415[[#This Row],[pasted JSON metabolite keys and values from GSM biomass rxn]],":"),",",""))</f>
        <v>-6.5199999999999998E-3</v>
      </c>
      <c r="G34" s="21" cm="1">
        <f t="array" ref="G34">_xlfn.LET(_xlpm.id,mets2415[[#This Row],[name w/o location]],IF(IsElementOfSet_DIY(_xlpm.id,{"atp","adp","h","pi","h2o"}),SIGN(mets2415[[#This Row],[raw (GSM) coefficient]])*(ABS(mets2415[[#This Row],[raw (GSM) coefficient]])-$J$2),mets2415[[#This Row],[raw (GSM) coefficient]]))</f>
        <v>-6.5199999999999998E-3</v>
      </c>
      <c r="H34" s="21">
        <f>mets2415[[#This Row],[coeff. w/o GAM]]</f>
        <v>-6.5199999999999998E-3</v>
      </c>
      <c r="I34" s="161">
        <f t="shared" si="0"/>
        <v>-6.5748904101577141E-3</v>
      </c>
      <c r="J34" s="21" cm="1">
        <f t="array" ref="J34">_xlfn.LET(_xlpm.id,mets2415[[#This Row],[name w/o location]],_xlpm.oldcoeff,mets2415[[#This Row],[normalized coeffs]],_xlpm.gam,$J$2-$G$2,_xlfn.IFS(IFERROR(MATCH(_xlpm.id,{"atp","h2o"},0),0)&gt;0,_xlpm.oldcoeff-_xlpm.gam,IFERROR(MATCH(_xlpm.id,{"adp","h","pi"},0),0)&gt;0,_xlpm.oldcoeff+_xlpm.gam,TRUE,_xlpm.oldcoeff))</f>
        <v>-6.5748904101577141E-3</v>
      </c>
      <c r="K34" t="str" cm="1">
        <f t="array" ref="K34">"BIOSYN-"&amp;_xlfn.IFS(IFERROR(MATCH(mets2415[[#This Row],[category]],{0,"0",""},0),0)&gt;0,mets2415[[#This Row],[name]],TRUE,mets2415[[#This Row],[category]]&amp;"-"&amp;mets2415[[#This Row],[name]])</f>
        <v>BIOSYN-CARB-gpianchorSC_r</v>
      </c>
      <c r="L34" s="149" t="str" cm="1">
        <f t="array" ref="L34">IF(IsElementOfSet_DIY(mets2415[[#This Row],[category]],{"ignore","PROT"}),"",_xlfn.LET(_xlpm.mw,mets2415[[#This Row],[MW for biomass normalization (g/mol)]],"MET-"&amp;mets2415[[#This Row],[name]]&amp;" --&gt; "&amp;IF((mets2415[[#This Row],[category]]="DNA")+(mets2415[[#This Row],[category]]="RNA"),"MET-ppi_c + ","")&amp;ROUND(ABS(_xlpm.mw/1000),6)&amp;" BIO-"&amp;mets2415[[#This Row],[name]]))</f>
        <v>MET-gpianchorSC_r --&gt; 2.280413 BIO-gpianchorSC_r</v>
      </c>
      <c r="M34" s="149" cm="1">
        <f t="array" ref="M3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-2.5571110157581897E-2</v>
      </c>
      <c r="N34" s="149"/>
      <c r="O34" s="149"/>
      <c r="P34" s="149"/>
      <c r="Q34" s="149"/>
      <c r="R34" s="149"/>
      <c r="S34" s="149"/>
      <c r="T34" s="149"/>
      <c r="U34" s="149"/>
      <c r="V34" s="149"/>
      <c r="AB34" t="str">
        <v>BIOSYN-COFACTOR-hemeA_c</v>
      </c>
      <c r="AC34" t="str">
        <v>MET-hemeA_c --&gt; 0.850821 BIO-hemeA_c</v>
      </c>
    </row>
    <row r="35" spans="1:29" ht="16" x14ac:dyDescent="0.2">
      <c r="A35" s="144" t="s">
        <v>1072</v>
      </c>
      <c r="B35" t="str">
        <f>SUBSTITUTE(_xlfn.TEXTBEFORE(mets2415[[#This Row],[pasted JSON metabolite keys and values from GSM biomass rxn]],":"),CHAR(34),"")</f>
        <v>gtp_c</v>
      </c>
      <c r="C35" t="str">
        <f>_xlfn.TEXTBEFORE(mets2415[[#This Row],[name]],"_",-1)</f>
        <v>gtp</v>
      </c>
      <c r="D35" t="str">
        <f>_xlfn.XLOOKUP(mets2415[[#This Row],[name w/o location]],metaboliteInfo[name w/o location],metaboliteInfo[suggested category],"")</f>
        <v>RNA</v>
      </c>
      <c r="E35" s="21">
        <f>_xlfn.XLOOKUP(mets2415[[#This Row],[name w/o location]],metaboliteInfo[name w/o location],metaboliteInfo[MW for biomass normalization (g/mol)],0)</f>
        <v>344.19740100000001</v>
      </c>
      <c r="F35" s="21">
        <f>_xlfn.NUMBERVALUE(SUBSTITUTE(_xlfn.TEXTAFTER(mets2415[[#This Row],[pasted JSON metabolite keys and values from GSM biomass rxn]],":"),",",""))</f>
        <v>-4.3055000000000003E-2</v>
      </c>
      <c r="G35" s="21" cm="1">
        <f t="array" ref="G35">_xlfn.LET(_xlpm.id,mets2415[[#This Row],[name w/o location]],IF(IsElementOfSet_DIY(_xlpm.id,{"atp","adp","h","pi","h2o"}),SIGN(mets2415[[#This Row],[raw (GSM) coefficient]])*(ABS(mets2415[[#This Row],[raw (GSM) coefficient]])-$J$2),mets2415[[#This Row],[raw (GSM) coefficient]]))</f>
        <v>-4.3055000000000003E-2</v>
      </c>
      <c r="H35" s="21">
        <f>mets2415[[#This Row],[coeff. w/o GAM]]</f>
        <v>-4.3055000000000003E-2</v>
      </c>
      <c r="I35" s="161">
        <f t="shared" si="0"/>
        <v>-4.3417470338855887E-2</v>
      </c>
      <c r="J35" s="21" cm="1">
        <f t="array" ref="J35">_xlfn.LET(_xlpm.id,mets2415[[#This Row],[name w/o location]],_xlpm.oldcoeff,mets2415[[#This Row],[normalized coeffs]],_xlpm.gam,$J$2-$G$2,_xlfn.IFS(IFERROR(MATCH(_xlpm.id,{"atp","h2o"},0),0)&gt;0,_xlpm.oldcoeff-_xlpm.gam,IFERROR(MATCH(_xlpm.id,{"adp","h","pi"},0),0)&gt;0,_xlpm.oldcoeff+_xlpm.gam,TRUE,_xlpm.oldcoeff))</f>
        <v>-4.3417470338855887E-2</v>
      </c>
      <c r="K35" t="str" cm="1">
        <f t="array" ref="K35">"BIOSYN-"&amp;_xlfn.IFS(IFERROR(MATCH(mets2415[[#This Row],[category]],{0,"0",""},0),0)&gt;0,mets2415[[#This Row],[name]],TRUE,mets2415[[#This Row],[category]]&amp;"-"&amp;mets2415[[#This Row],[name]])</f>
        <v>BIOSYN-RNA-gtp_c</v>
      </c>
      <c r="L35" s="149" t="str" cm="1">
        <f t="array" ref="L35">IF(IsElementOfSet_DIY(mets2415[[#This Row],[category]],{"ignore","PROT"}),"",_xlfn.LET(_xlpm.mw,mets2415[[#This Row],[MW for biomass normalization (g/mol)]],"MET-"&amp;mets2415[[#This Row],[name]]&amp;" --&gt; "&amp;IF((mets2415[[#This Row],[category]]="DNA")+(mets2415[[#This Row],[category]]="RNA"),"MET-ppi_c + ","")&amp;ROUND(ABS(_xlpm.mw/1000),6)&amp;" BIO-"&amp;mets2415[[#This Row],[name]]))</f>
        <v>MET-gtp_c --&gt; MET-ppi_c + 0.344197 BIO-gtp_c</v>
      </c>
      <c r="M35" s="149" cm="1">
        <f t="array" ref="M3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-2.2742615994235816E-2</v>
      </c>
      <c r="N35" s="149"/>
      <c r="O35" s="149"/>
      <c r="P35" s="149"/>
      <c r="Q35" s="149"/>
      <c r="R35" s="149"/>
      <c r="S35" s="149"/>
      <c r="T35" s="149"/>
      <c r="U35" s="149"/>
      <c r="V35" s="149"/>
      <c r="AB35" t="str">
        <v>BIOSYN-COFACTOR-nad_c</v>
      </c>
      <c r="AC35" t="str">
        <v>MET-nad_c --&gt; 0.662417 BIO-nad_c</v>
      </c>
    </row>
    <row r="36" spans="1:29" ht="16" x14ac:dyDescent="0.2">
      <c r="A36" s="144" t="s">
        <v>1073</v>
      </c>
      <c r="B36" t="str">
        <f>SUBSTITUTE(_xlfn.TEXTBEFORE(mets2415[[#This Row],[pasted JSON metabolite keys and values from GSM biomass rxn]],":"),CHAR(34),"")</f>
        <v>h2o_c</v>
      </c>
      <c r="C36" t="str">
        <f>_xlfn.TEXTBEFORE(mets2415[[#This Row],[name]],"_",-1)</f>
        <v>h2o</v>
      </c>
      <c r="D36" t="str">
        <f>_xlfn.XLOOKUP(mets2415[[#This Row],[name w/o location]],metaboliteInfo[name w/o location],metaboliteInfo[suggested category],"")</f>
        <v>GAM</v>
      </c>
      <c r="E36" s="21">
        <f>_xlfn.XLOOKUP(mets2415[[#This Row],[name w/o location]],metaboliteInfo[name w/o location],metaboliteInfo[MW for biomass normalization (g/mol)],0)</f>
        <v>18.015280000000001</v>
      </c>
      <c r="F36" s="21">
        <f>_xlfn.NUMBERVALUE(SUBSTITUTE(_xlfn.TEXTAFTER(mets2415[[#This Row],[pasted JSON metabolite keys and values from GSM biomass rxn]],":"),",",""))</f>
        <v>-189.454734</v>
      </c>
      <c r="G36" s="21" cm="1">
        <f t="array" ref="G36">_xlfn.LET(_xlpm.id,mets2415[[#This Row],[name w/o location]],IF(IsElementOfSet_DIY(_xlpm.id,{"atp","adp","h","pi","h2o"}),SIGN(mets2415[[#This Row],[raw (GSM) coefficient]])*(ABS(mets2415[[#This Row],[raw (GSM) coefficient]])-$J$2),mets2415[[#This Row],[raw (GSM) coefficient]]))</f>
        <v>0</v>
      </c>
      <c r="H36" s="21">
        <f>mets2415[[#This Row],[coeff. w/o GAM]]</f>
        <v>0</v>
      </c>
      <c r="I36" s="161">
        <f t="shared" si="0"/>
        <v>0</v>
      </c>
      <c r="J36" s="21" cm="1">
        <f t="array" ref="J36">_xlfn.LET(_xlpm.id,mets2415[[#This Row],[name w/o location]],_xlpm.oldcoeff,mets2415[[#This Row],[normalized coeffs]],_xlpm.gam,$J$2-$G$2,_xlfn.IFS(IFERROR(MATCH(_xlpm.id,{"atp","h2o"},0),0)&gt;0,_xlpm.oldcoeff-_xlpm.gam,IFERROR(MATCH(_xlpm.id,{"adp","h","pi"},0),0)&gt;0,_xlpm.oldcoeff+_xlpm.gam,TRUE,_xlpm.oldcoeff))</f>
        <v>-186.87473399999999</v>
      </c>
      <c r="K36" t="str" cm="1">
        <f t="array" ref="K36">"BIOSYN-"&amp;_xlfn.IFS(IFERROR(MATCH(mets2415[[#This Row],[category]],{0,"0",""},0),0)&gt;0,mets2415[[#This Row],[name]],TRUE,mets2415[[#This Row],[category]]&amp;"-"&amp;mets2415[[#This Row],[name]])</f>
        <v>BIOSYN-GAM-h2o_c</v>
      </c>
      <c r="L36" s="149" t="str" cm="1">
        <f t="array" ref="L36">IF(IsElementOfSet_DIY(mets2415[[#This Row],[category]],{"ignore","PROT"}),"",_xlfn.LET(_xlpm.mw,mets2415[[#This Row],[MW for biomass normalization (g/mol)]],"MET-"&amp;mets2415[[#This Row],[name]]&amp;" --&gt; "&amp;IF((mets2415[[#This Row],[category]]="DNA")+(mets2415[[#This Row],[category]]="RNA"),"MET-ppi_c + ","")&amp;ROUND(ABS(_xlpm.mw/1000),6)&amp;" BIO-"&amp;mets2415[[#This Row],[name]]))</f>
        <v>MET-h2o_c --&gt; 0.018015 BIO-h2o_c</v>
      </c>
      <c r="M36" s="149" cm="1">
        <f t="array" ref="M3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-189.454734</v>
      </c>
      <c r="N36" s="149"/>
      <c r="O36" s="149"/>
      <c r="P36" s="149"/>
      <c r="Q36" s="149"/>
      <c r="R36" s="149"/>
      <c r="S36" s="149"/>
      <c r="T36" s="149"/>
      <c r="U36" s="149"/>
      <c r="V36" s="149"/>
      <c r="AB36" t="str">
        <v>BIOSYN-COFACTOR-nadp_c</v>
      </c>
      <c r="AC36" t="str">
        <v>MET-nadp_c --&gt; 0.740381 BIO-nadp_c</v>
      </c>
    </row>
    <row r="37" spans="1:29" ht="16" x14ac:dyDescent="0.2">
      <c r="A37" s="144" t="s">
        <v>1074</v>
      </c>
      <c r="B37" t="str">
        <f>SUBSTITUTE(_xlfn.TEXTBEFORE(mets2415[[#This Row],[pasted JSON metabolite keys and values from GSM biomass rxn]],":"),CHAR(34),"")</f>
        <v>h_c</v>
      </c>
      <c r="C37" t="str">
        <f>_xlfn.TEXTBEFORE(mets2415[[#This Row],[name]],"_",-1)</f>
        <v>h</v>
      </c>
      <c r="D37" t="str">
        <f>_xlfn.XLOOKUP(mets2415[[#This Row],[name w/o location]],metaboliteInfo[name w/o location],metaboliteInfo[suggested category],"")</f>
        <v>GAM</v>
      </c>
      <c r="E37" s="21">
        <f>_xlfn.XLOOKUP(mets2415[[#This Row],[name w/o location]],metaboliteInfo[name w/o location],metaboliteInfo[MW for biomass normalization (g/mol)],0)</f>
        <v>1.0079400000000001</v>
      </c>
      <c r="F37" s="21">
        <f>_xlfn.NUMBERVALUE(SUBSTITUTE(_xlfn.TEXTAFTER(mets2415[[#This Row],[pasted JSON metabolite keys and values from GSM biomass rxn]],":"),",",""))</f>
        <v>189.454734</v>
      </c>
      <c r="G37" s="21" cm="1">
        <f t="array" ref="G37">_xlfn.LET(_xlpm.id,mets2415[[#This Row],[name w/o location]],IF(IsElementOfSet_DIY(_xlpm.id,{"atp","adp","h","pi","h2o"}),SIGN(mets2415[[#This Row],[raw (GSM) coefficient]])*(ABS(mets2415[[#This Row],[raw (GSM) coefficient]])-$J$2),mets2415[[#This Row],[raw (GSM) coefficient]]))</f>
        <v>0</v>
      </c>
      <c r="H37" s="21">
        <f>mets2415[[#This Row],[coeff. w/o GAM]]</f>
        <v>0</v>
      </c>
      <c r="I37" s="161">
        <f t="shared" si="0"/>
        <v>0</v>
      </c>
      <c r="J37" s="21" cm="1">
        <f t="array" ref="J37">_xlfn.LET(_xlpm.id,mets2415[[#This Row],[name w/o location]],_xlpm.oldcoeff,mets2415[[#This Row],[normalized coeffs]],_xlpm.gam,$J$2-$G$2,_xlfn.IFS(IFERROR(MATCH(_xlpm.id,{"atp","h2o"},0),0)&gt;0,_xlpm.oldcoeff-_xlpm.gam,IFERROR(MATCH(_xlpm.id,{"adp","h","pi"},0),0)&gt;0,_xlpm.oldcoeff+_xlpm.gam,TRUE,_xlpm.oldcoeff))</f>
        <v>186.87473399999999</v>
      </c>
      <c r="K37" t="str" cm="1">
        <f t="array" ref="K37">"BIOSYN-"&amp;_xlfn.IFS(IFERROR(MATCH(mets2415[[#This Row],[category]],{0,"0",""},0),0)&gt;0,mets2415[[#This Row],[name]],TRUE,mets2415[[#This Row],[category]]&amp;"-"&amp;mets2415[[#This Row],[name]])</f>
        <v>BIOSYN-GAM-h_c</v>
      </c>
      <c r="L37" s="149" t="str" cm="1">
        <f t="array" ref="L37">IF(IsElementOfSet_DIY(mets2415[[#This Row],[category]],{"ignore","PROT"}),"",_xlfn.LET(_xlpm.mw,mets2415[[#This Row],[MW for biomass normalization (g/mol)]],"MET-"&amp;mets2415[[#This Row],[name]]&amp;" --&gt; "&amp;IF((mets2415[[#This Row],[category]]="DNA")+(mets2415[[#This Row],[category]]="RNA"),"MET-ppi_c + ","")&amp;ROUND(ABS(_xlpm.mw/1000),6)&amp;" BIO-"&amp;mets2415[[#This Row],[name]]))</f>
        <v>MET-h_c --&gt; 0.001008 BIO-h_c</v>
      </c>
      <c r="M37" s="149" cm="1">
        <f t="array" ref="M3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189.454734</v>
      </c>
      <c r="N37" s="149"/>
      <c r="O37" s="149"/>
      <c r="P37" s="149"/>
      <c r="Q37" s="149"/>
      <c r="R37" s="149"/>
      <c r="S37" s="149"/>
      <c r="T37" s="149"/>
      <c r="U37" s="149"/>
      <c r="V37" s="149"/>
      <c r="AB37" t="str">
        <v>BIOSYN-COFACTOR-ribflv_c</v>
      </c>
      <c r="AC37" t="str">
        <v>MET-ribflv_c --&gt; 0.375356 BIO-ribflv_c</v>
      </c>
    </row>
    <row r="38" spans="1:29" ht="16" x14ac:dyDescent="0.2">
      <c r="A38" s="144" t="s">
        <v>1075</v>
      </c>
      <c r="B38" t="str">
        <f>SUBSTITUTE(_xlfn.TEXTBEFORE(mets2415[[#This Row],[pasted JSON metabolite keys and values from GSM biomass rxn]],":"),CHAR(34),"")</f>
        <v>hdca_c</v>
      </c>
      <c r="C38" t="str">
        <f>_xlfn.TEXTBEFORE(mets2415[[#This Row],[name]],"_",-1)</f>
        <v>hdca</v>
      </c>
      <c r="D38" t="str">
        <f>_xlfn.XLOOKUP(mets2415[[#This Row],[name w/o location]],metaboliteInfo[name w/o location],metaboliteInfo[suggested category],"")</f>
        <v>LIPID</v>
      </c>
      <c r="E38" s="21">
        <f>_xlfn.XLOOKUP(mets2415[[#This Row],[name w/o location]],metaboliteInfo[name w/o location],metaboliteInfo[MW for biomass normalization (g/mol)],0)</f>
        <v>255.41533999999999</v>
      </c>
      <c r="F38" s="21">
        <f>_xlfn.NUMBERVALUE(SUBSTITUTE(_xlfn.TEXTAFTER(mets2415[[#This Row],[pasted JSON metabolite keys and values from GSM biomass rxn]],":"),",",""))</f>
        <v>-3.7759999999999998E-3</v>
      </c>
      <c r="G38" s="21" cm="1">
        <f t="array" ref="G38">_xlfn.LET(_xlpm.id,mets2415[[#This Row],[name w/o location]],IF(IsElementOfSet_DIY(_xlpm.id,{"atp","adp","h","pi","h2o"}),SIGN(mets2415[[#This Row],[raw (GSM) coefficient]])*(ABS(mets2415[[#This Row],[raw (GSM) coefficient]])-$J$2),mets2415[[#This Row],[raw (GSM) coefficient]]))</f>
        <v>-3.7759999999999998E-3</v>
      </c>
      <c r="H38" s="21">
        <f>mets2415[[#This Row],[coeff. w/o GAM]]</f>
        <v>-3.7759999999999998E-3</v>
      </c>
      <c r="I38" s="161">
        <f t="shared" si="0"/>
        <v>-3.8077892927539151E-3</v>
      </c>
      <c r="J38" s="21" cm="1">
        <f t="array" ref="J38">_xlfn.LET(_xlpm.id,mets2415[[#This Row],[name w/o location]],_xlpm.oldcoeff,mets2415[[#This Row],[normalized coeffs]],_xlpm.gam,$J$2-$G$2,_xlfn.IFS(IFERROR(MATCH(_xlpm.id,{"atp","h2o"},0),0)&gt;0,_xlpm.oldcoeff-_xlpm.gam,IFERROR(MATCH(_xlpm.id,{"adp","h","pi"},0),0)&gt;0,_xlpm.oldcoeff+_xlpm.gam,TRUE,_xlpm.oldcoeff))</f>
        <v>-3.8077892927539151E-3</v>
      </c>
      <c r="K38" t="str" cm="1">
        <f t="array" ref="K38">"BIOSYN-"&amp;_xlfn.IFS(IFERROR(MATCH(mets2415[[#This Row],[category]],{0,"0",""},0),0)&gt;0,mets2415[[#This Row],[name]],TRUE,mets2415[[#This Row],[category]]&amp;"-"&amp;mets2415[[#This Row],[name]])</f>
        <v>BIOSYN-LIPID-hdca_c</v>
      </c>
      <c r="L38" s="149" t="str" cm="1">
        <f t="array" ref="L38">IF(IsElementOfSet_DIY(mets2415[[#This Row],[category]],{"ignore","PROT"}),"",_xlfn.LET(_xlpm.mw,mets2415[[#This Row],[MW for biomass normalization (g/mol)]],"MET-"&amp;mets2415[[#This Row],[name]]&amp;" --&gt; "&amp;IF((mets2415[[#This Row],[category]]="DNA")+(mets2415[[#This Row],[category]]="RNA"),"MET-ppi_c + ","")&amp;ROUND(ABS(_xlpm.mw/1000),6)&amp;" BIO-"&amp;mets2415[[#This Row],[name]]))</f>
        <v>MET-hdca_c --&gt; 0.255415 BIO-hdca_c</v>
      </c>
      <c r="M38" s="149" cm="1">
        <f t="array" ref="M3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-2.4385317135650398E-3</v>
      </c>
      <c r="N38" s="149"/>
      <c r="O38" s="149"/>
      <c r="P38" s="149"/>
      <c r="Q38" s="149"/>
      <c r="R38" s="149"/>
      <c r="S38" s="149"/>
      <c r="T38" s="149"/>
      <c r="U38" s="149"/>
      <c r="V38" s="149"/>
      <c r="AB38" t="str">
        <v>BIOSYN-COFACTOR-spmd_c</v>
      </c>
      <c r="AC38" t="str">
        <v>MET-spmd_c --&gt; 0.14827 BIO-spmd_c</v>
      </c>
    </row>
    <row r="39" spans="1:29" ht="16" x14ac:dyDescent="0.2">
      <c r="A39" s="144" t="s">
        <v>981</v>
      </c>
      <c r="B39" t="str">
        <f>SUBSTITUTE(_xlfn.TEXTBEFORE(mets2415[[#This Row],[pasted JSON metabolite keys and values from GSM biomass rxn]],":"),CHAR(34),"")</f>
        <v>hemeA_c</v>
      </c>
      <c r="C39" t="str">
        <f>_xlfn.TEXTBEFORE(mets2415[[#This Row],[name]],"_",-1)</f>
        <v>hemeA</v>
      </c>
      <c r="D39" t="str">
        <f>_xlfn.XLOOKUP(mets2415[[#This Row],[name w/o location]],metaboliteInfo[name w/o location],metaboliteInfo[suggested category],"")</f>
        <v>COFACTOR</v>
      </c>
      <c r="E39" s="21">
        <f>_xlfn.XLOOKUP(mets2415[[#This Row],[name w/o location]],metaboliteInfo[name w/o location],metaboliteInfo[MW for biomass normalization (g/mol)],0)</f>
        <v>850.82126000000005</v>
      </c>
      <c r="F39" s="21">
        <f>_xlfn.NUMBERVALUE(SUBSTITUTE(_xlfn.TEXTAFTER(mets2415[[#This Row],[pasted JSON metabolite keys and values from GSM biomass rxn]],":"),",",""))</f>
        <v>-1E-4</v>
      </c>
      <c r="G39" s="21" cm="1">
        <f t="array" ref="G39">_xlfn.LET(_xlpm.id,mets2415[[#This Row],[name w/o location]],IF(IsElementOfSet_DIY(_xlpm.id,{"atp","adp","h","pi","h2o"}),SIGN(mets2415[[#This Row],[raw (GSM) coefficient]])*(ABS(mets2415[[#This Row],[raw (GSM) coefficient]])-$J$2),mets2415[[#This Row],[raw (GSM) coefficient]]))</f>
        <v>-1E-4</v>
      </c>
      <c r="H39" s="21">
        <f>mets2415[[#This Row],[coeff. w/o GAM]]</f>
        <v>-1E-4</v>
      </c>
      <c r="I39" s="161">
        <f t="shared" si="0"/>
        <v>-1.0084187745640667E-4</v>
      </c>
      <c r="J39" s="21" cm="1">
        <f t="array" ref="J39">_xlfn.LET(_xlpm.id,mets2415[[#This Row],[name w/o location]],_xlpm.oldcoeff,mets2415[[#This Row],[normalized coeffs]],_xlpm.gam,$J$2-$G$2,_xlfn.IFS(IFERROR(MATCH(_xlpm.id,{"atp","h2o"},0),0)&gt;0,_xlpm.oldcoeff-_xlpm.gam,IFERROR(MATCH(_xlpm.id,{"adp","h","pi"},0),0)&gt;0,_xlpm.oldcoeff+_xlpm.gam,TRUE,_xlpm.oldcoeff))</f>
        <v>-1.0084187745640667E-4</v>
      </c>
      <c r="K39" t="str" cm="1">
        <f t="array" ref="K39">"BIOSYN-"&amp;_xlfn.IFS(IFERROR(MATCH(mets2415[[#This Row],[category]],{0,"0",""},0),0)&gt;0,mets2415[[#This Row],[name]],TRUE,mets2415[[#This Row],[category]]&amp;"-"&amp;mets2415[[#This Row],[name]])</f>
        <v>BIOSYN-COFACTOR-hemeA_c</v>
      </c>
      <c r="L39" s="149" t="str" cm="1">
        <f t="array" ref="L39">IF(IsElementOfSet_DIY(mets2415[[#This Row],[category]],{"ignore","PROT"}),"",_xlfn.LET(_xlpm.mw,mets2415[[#This Row],[MW for biomass normalization (g/mol)]],"MET-"&amp;mets2415[[#This Row],[name]]&amp;" --&gt; "&amp;IF((mets2415[[#This Row],[category]]="DNA")+(mets2415[[#This Row],[category]]="RNA"),"MET-ppi_c + ","")&amp;ROUND(ABS(_xlpm.mw/1000),6)&amp;" BIO-"&amp;mets2415[[#This Row],[name]]))</f>
        <v>MET-hemeA_c --&gt; 0.850821 BIO-hemeA_c</v>
      </c>
      <c r="M39" s="149" cm="1">
        <f t="array" ref="M3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39" s="149"/>
      <c r="O39" s="149"/>
      <c r="P39" s="149"/>
      <c r="Q39" s="149"/>
      <c r="R39" s="149"/>
      <c r="S39" s="149"/>
      <c r="T39" s="149"/>
      <c r="U39" s="149"/>
      <c r="V39" s="149"/>
      <c r="AB39" t="str">
        <v>BIOSYN-COFACTOR-thf_c</v>
      </c>
      <c r="AC39" t="str">
        <v>MET-thf_c --&gt; 0.443413 BIO-thf_c</v>
      </c>
    </row>
    <row r="40" spans="1:29" ht="16" x14ac:dyDescent="0.2">
      <c r="A40" s="144" t="s">
        <v>1076</v>
      </c>
      <c r="B40" t="str">
        <f>SUBSTITUTE(_xlfn.TEXTBEFORE(mets2415[[#This Row],[pasted JSON metabolite keys and values from GSM biomass rxn]],":"),CHAR(34),"")</f>
        <v>histrna_c</v>
      </c>
      <c r="C40" t="str">
        <f>_xlfn.TEXTBEFORE(mets2415[[#This Row],[name]],"_",-1)</f>
        <v>histrna</v>
      </c>
      <c r="D40" t="str">
        <f>_xlfn.XLOOKUP(mets2415[[#This Row],[name w/o location]],metaboliteInfo[name w/o location],metaboliteInfo[suggested category],"")</f>
        <v>PROT</v>
      </c>
      <c r="E40" s="21">
        <f>_xlfn.XLOOKUP(mets2415[[#This Row],[name w/o location]],metaboliteInfo[name w/o location],metaboliteInfo[MW for biomass normalization (g/mol)],0)</f>
        <v>138.14722</v>
      </c>
      <c r="F40" s="21">
        <f>_xlfn.NUMBERVALUE(SUBSTITUTE(_xlfn.TEXTAFTER(mets2415[[#This Row],[pasted JSON metabolite keys and values from GSM biomass rxn]],":"),",",""))</f>
        <v>-5.4095999999999998E-2</v>
      </c>
      <c r="G40" s="21" cm="1">
        <f t="array" ref="G40">_xlfn.LET(_xlpm.id,mets2415[[#This Row],[name w/o location]],IF(IsElementOfSet_DIY(_xlpm.id,{"atp","adp","h","pi","h2o"}),SIGN(mets2415[[#This Row],[raw (GSM) coefficient]])*(ABS(mets2415[[#This Row],[raw (GSM) coefficient]])-$J$2),mets2415[[#This Row],[raw (GSM) coefficient]]))</f>
        <v>-5.4095999999999998E-2</v>
      </c>
      <c r="H40" s="21">
        <f>mets2415[[#This Row],[coeff. w/o GAM]]</f>
        <v>-5.4095999999999998E-2</v>
      </c>
      <c r="I40" s="161">
        <f t="shared" si="0"/>
        <v>-5.4551422028817742E-2</v>
      </c>
      <c r="J40" s="21" cm="1">
        <f t="array" ref="J40">_xlfn.LET(_xlpm.id,mets2415[[#This Row],[name w/o location]],_xlpm.oldcoeff,mets2415[[#This Row],[normalized coeffs]],_xlpm.gam,$J$2-$G$2,_xlfn.IFS(IFERROR(MATCH(_xlpm.id,{"atp","h2o"},0),0)&gt;0,_xlpm.oldcoeff-_xlpm.gam,IFERROR(MATCH(_xlpm.id,{"adp","h","pi"},0),0)&gt;0,_xlpm.oldcoeff+_xlpm.gam,TRUE,_xlpm.oldcoeff))</f>
        <v>-5.4551422028817742E-2</v>
      </c>
      <c r="K40" t="str" cm="1">
        <f t="array" ref="K40">"BIOSYN-"&amp;_xlfn.IFS(IFERROR(MATCH(mets2415[[#This Row],[category]],{0,"0",""},0),0)&gt;0,mets2415[[#This Row],[name]],TRUE,mets2415[[#This Row],[category]]&amp;"-"&amp;mets2415[[#This Row],[name]])</f>
        <v>BIOSYN-PROT-histrna_c</v>
      </c>
      <c r="L40" s="149" t="str" cm="1">
        <f t="array" ref="L40">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40" s="149" cm="1">
        <f t="array" ref="M4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-2.4006999170900895E-2</v>
      </c>
      <c r="N40" s="149"/>
      <c r="O40" s="149"/>
      <c r="P40" s="149"/>
      <c r="Q40" s="149"/>
      <c r="R40" s="149"/>
      <c r="S40" s="149"/>
      <c r="T40" s="149"/>
      <c r="U40" s="149"/>
      <c r="V40" s="149"/>
      <c r="AB40" t="str">
        <v>BIOSYN-COFACTOR-thmpp_c</v>
      </c>
      <c r="AC40" t="str">
        <v>MET-thmpp_c --&gt; 0.422291 BIO-thmpp_c</v>
      </c>
    </row>
    <row r="41" spans="1:29" ht="16" x14ac:dyDescent="0.2">
      <c r="A41" s="144" t="s">
        <v>1077</v>
      </c>
      <c r="B41" t="str">
        <f>SUBSTITUTE(_xlfn.TEXTBEFORE(mets2415[[#This Row],[pasted JSON metabolite keys and values from GSM biomass rxn]],":"),CHAR(34),"")</f>
        <v>iletrna_c</v>
      </c>
      <c r="C41" t="str">
        <f>_xlfn.TEXTBEFORE(mets2415[[#This Row],[name]],"_",-1)</f>
        <v>iletrna</v>
      </c>
      <c r="D41" t="str">
        <f>_xlfn.XLOOKUP(mets2415[[#This Row],[name w/o location]],metaboliteInfo[name w/o location],metaboliteInfo[suggested category],"")</f>
        <v>PROT</v>
      </c>
      <c r="E41" s="21">
        <f>_xlfn.XLOOKUP(mets2415[[#This Row],[name w/o location]],metaboliteInfo[name w/o location],metaboliteInfo[MW for biomass normalization (g/mol)],0)</f>
        <v>114.16558000000001</v>
      </c>
      <c r="F41" s="21">
        <f>_xlfn.NUMBERVALUE(SUBSTITUTE(_xlfn.TEXTAFTER(mets2415[[#This Row],[pasted JSON metabolite keys and values from GSM biomass rxn]],":"),",",""))</f>
        <v>-0.16509199999999999</v>
      </c>
      <c r="G41" s="21" cm="1">
        <f t="array" ref="G41">_xlfn.LET(_xlpm.id,mets2415[[#This Row],[name w/o location]],IF(IsElementOfSet_DIY(_xlpm.id,{"atp","adp","h","pi","h2o"}),SIGN(mets2415[[#This Row],[raw (GSM) coefficient]])*(ABS(mets2415[[#This Row],[raw (GSM) coefficient]])-$J$2),mets2415[[#This Row],[raw (GSM) coefficient]]))</f>
        <v>-0.16509199999999999</v>
      </c>
      <c r="H41" s="21">
        <f>mets2415[[#This Row],[coeff. w/o GAM]]</f>
        <v>-0.16509199999999999</v>
      </c>
      <c r="I41" s="161">
        <f t="shared" si="0"/>
        <v>-0.16648187233033088</v>
      </c>
      <c r="J41" s="21" cm="1">
        <f t="array" ref="J41">_xlfn.LET(_xlpm.id,mets2415[[#This Row],[name w/o location]],_xlpm.oldcoeff,mets2415[[#This Row],[normalized coeffs]],_xlpm.gam,$J$2-$G$2,_xlfn.IFS(IFERROR(MATCH(_xlpm.id,{"atp","h2o"},0),0)&gt;0,_xlpm.oldcoeff-_xlpm.gam,IFERROR(MATCH(_xlpm.id,{"adp","h","pi"},0),0)&gt;0,_xlpm.oldcoeff+_xlpm.gam,TRUE,_xlpm.oldcoeff))</f>
        <v>-0.16648187233033088</v>
      </c>
      <c r="K41" t="str" cm="1">
        <f t="array" ref="K41">"BIOSYN-"&amp;_xlfn.IFS(IFERROR(MATCH(mets2415[[#This Row],[category]],{0,"0",""},0),0)&gt;0,mets2415[[#This Row],[name]],TRUE,mets2415[[#This Row],[category]]&amp;"-"&amp;mets2415[[#This Row],[name]])</f>
        <v>BIOSYN-PROT-iletrna_c</v>
      </c>
      <c r="L41" s="149" t="str" cm="1">
        <f t="array" ref="L41">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41" s="149" cm="1">
        <f t="array" ref="M4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-7.3265370953903633E-2</v>
      </c>
      <c r="N41" s="149"/>
      <c r="O41" s="149"/>
      <c r="P41" s="149"/>
      <c r="Q41" s="149"/>
      <c r="R41" s="149"/>
      <c r="S41" s="149"/>
      <c r="T41" s="149"/>
      <c r="U41" s="149"/>
      <c r="V41" s="149"/>
      <c r="AB41" t="str">
        <v>BIOSYN-DNA-datp_c</v>
      </c>
      <c r="AC41" t="str">
        <v>MET-datp_c --&gt; MET-ppi_c + 0.312199 BIO-datp_c</v>
      </c>
    </row>
    <row r="42" spans="1:29" ht="16" x14ac:dyDescent="0.2">
      <c r="A42" s="144" t="s">
        <v>1078</v>
      </c>
      <c r="B42" t="str">
        <f>SUBSTITUTE(_xlfn.TEXTBEFORE(mets2415[[#This Row],[pasted JSON metabolite keys and values from GSM biomass rxn]],":"),CHAR(34),"")</f>
        <v>ipc_g</v>
      </c>
      <c r="C42" t="str">
        <f>_xlfn.TEXTBEFORE(mets2415[[#This Row],[name]],"_",-1)</f>
        <v>ipc</v>
      </c>
      <c r="D42" t="str">
        <f>_xlfn.XLOOKUP(mets2415[[#This Row],[name w/o location]],metaboliteInfo[name w/o location],metaboliteInfo[suggested category],"")</f>
        <v>LIPID</v>
      </c>
      <c r="E42" s="21">
        <f>_xlfn.XLOOKUP(mets2415[[#This Row],[name w/o location]],metaboliteInfo[name w/o location],metaboliteInfo[MW for biomass normalization (g/mol)],0)</f>
        <v>915.26344200000005</v>
      </c>
      <c r="F42" s="21">
        <f>_xlfn.NUMBERVALUE(SUBSTITUTE(_xlfn.TEXTAFTER(mets2415[[#This Row],[pasted JSON metabolite keys and values from GSM biomass rxn]],":"),",",""))</f>
        <v>-2.2537000000000001E-2</v>
      </c>
      <c r="G42" s="21" cm="1">
        <f t="array" ref="G42">_xlfn.LET(_xlpm.id,mets2415[[#This Row],[name w/o location]],IF(IsElementOfSet_DIY(_xlpm.id,{"atp","adp","h","pi","h2o"}),SIGN(mets2415[[#This Row],[raw (GSM) coefficient]])*(ABS(mets2415[[#This Row],[raw (GSM) coefficient]])-$J$2),mets2415[[#This Row],[raw (GSM) coefficient]]))</f>
        <v>-2.2537000000000001E-2</v>
      </c>
      <c r="H42" s="21">
        <f>mets2415[[#This Row],[coeff. w/o GAM]]</f>
        <v>-2.2537000000000001E-2</v>
      </c>
      <c r="I42" s="161">
        <f t="shared" si="0"/>
        <v>-2.2726733922350369E-2</v>
      </c>
      <c r="J42" s="21" cm="1">
        <f t="array" ref="J42">_xlfn.LET(_xlpm.id,mets2415[[#This Row],[name w/o location]],_xlpm.oldcoeff,mets2415[[#This Row],[normalized coeffs]],_xlpm.gam,$J$2-$G$2,_xlfn.IFS(IFERROR(MATCH(_xlpm.id,{"atp","h2o"},0),0)&gt;0,_xlpm.oldcoeff-_xlpm.gam,IFERROR(MATCH(_xlpm.id,{"adp","h","pi"},0),0)&gt;0,_xlpm.oldcoeff+_xlpm.gam,TRUE,_xlpm.oldcoeff))</f>
        <v>-2.2726733922350369E-2</v>
      </c>
      <c r="K42" t="str" cm="1">
        <f t="array" ref="K42">"BIOSYN-"&amp;_xlfn.IFS(IFERROR(MATCH(mets2415[[#This Row],[category]],{0,"0",""},0),0)&gt;0,mets2415[[#This Row],[name]],TRUE,mets2415[[#This Row],[category]]&amp;"-"&amp;mets2415[[#This Row],[name]])</f>
        <v>BIOSYN-LIPID-ipc_g</v>
      </c>
      <c r="L42" s="149" t="str" cm="1">
        <f t="array" ref="L42">IF(IsElementOfSet_DIY(mets2415[[#This Row],[category]],{"ignore","PROT"}),"",_xlfn.LET(_xlpm.mw,mets2415[[#This Row],[MW for biomass normalization (g/mol)]],"MET-"&amp;mets2415[[#This Row],[name]]&amp;" --&gt; "&amp;IF((mets2415[[#This Row],[category]]="DNA")+(mets2415[[#This Row],[category]]="RNA"),"MET-ppi_c + ","")&amp;ROUND(ABS(_xlpm.mw/1000),6)&amp;" BIO-"&amp;mets2415[[#This Row],[name]]))</f>
        <v>MET-ipc_g --&gt; 0.915263 BIO-ipc_g</v>
      </c>
      <c r="M42" s="149" cm="1">
        <f t="array" ref="M4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-1.4554340367747698E-2</v>
      </c>
      <c r="N42" s="149"/>
      <c r="O42" s="149"/>
      <c r="P42" s="149"/>
      <c r="Q42" s="149"/>
      <c r="R42" s="149"/>
      <c r="S42" s="149"/>
      <c r="T42" s="149"/>
      <c r="U42" s="149"/>
      <c r="V42" s="149"/>
      <c r="AB42" t="str">
        <v>BIOSYN-DNA-dctp_c</v>
      </c>
      <c r="AC42" t="str">
        <v>MET-dctp_c --&gt; MET-ppi_c + 0.288174 BIO-dctp_c</v>
      </c>
    </row>
    <row r="43" spans="1:29" ht="16" x14ac:dyDescent="0.2">
      <c r="A43" s="144" t="s">
        <v>985</v>
      </c>
      <c r="B43" t="str">
        <f>SUBSTITUTE(_xlfn.TEXTBEFORE(mets2415[[#This Row],[pasted JSON metabolite keys and values from GSM biomass rxn]],":"),CHAR(34),"")</f>
        <v>k_c</v>
      </c>
      <c r="C43" t="str">
        <f>_xlfn.TEXTBEFORE(mets2415[[#This Row],[name]],"_",-1)</f>
        <v>k</v>
      </c>
      <c r="D43" t="str">
        <f>_xlfn.XLOOKUP(mets2415[[#This Row],[name w/o location]],metaboliteInfo[name w/o location],metaboliteInfo[suggested category],"")</f>
        <v>METAL</v>
      </c>
      <c r="E43" s="21">
        <f>_xlfn.XLOOKUP(mets2415[[#This Row],[name w/o location]],metaboliteInfo[name w/o location],metaboliteInfo[MW for biomass normalization (g/mol)],0)</f>
        <v>39.098300000000002</v>
      </c>
      <c r="F43" s="21">
        <f>_xlfn.NUMBERVALUE(SUBSTITUTE(_xlfn.TEXTAFTER(mets2415[[#This Row],[pasted JSON metabolite keys and values from GSM biomass rxn]],":"),",",""))</f>
        <v>-0.60365000000000002</v>
      </c>
      <c r="G43" s="21" cm="1">
        <f t="array" ref="G43">_xlfn.LET(_xlpm.id,mets2415[[#This Row],[name w/o location]],IF(IsElementOfSet_DIY(_xlpm.id,{"atp","adp","h","pi","h2o"}),SIGN(mets2415[[#This Row],[raw (GSM) coefficient]])*(ABS(mets2415[[#This Row],[raw (GSM) coefficient]])-$J$2),mets2415[[#This Row],[raw (GSM) coefficient]]))</f>
        <v>-0.60365000000000002</v>
      </c>
      <c r="H43" s="21">
        <f>mets2415[[#This Row],[coeff. w/o GAM]]</f>
        <v>-0.60365000000000002</v>
      </c>
      <c r="I43" s="161">
        <f t="shared" si="0"/>
        <v>-0.60873199326559879</v>
      </c>
      <c r="J43" s="21" cm="1">
        <f t="array" ref="J43">_xlfn.LET(_xlpm.id,mets2415[[#This Row],[name w/o location]],_xlpm.oldcoeff,mets2415[[#This Row],[normalized coeffs]],_xlpm.gam,$J$2-$G$2,_xlfn.IFS(IFERROR(MATCH(_xlpm.id,{"atp","h2o"},0),0)&gt;0,_xlpm.oldcoeff-_xlpm.gam,IFERROR(MATCH(_xlpm.id,{"adp","h","pi"},0),0)&gt;0,_xlpm.oldcoeff+_xlpm.gam,TRUE,_xlpm.oldcoeff))</f>
        <v>-0.60873199326559879</v>
      </c>
      <c r="K43" t="str" cm="1">
        <f t="array" ref="K43">"BIOSYN-"&amp;_xlfn.IFS(IFERROR(MATCH(mets2415[[#This Row],[category]],{0,"0",""},0),0)&gt;0,mets2415[[#This Row],[name]],TRUE,mets2415[[#This Row],[category]]&amp;"-"&amp;mets2415[[#This Row],[name]])</f>
        <v>BIOSYN-METAL-k_c</v>
      </c>
      <c r="L43" s="149" t="str" cm="1">
        <f t="array" ref="L43">IF(IsElementOfSet_DIY(mets2415[[#This Row],[category]],{"ignore","PROT"}),"",_xlfn.LET(_xlpm.mw,mets2415[[#This Row],[MW for biomass normalization (g/mol)]],"MET-"&amp;mets2415[[#This Row],[name]]&amp;" --&gt; "&amp;IF((mets2415[[#This Row],[category]]="DNA")+(mets2415[[#This Row],[category]]="RNA"),"MET-ppi_c + ","")&amp;ROUND(ABS(_xlpm.mw/1000),6)&amp;" BIO-"&amp;mets2415[[#This Row],[name]]))</f>
        <v>MET-k_c --&gt; 0.039098 BIO-k_c</v>
      </c>
      <c r="M43" s="149" cm="1">
        <f t="array" ref="M4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-0.60873199326559879</v>
      </c>
      <c r="N43" s="149"/>
      <c r="O43" s="149"/>
      <c r="P43" s="149"/>
      <c r="Q43" s="149"/>
      <c r="R43" s="149"/>
      <c r="S43" s="149"/>
      <c r="T43" s="149"/>
      <c r="U43" s="149"/>
      <c r="V43" s="149"/>
      <c r="AB43" t="str">
        <v>BIOSYN-DNA-dgtp_c</v>
      </c>
      <c r="AC43" t="str">
        <v>MET-dgtp_c --&gt; MET-ppi_c + 0.328198 BIO-dgtp_c</v>
      </c>
    </row>
    <row r="44" spans="1:29" ht="16" x14ac:dyDescent="0.2">
      <c r="A44" s="144" t="s">
        <v>1079</v>
      </c>
      <c r="B44" t="str">
        <f>SUBSTITUTE(_xlfn.TEXTBEFORE(mets2415[[#This Row],[pasted JSON metabolite keys and values from GSM biomass rxn]],":"),CHAR(34),"")</f>
        <v>leutrna_c</v>
      </c>
      <c r="C44" t="str">
        <f>_xlfn.TEXTBEFORE(mets2415[[#This Row],[name]],"_",-1)</f>
        <v>leutrna</v>
      </c>
      <c r="D44" t="str">
        <f>_xlfn.XLOOKUP(mets2415[[#This Row],[name w/o location]],metaboliteInfo[name w/o location],metaboliteInfo[suggested category],"")</f>
        <v>PROT</v>
      </c>
      <c r="E44" s="21">
        <f>_xlfn.XLOOKUP(mets2415[[#This Row],[name w/o location]],metaboliteInfo[name w/o location],metaboliteInfo[MW for biomass normalization (g/mol)],0)</f>
        <v>114.16558000000001</v>
      </c>
      <c r="F44" s="21">
        <f>_xlfn.NUMBERVALUE(SUBSTITUTE(_xlfn.TEXTAFTER(mets2415[[#This Row],[pasted JSON metabolite keys and values from GSM biomass rxn]],":"),",",""))</f>
        <v>-0.22451399999999999</v>
      </c>
      <c r="G44" s="21" cm="1">
        <f t="array" ref="G44">_xlfn.LET(_xlpm.id,mets2415[[#This Row],[name w/o location]],IF(IsElementOfSet_DIY(_xlpm.id,{"atp","adp","h","pi","h2o"}),SIGN(mets2415[[#This Row],[raw (GSM) coefficient]])*(ABS(mets2415[[#This Row],[raw (GSM) coefficient]])-$J$2),mets2415[[#This Row],[raw (GSM) coefficient]]))</f>
        <v>-0.22451399999999999</v>
      </c>
      <c r="H44" s="21">
        <f>mets2415[[#This Row],[coeff. w/o GAM]]</f>
        <v>-0.22451399999999999</v>
      </c>
      <c r="I44" s="161">
        <f t="shared" si="0"/>
        <v>-0.22640413275247684</v>
      </c>
      <c r="J44" s="21" cm="1">
        <f t="array" ref="J44">_xlfn.LET(_xlpm.id,mets2415[[#This Row],[name w/o location]],_xlpm.oldcoeff,mets2415[[#This Row],[normalized coeffs]],_xlpm.gam,$J$2-$G$2,_xlfn.IFS(IFERROR(MATCH(_xlpm.id,{"atp","h2o"},0),0)&gt;0,_xlpm.oldcoeff-_xlpm.gam,IFERROR(MATCH(_xlpm.id,{"adp","h","pi"},0),0)&gt;0,_xlpm.oldcoeff+_xlpm.gam,TRUE,_xlpm.oldcoeff))</f>
        <v>-0.22640413275247684</v>
      </c>
      <c r="K44" t="str" cm="1">
        <f t="array" ref="K44">"BIOSYN-"&amp;_xlfn.IFS(IFERROR(MATCH(mets2415[[#This Row],[category]],{0,"0",""},0),0)&gt;0,mets2415[[#This Row],[name]],TRUE,mets2415[[#This Row],[category]]&amp;"-"&amp;mets2415[[#This Row],[name]])</f>
        <v>BIOSYN-PROT-leutrna_c</v>
      </c>
      <c r="L44" s="149" t="str" cm="1">
        <f t="array" ref="L44">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44" s="149" cm="1">
        <f t="array" ref="M4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-9.963596960691444E-2</v>
      </c>
      <c r="N44" s="149"/>
      <c r="O44" s="149"/>
      <c r="P44" s="149"/>
      <c r="Q44" s="149"/>
      <c r="R44" s="149"/>
      <c r="S44" s="149"/>
      <c r="T44" s="149"/>
      <c r="U44" s="149"/>
      <c r="V44" s="149"/>
      <c r="AB44" t="str">
        <v>BIOSYN-DNA-dttp_c</v>
      </c>
      <c r="AC44" t="str">
        <v>MET-dttp_c --&gt; MET-ppi_c + 0.303185 BIO-dttp_c</v>
      </c>
    </row>
    <row r="45" spans="1:29" ht="16" x14ac:dyDescent="0.2">
      <c r="A45" s="144" t="s">
        <v>1080</v>
      </c>
      <c r="B45" t="str">
        <f>SUBSTITUTE(_xlfn.TEXTBEFORE(mets2415[[#This Row],[pasted JSON metabolite keys and values from GSM biomass rxn]],":"),CHAR(34),"")</f>
        <v>linoea_c</v>
      </c>
      <c r="C45" t="str">
        <f>_xlfn.TEXTBEFORE(mets2415[[#This Row],[name]],"_",-1)</f>
        <v>linoea</v>
      </c>
      <c r="D45" t="str">
        <f>_xlfn.XLOOKUP(mets2415[[#This Row],[name w/o location]],metaboliteInfo[name w/o location],metaboliteInfo[suggested category],"")</f>
        <v>LIPID</v>
      </c>
      <c r="E45" s="21">
        <f>_xlfn.XLOOKUP(mets2415[[#This Row],[name w/o location]],metaboliteInfo[name w/o location],metaboliteInfo[MW for biomass normalization (g/mol)],0)</f>
        <v>279.43673999999999</v>
      </c>
      <c r="F45" s="21">
        <f>_xlfn.NUMBERVALUE(SUBSTITUTE(_xlfn.TEXTAFTER(mets2415[[#This Row],[pasted JSON metabolite keys and values from GSM biomass rxn]],":"),",",""))</f>
        <v>-4.7710000000000001E-3</v>
      </c>
      <c r="G45" s="21" cm="1">
        <f t="array" ref="G45">_xlfn.LET(_xlpm.id,mets2415[[#This Row],[name w/o location]],IF(IsElementOfSet_DIY(_xlpm.id,{"atp","adp","h","pi","h2o"}),SIGN(mets2415[[#This Row],[raw (GSM) coefficient]])*(ABS(mets2415[[#This Row],[raw (GSM) coefficient]])-$J$2),mets2415[[#This Row],[raw (GSM) coefficient]]))</f>
        <v>-4.7710000000000001E-3</v>
      </c>
      <c r="H45" s="21">
        <f>mets2415[[#This Row],[coeff. w/o GAM]]</f>
        <v>-4.7710000000000001E-3</v>
      </c>
      <c r="I45" s="161">
        <f t="shared" si="0"/>
        <v>-4.8111659734451613E-3</v>
      </c>
      <c r="J45" s="21" cm="1">
        <f t="array" ref="J45">_xlfn.LET(_xlpm.id,mets2415[[#This Row],[name w/o location]],_xlpm.oldcoeff,mets2415[[#This Row],[normalized coeffs]],_xlpm.gam,$J$2-$G$2,_xlfn.IFS(IFERROR(MATCH(_xlpm.id,{"atp","h2o"},0),0)&gt;0,_xlpm.oldcoeff-_xlpm.gam,IFERROR(MATCH(_xlpm.id,{"adp","h","pi"},0),0)&gt;0,_xlpm.oldcoeff+_xlpm.gam,TRUE,_xlpm.oldcoeff))</f>
        <v>-4.8111659734451613E-3</v>
      </c>
      <c r="K45" t="str" cm="1">
        <f t="array" ref="K45">"BIOSYN-"&amp;_xlfn.IFS(IFERROR(MATCH(mets2415[[#This Row],[category]],{0,"0",""},0),0)&gt;0,mets2415[[#This Row],[name]],TRUE,mets2415[[#This Row],[category]]&amp;"-"&amp;mets2415[[#This Row],[name]])</f>
        <v>BIOSYN-LIPID-linoea_c</v>
      </c>
      <c r="L45" s="149" t="str" cm="1">
        <f t="array" ref="L45">IF(IsElementOfSet_DIY(mets2415[[#This Row],[category]],{"ignore","PROT"}),"",_xlfn.LET(_xlpm.mw,mets2415[[#This Row],[MW for biomass normalization (g/mol)]],"MET-"&amp;mets2415[[#This Row],[name]]&amp;" --&gt; "&amp;IF((mets2415[[#This Row],[category]]="DNA")+(mets2415[[#This Row],[category]]="RNA"),"MET-ppi_c + ","")&amp;ROUND(ABS(_xlpm.mw/1000),6)&amp;" BIO-"&amp;mets2415[[#This Row],[name]]))</f>
        <v>MET-linoea_c --&gt; 0.279437 BIO-linoea_c</v>
      </c>
      <c r="M45" s="149" cm="1">
        <f t="array" ref="M4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-3.0811003192316752E-3</v>
      </c>
      <c r="N45" s="149"/>
      <c r="O45" s="149"/>
      <c r="P45" s="149"/>
      <c r="Q45" s="149"/>
      <c r="R45" s="149"/>
      <c r="S45" s="149"/>
      <c r="T45" s="149"/>
      <c r="U45" s="149"/>
      <c r="V45" s="149"/>
      <c r="AB45" t="str">
        <v>BIOSYN-LIPID-docosa_c</v>
      </c>
      <c r="AC45" t="str">
        <v>MET-docosa_c --&gt; 0.339575 BIO-docosa_c</v>
      </c>
    </row>
    <row r="46" spans="1:29" ht="16" x14ac:dyDescent="0.2">
      <c r="A46" s="144" t="s">
        <v>1081</v>
      </c>
      <c r="B46" t="str">
        <f>SUBSTITUTE(_xlfn.TEXTBEFORE(mets2415[[#This Row],[pasted JSON metabolite keys and values from GSM biomass rxn]],":"),CHAR(34),"")</f>
        <v>linolen_c</v>
      </c>
      <c r="C46" t="str">
        <f>_xlfn.TEXTBEFORE(mets2415[[#This Row],[name]],"_",-1)</f>
        <v>linolen</v>
      </c>
      <c r="D46" t="str">
        <f>_xlfn.XLOOKUP(mets2415[[#This Row],[name w/o location]],metaboliteInfo[name w/o location],metaboliteInfo[suggested category],"")</f>
        <v>LIPID</v>
      </c>
      <c r="E46" s="21">
        <f>_xlfn.XLOOKUP(mets2415[[#This Row],[name w/o location]],metaboliteInfo[name w/o location],metaboliteInfo[MW for biomass normalization (g/mol)],0)</f>
        <v>277.42086</v>
      </c>
      <c r="F46" s="21">
        <f>_xlfn.NUMBERVALUE(SUBSTITUTE(_xlfn.TEXTAFTER(mets2415[[#This Row],[pasted JSON metabolite keys and values from GSM biomass rxn]],":"),",",""))</f>
        <v>-1.887E-3</v>
      </c>
      <c r="G46" s="21" cm="1">
        <f t="array" ref="G46">_xlfn.LET(_xlpm.id,mets2415[[#This Row],[name w/o location]],IF(IsElementOfSet_DIY(_xlpm.id,{"atp","adp","h","pi","h2o"}),SIGN(mets2415[[#This Row],[raw (GSM) coefficient]])*(ABS(mets2415[[#This Row],[raw (GSM) coefficient]])-$J$2),mets2415[[#This Row],[raw (GSM) coefficient]]))</f>
        <v>-1.887E-3</v>
      </c>
      <c r="H46" s="21">
        <f>mets2415[[#This Row],[coeff. w/o GAM]]</f>
        <v>-1.887E-3</v>
      </c>
      <c r="I46" s="161">
        <f t="shared" si="0"/>
        <v>-1.9028862276023936E-3</v>
      </c>
      <c r="J46" s="21" cm="1">
        <f t="array" ref="J46">_xlfn.LET(_xlpm.id,mets2415[[#This Row],[name w/o location]],_xlpm.oldcoeff,mets2415[[#This Row],[normalized coeffs]],_xlpm.gam,$J$2-$G$2,_xlfn.IFS(IFERROR(MATCH(_xlpm.id,{"atp","h2o"},0),0)&gt;0,_xlpm.oldcoeff-_xlpm.gam,IFERROR(MATCH(_xlpm.id,{"adp","h","pi"},0),0)&gt;0,_xlpm.oldcoeff+_xlpm.gam,TRUE,_xlpm.oldcoeff))</f>
        <v>-1.9028862276023936E-3</v>
      </c>
      <c r="K46" t="str" cm="1">
        <f t="array" ref="K46">"BIOSYN-"&amp;_xlfn.IFS(IFERROR(MATCH(mets2415[[#This Row],[category]],{0,"0",""},0),0)&gt;0,mets2415[[#This Row],[name]],TRUE,mets2415[[#This Row],[category]]&amp;"-"&amp;mets2415[[#This Row],[name]])</f>
        <v>BIOSYN-LIPID-linolen_c</v>
      </c>
      <c r="L46" s="149" t="str" cm="1">
        <f t="array" ref="L46">IF(IsElementOfSet_DIY(mets2415[[#This Row],[category]],{"ignore","PROT"}),"",_xlfn.LET(_xlpm.mw,mets2415[[#This Row],[MW for biomass normalization (g/mol)]],"MET-"&amp;mets2415[[#This Row],[name]]&amp;" --&gt; "&amp;IF((mets2415[[#This Row],[category]]="DNA")+(mets2415[[#This Row],[category]]="RNA"),"MET-ppi_c + ","")&amp;ROUND(ABS(_xlpm.mw/1000),6)&amp;" BIO-"&amp;mets2415[[#This Row],[name]]))</f>
        <v>MET-linolen_c --&gt; 0.277421 BIO-linolen_c</v>
      </c>
      <c r="M46" s="149" cm="1">
        <f t="array" ref="M4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-1.2186200591888852E-3</v>
      </c>
      <c r="N46" s="149"/>
      <c r="O46" s="149"/>
      <c r="P46" s="149"/>
      <c r="Q46" s="149"/>
      <c r="R46" s="149"/>
      <c r="S46" s="149"/>
      <c r="T46" s="149"/>
      <c r="U46" s="149"/>
      <c r="V46" s="149"/>
      <c r="AB46" t="str">
        <v>BIOSYN-LIPID-epist_c</v>
      </c>
      <c r="AC46" t="str">
        <v>MET-epist_c --&gt; 0.398664 BIO-epist_c</v>
      </c>
    </row>
    <row r="47" spans="1:29" ht="16" x14ac:dyDescent="0.2">
      <c r="A47" s="144" t="s">
        <v>1082</v>
      </c>
      <c r="B47" t="str">
        <f>SUBSTITUTE(_xlfn.TEXTBEFORE(mets2415[[#This Row],[pasted JSON metabolite keys and values from GSM biomass rxn]],":"),CHAR(34),"")</f>
        <v>lystrna_c</v>
      </c>
      <c r="C47" t="str">
        <f>_xlfn.TEXTBEFORE(mets2415[[#This Row],[name]],"_",-1)</f>
        <v>lystrna</v>
      </c>
      <c r="D47" t="str">
        <f>_xlfn.XLOOKUP(mets2415[[#This Row],[name w/o location]],metaboliteInfo[name w/o location],metaboliteInfo[suggested category],"")</f>
        <v>PROT</v>
      </c>
      <c r="E47" s="21">
        <f>_xlfn.XLOOKUP(mets2415[[#This Row],[name w/o location]],metaboliteInfo[name w/o location],metaboliteInfo[MW for biomass normalization (g/mol)],0)</f>
        <v>130.18816000000001</v>
      </c>
      <c r="F47" s="21">
        <f>_xlfn.NUMBERVALUE(SUBSTITUTE(_xlfn.TEXTAFTER(mets2415[[#This Row],[pasted JSON metabolite keys and values from GSM biomass rxn]],":"),",",""))</f>
        <v>-0.18415200000000001</v>
      </c>
      <c r="G47" s="21" cm="1">
        <f t="array" ref="G47">_xlfn.LET(_xlpm.id,mets2415[[#This Row],[name w/o location]],IF(IsElementOfSet_DIY(_xlpm.id,{"atp","adp","h","pi","h2o"}),SIGN(mets2415[[#This Row],[raw (GSM) coefficient]])*(ABS(mets2415[[#This Row],[raw (GSM) coefficient]])-$J$2),mets2415[[#This Row],[raw (GSM) coefficient]]))</f>
        <v>-0.18415200000000001</v>
      </c>
      <c r="H47" s="21">
        <f>mets2415[[#This Row],[coeff. w/o GAM]]</f>
        <v>-0.18415200000000001</v>
      </c>
      <c r="I47" s="161">
        <f t="shared" si="0"/>
        <v>-0.185702334173522</v>
      </c>
      <c r="J47" s="21" cm="1">
        <f t="array" ref="J47">_xlfn.LET(_xlpm.id,mets2415[[#This Row],[name w/o location]],_xlpm.oldcoeff,mets2415[[#This Row],[normalized coeffs]],_xlpm.gam,$J$2-$G$2,_xlfn.IFS(IFERROR(MATCH(_xlpm.id,{"atp","h2o"},0),0)&gt;0,_xlpm.oldcoeff-_xlpm.gam,IFERROR(MATCH(_xlpm.id,{"adp","h","pi"},0),0)&gt;0,_xlpm.oldcoeff+_xlpm.gam,TRUE,_xlpm.oldcoeff))</f>
        <v>-0.185702334173522</v>
      </c>
      <c r="K47" t="str" cm="1">
        <f t="array" ref="K47">"BIOSYN-"&amp;_xlfn.IFS(IFERROR(MATCH(mets2415[[#This Row],[category]],{0,"0",""},0),0)&gt;0,mets2415[[#This Row],[name]],TRUE,mets2415[[#This Row],[category]]&amp;"-"&amp;mets2415[[#This Row],[name]])</f>
        <v>BIOSYN-PROT-lystrna_c</v>
      </c>
      <c r="L47" s="149" t="str" cm="1">
        <f t="array" ref="L47">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47" s="149" cm="1">
        <f t="array" ref="M4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-8.1723915101296618E-2</v>
      </c>
      <c r="N47" s="149"/>
      <c r="O47" s="149"/>
      <c r="P47" s="149"/>
      <c r="Q47" s="149"/>
      <c r="R47" s="149"/>
      <c r="S47" s="149"/>
      <c r="T47" s="149"/>
      <c r="U47" s="149"/>
      <c r="V47" s="149"/>
      <c r="AB47" t="str">
        <v>BIOSYN-LIPID-hdca_c</v>
      </c>
      <c r="AC47" t="str">
        <v>MET-hdca_c --&gt; 0.255415 BIO-hdca_c</v>
      </c>
    </row>
    <row r="48" spans="1:29" ht="16" x14ac:dyDescent="0.2">
      <c r="A48" s="144" t="s">
        <v>1083</v>
      </c>
      <c r="B48" t="str">
        <f>SUBSTITUTE(_xlfn.TEXTBEFORE(mets2415[[#This Row],[pasted JSON metabolite keys and values from GSM biomass rxn]],":"),CHAR(34),"")</f>
        <v>mettrna_c</v>
      </c>
      <c r="C48" t="str">
        <f>_xlfn.TEXTBEFORE(mets2415[[#This Row],[name]],"_",-1)</f>
        <v>mettrna</v>
      </c>
      <c r="D48" t="str">
        <f>_xlfn.XLOOKUP(mets2415[[#This Row],[name w/o location]],metaboliteInfo[name w/o location],metaboliteInfo[suggested category],"")</f>
        <v>PROT</v>
      </c>
      <c r="E48" s="21">
        <f>_xlfn.XLOOKUP(mets2415[[#This Row],[name w/o location]],metaboliteInfo[name w/o location],metaboliteInfo[MW for biomass normalization (g/mol)],0)</f>
        <v>132.20400000000001</v>
      </c>
      <c r="F48" s="21">
        <f>_xlfn.NUMBERVALUE(SUBSTITUTE(_xlfn.TEXTAFTER(mets2415[[#This Row],[pasted JSON metabolite keys and values from GSM biomass rxn]],":"),",",""))</f>
        <v>-3.1953000000000002E-2</v>
      </c>
      <c r="G48" s="21" cm="1">
        <f t="array" ref="G48">_xlfn.LET(_xlpm.id,mets2415[[#This Row],[name w/o location]],IF(IsElementOfSet_DIY(_xlpm.id,{"atp","adp","h","pi","h2o"}),SIGN(mets2415[[#This Row],[raw (GSM) coefficient]])*(ABS(mets2415[[#This Row],[raw (GSM) coefficient]])-$J$2),mets2415[[#This Row],[raw (GSM) coefficient]]))</f>
        <v>-3.1953000000000002E-2</v>
      </c>
      <c r="H48" s="21">
        <f>mets2415[[#This Row],[coeff. w/o GAM]]</f>
        <v>-3.1953000000000002E-2</v>
      </c>
      <c r="I48" s="161">
        <f t="shared" si="0"/>
        <v>-3.2222005103645618E-2</v>
      </c>
      <c r="J48" s="21" cm="1">
        <f t="array" ref="J48">_xlfn.LET(_xlpm.id,mets2415[[#This Row],[name w/o location]],_xlpm.oldcoeff,mets2415[[#This Row],[normalized coeffs]],_xlpm.gam,$J$2-$G$2,_xlfn.IFS(IFERROR(MATCH(_xlpm.id,{"atp","h2o"},0),0)&gt;0,_xlpm.oldcoeff-_xlpm.gam,IFERROR(MATCH(_xlpm.id,{"adp","h","pi"},0),0)&gt;0,_xlpm.oldcoeff+_xlpm.gam,TRUE,_xlpm.oldcoeff))</f>
        <v>-3.2222005103645618E-2</v>
      </c>
      <c r="K48" t="str" cm="1">
        <f t="array" ref="K48">"BIOSYN-"&amp;_xlfn.IFS(IFERROR(MATCH(mets2415[[#This Row],[category]],{0,"0",""},0),0)&gt;0,mets2415[[#This Row],[name]],TRUE,mets2415[[#This Row],[category]]&amp;"-"&amp;mets2415[[#This Row],[name]])</f>
        <v>BIOSYN-PROT-mettrna_c</v>
      </c>
      <c r="L48" s="149" t="str" cm="1">
        <f t="array" ref="L48">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48" s="149" cm="1">
        <f t="array" ref="M4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-1.4180265537337257E-2</v>
      </c>
      <c r="N48" s="149"/>
      <c r="O48" s="149"/>
      <c r="P48" s="149"/>
      <c r="Q48" s="149"/>
      <c r="R48" s="149"/>
      <c r="S48" s="149"/>
      <c r="T48" s="149"/>
      <c r="U48" s="149"/>
      <c r="V48" s="149"/>
      <c r="AB48" t="str">
        <v>BIOSYN-LIPID-ipc_g</v>
      </c>
      <c r="AC48" t="str">
        <v>MET-ipc_g --&gt; 0.915263 BIO-ipc_g</v>
      </c>
    </row>
    <row r="49" spans="1:29" ht="16" x14ac:dyDescent="0.2">
      <c r="A49" s="144" t="s">
        <v>991</v>
      </c>
      <c r="B49" t="str">
        <f>SUBSTITUTE(_xlfn.TEXTBEFORE(mets2415[[#This Row],[pasted JSON metabolite keys and values from GSM biomass rxn]],":"),CHAR(34),"")</f>
        <v>mg2_c</v>
      </c>
      <c r="C49" t="str">
        <f>_xlfn.TEXTBEFORE(mets2415[[#This Row],[name]],"_",-1)</f>
        <v>mg2</v>
      </c>
      <c r="D49" t="str">
        <f>_xlfn.XLOOKUP(mets2415[[#This Row],[name w/o location]],metaboliteInfo[name w/o location],metaboliteInfo[suggested category],"")</f>
        <v>METAL</v>
      </c>
      <c r="E49" s="21">
        <f>_xlfn.XLOOKUP(mets2415[[#This Row],[name w/o location]],metaboliteInfo[name w/o location],metaboliteInfo[MW for biomass normalization (g/mol)],0)</f>
        <v>24.305</v>
      </c>
      <c r="F49" s="21">
        <f>_xlfn.NUMBERVALUE(SUBSTITUTE(_xlfn.TEXTAFTER(mets2415[[#This Row],[pasted JSON metabolite keys and values from GSM biomass rxn]],":"),",",""))</f>
        <v>-6.3606999999999997E-2</v>
      </c>
      <c r="G49" s="21" cm="1">
        <f t="array" ref="G49">_xlfn.LET(_xlpm.id,mets2415[[#This Row],[name w/o location]],IF(IsElementOfSet_DIY(_xlpm.id,{"atp","adp","h","pi","h2o"}),SIGN(mets2415[[#This Row],[raw (GSM) coefficient]])*(ABS(mets2415[[#This Row],[raw (GSM) coefficient]])-$J$2),mets2415[[#This Row],[raw (GSM) coefficient]]))</f>
        <v>-6.3606999999999997E-2</v>
      </c>
      <c r="H49" s="21">
        <f>mets2415[[#This Row],[coeff. w/o GAM]]</f>
        <v>-6.3606999999999997E-2</v>
      </c>
      <c r="I49" s="161">
        <f t="shared" si="0"/>
        <v>-6.4142492993696579E-2</v>
      </c>
      <c r="J49" s="21" cm="1">
        <f t="array" ref="J49">_xlfn.LET(_xlpm.id,mets2415[[#This Row],[name w/o location]],_xlpm.oldcoeff,mets2415[[#This Row],[normalized coeffs]],_xlpm.gam,$J$2-$G$2,_xlfn.IFS(IFERROR(MATCH(_xlpm.id,{"atp","h2o"},0),0)&gt;0,_xlpm.oldcoeff-_xlpm.gam,IFERROR(MATCH(_xlpm.id,{"adp","h","pi"},0),0)&gt;0,_xlpm.oldcoeff+_xlpm.gam,TRUE,_xlpm.oldcoeff))</f>
        <v>-6.4142492993696579E-2</v>
      </c>
      <c r="K49" t="str" cm="1">
        <f t="array" ref="K49">"BIOSYN-"&amp;_xlfn.IFS(IFERROR(MATCH(mets2415[[#This Row],[category]],{0,"0",""},0),0)&gt;0,mets2415[[#This Row],[name]],TRUE,mets2415[[#This Row],[category]]&amp;"-"&amp;mets2415[[#This Row],[name]])</f>
        <v>BIOSYN-METAL-mg2_c</v>
      </c>
      <c r="L49" s="149" t="str" cm="1">
        <f t="array" ref="L49">IF(IsElementOfSet_DIY(mets2415[[#This Row],[category]],{"ignore","PROT"}),"",_xlfn.LET(_xlpm.mw,mets2415[[#This Row],[MW for biomass normalization (g/mol)]],"MET-"&amp;mets2415[[#This Row],[name]]&amp;" --&gt; "&amp;IF((mets2415[[#This Row],[category]]="DNA")+(mets2415[[#This Row],[category]]="RNA"),"MET-ppi_c + ","")&amp;ROUND(ABS(_xlpm.mw/1000),6)&amp;" BIO-"&amp;mets2415[[#This Row],[name]]))</f>
        <v>MET-mg2_c --&gt; 0.024305 BIO-mg2_c</v>
      </c>
      <c r="M49" s="149" cm="1">
        <f t="array" ref="M4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-6.4142492993696579E-2</v>
      </c>
      <c r="N49" s="149"/>
      <c r="O49" s="149"/>
      <c r="P49" s="149"/>
      <c r="Q49" s="149"/>
      <c r="R49" s="149"/>
      <c r="S49" s="149"/>
      <c r="T49" s="149"/>
      <c r="U49" s="149"/>
      <c r="V49" s="149"/>
      <c r="AB49" t="str">
        <v>BIOSYN-LIPID-linoea_c</v>
      </c>
      <c r="AC49" t="str">
        <v>MET-linoea_c --&gt; 0.279437 BIO-linoea_c</v>
      </c>
    </row>
    <row r="50" spans="1:29" ht="16" x14ac:dyDescent="0.2">
      <c r="A50" s="144" t="s">
        <v>992</v>
      </c>
      <c r="B50" t="str">
        <f>SUBSTITUTE(_xlfn.TEXTBEFORE(mets2415[[#This Row],[pasted JSON metabolite keys and values from GSM biomass rxn]],":"),CHAR(34),"")</f>
        <v>mn2_c</v>
      </c>
      <c r="C50" t="str">
        <f>_xlfn.TEXTBEFORE(mets2415[[#This Row],[name]],"_",-1)</f>
        <v>mn2</v>
      </c>
      <c r="D50" t="str">
        <f>_xlfn.XLOOKUP(mets2415[[#This Row],[name w/o location]],metaboliteInfo[name w/o location],metaboliteInfo[suggested category],"")</f>
        <v>METAL</v>
      </c>
      <c r="E50" s="21">
        <f>_xlfn.XLOOKUP(mets2415[[#This Row],[name w/o location]],metaboliteInfo[name w/o location],metaboliteInfo[MW for biomass normalization (g/mol)],0)</f>
        <v>54.938043999999998</v>
      </c>
      <c r="F50" s="21">
        <f>_xlfn.NUMBERVALUE(SUBSTITUTE(_xlfn.TEXTAFTER(mets2415[[#This Row],[pasted JSON metabolite keys and values from GSM biomass rxn]],":"),",",""))</f>
        <v>-9.3999999999999994E-5</v>
      </c>
      <c r="G50" s="21" cm="1">
        <f t="array" ref="G50">_xlfn.LET(_xlpm.id,mets2415[[#This Row],[name w/o location]],IF(IsElementOfSet_DIY(_xlpm.id,{"atp","adp","h","pi","h2o"}),SIGN(mets2415[[#This Row],[raw (GSM) coefficient]])*(ABS(mets2415[[#This Row],[raw (GSM) coefficient]])-$J$2),mets2415[[#This Row],[raw (GSM) coefficient]]))</f>
        <v>-9.3999999999999994E-5</v>
      </c>
      <c r="H50" s="21">
        <f>mets2415[[#This Row],[coeff. w/o GAM]]</f>
        <v>-9.3999999999999994E-5</v>
      </c>
      <c r="I50" s="161">
        <f t="shared" si="0"/>
        <v>-9.4791364809022245E-5</v>
      </c>
      <c r="J50" s="21" cm="1">
        <f t="array" ref="J50">_xlfn.LET(_xlpm.id,mets2415[[#This Row],[name w/o location]],_xlpm.oldcoeff,mets2415[[#This Row],[normalized coeffs]],_xlpm.gam,$J$2-$G$2,_xlfn.IFS(IFERROR(MATCH(_xlpm.id,{"atp","h2o"},0),0)&gt;0,_xlpm.oldcoeff-_xlpm.gam,IFERROR(MATCH(_xlpm.id,{"adp","h","pi"},0),0)&gt;0,_xlpm.oldcoeff+_xlpm.gam,TRUE,_xlpm.oldcoeff))</f>
        <v>-9.4791364809022245E-5</v>
      </c>
      <c r="K50" t="str" cm="1">
        <f t="array" ref="K50">"BIOSYN-"&amp;_xlfn.IFS(IFERROR(MATCH(mets2415[[#This Row],[category]],{0,"0",""},0),0)&gt;0,mets2415[[#This Row],[name]],TRUE,mets2415[[#This Row],[category]]&amp;"-"&amp;mets2415[[#This Row],[name]])</f>
        <v>BIOSYN-METAL-mn2_c</v>
      </c>
      <c r="L50" s="149" t="str" cm="1">
        <f t="array" ref="L50">IF(IsElementOfSet_DIY(mets2415[[#This Row],[category]],{"ignore","PROT"}),"",_xlfn.LET(_xlpm.mw,mets2415[[#This Row],[MW for biomass normalization (g/mol)]],"MET-"&amp;mets2415[[#This Row],[name]]&amp;" --&gt; "&amp;IF((mets2415[[#This Row],[category]]="DNA")+(mets2415[[#This Row],[category]]="RNA"),"MET-ppi_c + ","")&amp;ROUND(ABS(_xlpm.mw/1000),6)&amp;" BIO-"&amp;mets2415[[#This Row],[name]]))</f>
        <v>MET-mn2_c --&gt; 0.054938 BIO-mn2_c</v>
      </c>
      <c r="M50" s="149" cm="1">
        <f t="array" ref="M5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-9.4791364809022245E-5</v>
      </c>
      <c r="N50" s="149"/>
      <c r="O50" s="149"/>
      <c r="P50" s="149"/>
      <c r="Q50" s="149"/>
      <c r="R50" s="149"/>
      <c r="S50" s="149"/>
      <c r="T50" s="149"/>
      <c r="U50" s="149"/>
      <c r="V50" s="149"/>
      <c r="AB50" t="str">
        <v>BIOSYN-LIPID-linolen_c</v>
      </c>
      <c r="AC50" t="str">
        <v>MET-linolen_c --&gt; 0.277421 BIO-linolen_c</v>
      </c>
    </row>
    <row r="51" spans="1:29" ht="16" x14ac:dyDescent="0.2">
      <c r="A51" s="144" t="s">
        <v>993</v>
      </c>
      <c r="B51" t="str">
        <f>SUBSTITUTE(_xlfn.TEXTBEFORE(mets2415[[#This Row],[pasted JSON metabolite keys and values from GSM biomass rxn]],":"),CHAR(34),"")</f>
        <v>nad_c</v>
      </c>
      <c r="C51" t="str">
        <f>_xlfn.TEXTBEFORE(mets2415[[#This Row],[name]],"_",-1)</f>
        <v>nad</v>
      </c>
      <c r="D51" t="str">
        <f>_xlfn.XLOOKUP(mets2415[[#This Row],[name w/o location]],metaboliteInfo[name w/o location],metaboliteInfo[suggested category],"")</f>
        <v>COFACTOR</v>
      </c>
      <c r="E51" s="21">
        <f>_xlfn.XLOOKUP(mets2415[[#This Row],[name w/o location]],metaboliteInfo[name w/o location],metaboliteInfo[MW for biomass normalization (g/mol)],0)</f>
        <v>662.41716199999996</v>
      </c>
      <c r="F51" s="21">
        <f>_xlfn.NUMBERVALUE(SUBSTITUTE(_xlfn.TEXTAFTER(mets2415[[#This Row],[pasted JSON metabolite keys and values from GSM biomass rxn]],":"),",",""))</f>
        <v>-1E-4</v>
      </c>
      <c r="G51" s="21" cm="1">
        <f t="array" ref="G51">_xlfn.LET(_xlpm.id,mets2415[[#This Row],[name w/o location]],IF(IsElementOfSet_DIY(_xlpm.id,{"atp","adp","h","pi","h2o"}),SIGN(mets2415[[#This Row],[raw (GSM) coefficient]])*(ABS(mets2415[[#This Row],[raw (GSM) coefficient]])-$J$2),mets2415[[#This Row],[raw (GSM) coefficient]]))</f>
        <v>-1E-4</v>
      </c>
      <c r="H51" s="21">
        <f>mets2415[[#This Row],[coeff. w/o GAM]]</f>
        <v>-1E-4</v>
      </c>
      <c r="I51" s="161">
        <f t="shared" si="0"/>
        <v>-1.0084187745640667E-4</v>
      </c>
      <c r="J51" s="21" cm="1">
        <f t="array" ref="J51">_xlfn.LET(_xlpm.id,mets2415[[#This Row],[name w/o location]],_xlpm.oldcoeff,mets2415[[#This Row],[normalized coeffs]],_xlpm.gam,$J$2-$G$2,_xlfn.IFS(IFERROR(MATCH(_xlpm.id,{"atp","h2o"},0),0)&gt;0,_xlpm.oldcoeff-_xlpm.gam,IFERROR(MATCH(_xlpm.id,{"adp","h","pi"},0),0)&gt;0,_xlpm.oldcoeff+_xlpm.gam,TRUE,_xlpm.oldcoeff))</f>
        <v>-1.0084187745640667E-4</v>
      </c>
      <c r="K51" t="str" cm="1">
        <f t="array" ref="K51">"BIOSYN-"&amp;_xlfn.IFS(IFERROR(MATCH(mets2415[[#This Row],[category]],{0,"0",""},0),0)&gt;0,mets2415[[#This Row],[name]],TRUE,mets2415[[#This Row],[category]]&amp;"-"&amp;mets2415[[#This Row],[name]])</f>
        <v>BIOSYN-COFACTOR-nad_c</v>
      </c>
      <c r="L51" s="149" t="str" cm="1">
        <f t="array" ref="L51">IF(IsElementOfSet_DIY(mets2415[[#This Row],[category]],{"ignore","PROT"}),"",_xlfn.LET(_xlpm.mw,mets2415[[#This Row],[MW for biomass normalization (g/mol)]],"MET-"&amp;mets2415[[#This Row],[name]]&amp;" --&gt; "&amp;IF((mets2415[[#This Row],[category]]="DNA")+(mets2415[[#This Row],[category]]="RNA"),"MET-ppi_c + ","")&amp;ROUND(ABS(_xlpm.mw/1000),6)&amp;" BIO-"&amp;mets2415[[#This Row],[name]]))</f>
        <v>MET-nad_c --&gt; 0.662417 BIO-nad_c</v>
      </c>
      <c r="M51" s="149" cm="1">
        <f t="array" ref="M5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51" s="149"/>
      <c r="O51" s="149"/>
      <c r="P51" s="149"/>
      <c r="Q51" s="149"/>
      <c r="R51" s="149"/>
      <c r="S51" s="149"/>
      <c r="T51" s="149"/>
      <c r="U51" s="149"/>
      <c r="V51" s="149"/>
      <c r="AB51" t="str">
        <v>BIOSYN-LIPID-ocdca_c</v>
      </c>
      <c r="AC51" t="str">
        <v>MET-ocdca_c --&gt; 0.283469 BIO-ocdca_c</v>
      </c>
    </row>
    <row r="52" spans="1:29" ht="16" x14ac:dyDescent="0.2">
      <c r="A52" s="144" t="s">
        <v>994</v>
      </c>
      <c r="B52" t="str">
        <f>SUBSTITUTE(_xlfn.TEXTBEFORE(mets2415[[#This Row],[pasted JSON metabolite keys and values from GSM biomass rxn]],":"),CHAR(34),"")</f>
        <v>nadp_c</v>
      </c>
      <c r="C52" t="str">
        <f>_xlfn.TEXTBEFORE(mets2415[[#This Row],[name]],"_",-1)</f>
        <v>nadp</v>
      </c>
      <c r="D52" t="str">
        <f>_xlfn.XLOOKUP(mets2415[[#This Row],[name w/o location]],metaboliteInfo[name w/o location],metaboliteInfo[suggested category],"")</f>
        <v>COFACTOR</v>
      </c>
      <c r="E52" s="21">
        <f>_xlfn.XLOOKUP(mets2415[[#This Row],[name w/o location]],metaboliteInfo[name w/o location],metaboliteInfo[MW for biomass normalization (g/mol)],0)</f>
        <v>740.38118299999996</v>
      </c>
      <c r="F52" s="21">
        <f>_xlfn.NUMBERVALUE(SUBSTITUTE(_xlfn.TEXTAFTER(mets2415[[#This Row],[pasted JSON metabolite keys and values from GSM biomass rxn]],":"),",",""))</f>
        <v>-1E-4</v>
      </c>
      <c r="G52" s="21" cm="1">
        <f t="array" ref="G52">_xlfn.LET(_xlpm.id,mets2415[[#This Row],[name w/o location]],IF(IsElementOfSet_DIY(_xlpm.id,{"atp","adp","h","pi","h2o"}),SIGN(mets2415[[#This Row],[raw (GSM) coefficient]])*(ABS(mets2415[[#This Row],[raw (GSM) coefficient]])-$J$2),mets2415[[#This Row],[raw (GSM) coefficient]]))</f>
        <v>-1E-4</v>
      </c>
      <c r="H52" s="21">
        <f>mets2415[[#This Row],[coeff. w/o GAM]]</f>
        <v>-1E-4</v>
      </c>
      <c r="I52" s="161">
        <f t="shared" si="0"/>
        <v>-1.0084187745640667E-4</v>
      </c>
      <c r="J52" s="21" cm="1">
        <f t="array" ref="J52">_xlfn.LET(_xlpm.id,mets2415[[#This Row],[name w/o location]],_xlpm.oldcoeff,mets2415[[#This Row],[normalized coeffs]],_xlpm.gam,$J$2-$G$2,_xlfn.IFS(IFERROR(MATCH(_xlpm.id,{"atp","h2o"},0),0)&gt;0,_xlpm.oldcoeff-_xlpm.gam,IFERROR(MATCH(_xlpm.id,{"adp","h","pi"},0),0)&gt;0,_xlpm.oldcoeff+_xlpm.gam,TRUE,_xlpm.oldcoeff))</f>
        <v>-1.0084187745640667E-4</v>
      </c>
      <c r="K52" t="str" cm="1">
        <f t="array" ref="K52">"BIOSYN-"&amp;_xlfn.IFS(IFERROR(MATCH(mets2415[[#This Row],[category]],{0,"0",""},0),0)&gt;0,mets2415[[#This Row],[name]],TRUE,mets2415[[#This Row],[category]]&amp;"-"&amp;mets2415[[#This Row],[name]])</f>
        <v>BIOSYN-COFACTOR-nadp_c</v>
      </c>
      <c r="L52" s="149" t="str" cm="1">
        <f t="array" ref="L52">IF(IsElementOfSet_DIY(mets2415[[#This Row],[category]],{"ignore","PROT"}),"",_xlfn.LET(_xlpm.mw,mets2415[[#This Row],[MW for biomass normalization (g/mol)]],"MET-"&amp;mets2415[[#This Row],[name]]&amp;" --&gt; "&amp;IF((mets2415[[#This Row],[category]]="DNA")+(mets2415[[#This Row],[category]]="RNA"),"MET-ppi_c + ","")&amp;ROUND(ABS(_xlpm.mw/1000),6)&amp;" BIO-"&amp;mets2415[[#This Row],[name]]))</f>
        <v>MET-nadp_c --&gt; 0.740381 BIO-nadp_c</v>
      </c>
      <c r="M52" s="149" cm="1">
        <f t="array" ref="M5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52" s="149"/>
      <c r="O52" s="149"/>
      <c r="P52" s="149"/>
      <c r="Q52" s="149"/>
      <c r="R52" s="149"/>
      <c r="S52" s="149"/>
      <c r="T52" s="149"/>
      <c r="U52" s="149"/>
      <c r="V52" s="149"/>
      <c r="AB52" t="str">
        <v>BIOSYN-LIPID-ocdcea_c</v>
      </c>
      <c r="AC52" t="str">
        <v>MET-ocdcea_c --&gt; 0.281453 BIO-ocdcea_c</v>
      </c>
    </row>
    <row r="53" spans="1:29" ht="16" x14ac:dyDescent="0.2">
      <c r="A53" s="144" t="s">
        <v>1084</v>
      </c>
      <c r="B53" t="str">
        <f>SUBSTITUTE(_xlfn.TEXTBEFORE(mets2415[[#This Row],[pasted JSON metabolite keys and values from GSM biomass rxn]],":"),CHAR(34),"")</f>
        <v>ocdca_c</v>
      </c>
      <c r="C53" t="str">
        <f>_xlfn.TEXTBEFORE(mets2415[[#This Row],[name]],"_",-1)</f>
        <v>ocdca</v>
      </c>
      <c r="D53" t="str">
        <f>_xlfn.XLOOKUP(mets2415[[#This Row],[name w/o location]],metaboliteInfo[name w/o location],metaboliteInfo[suggested category],"")</f>
        <v>LIPID</v>
      </c>
      <c r="E53" s="21">
        <f>_xlfn.XLOOKUP(mets2415[[#This Row],[name w/o location]],metaboliteInfo[name w/o location],metaboliteInfo[MW for biomass normalization (g/mol)],0)</f>
        <v>283.46850000000001</v>
      </c>
      <c r="F53" s="21">
        <f>_xlfn.NUMBERVALUE(SUBSTITUTE(_xlfn.TEXTAFTER(mets2415[[#This Row],[pasted JSON metabolite keys and values from GSM biomass rxn]],":"),",",""))</f>
        <v>-3.2079999999999999E-3</v>
      </c>
      <c r="G53" s="21" cm="1">
        <f t="array" ref="G53">_xlfn.LET(_xlpm.id,mets2415[[#This Row],[name w/o location]],IF(IsElementOfSet_DIY(_xlpm.id,{"atp","adp","h","pi","h2o"}),SIGN(mets2415[[#This Row],[raw (GSM) coefficient]])*(ABS(mets2415[[#This Row],[raw (GSM) coefficient]])-$J$2),mets2415[[#This Row],[raw (GSM) coefficient]]))</f>
        <v>-3.2079999999999999E-3</v>
      </c>
      <c r="H53" s="21">
        <f>mets2415[[#This Row],[coeff. w/o GAM]]</f>
        <v>-3.2079999999999999E-3</v>
      </c>
      <c r="I53" s="161">
        <f t="shared" si="0"/>
        <v>-3.2350074288015254E-3</v>
      </c>
      <c r="J53" s="21" cm="1">
        <f t="array" ref="J53">_xlfn.LET(_xlpm.id,mets2415[[#This Row],[name w/o location]],_xlpm.oldcoeff,mets2415[[#This Row],[normalized coeffs]],_xlpm.gam,$J$2-$G$2,_xlfn.IFS(IFERROR(MATCH(_xlpm.id,{"atp","h2o"},0),0)&gt;0,_xlpm.oldcoeff-_xlpm.gam,IFERROR(MATCH(_xlpm.id,{"adp","h","pi"},0),0)&gt;0,_xlpm.oldcoeff+_xlpm.gam,TRUE,_xlpm.oldcoeff))</f>
        <v>-3.2350074288015254E-3</v>
      </c>
      <c r="K53" t="str" cm="1">
        <f t="array" ref="K53">"BIOSYN-"&amp;_xlfn.IFS(IFERROR(MATCH(mets2415[[#This Row],[category]],{0,"0",""},0),0)&gt;0,mets2415[[#This Row],[name]],TRUE,mets2415[[#This Row],[category]]&amp;"-"&amp;mets2415[[#This Row],[name]])</f>
        <v>BIOSYN-LIPID-ocdca_c</v>
      </c>
      <c r="L53" s="149" t="str" cm="1">
        <f t="array" ref="L53">IF(IsElementOfSet_DIY(mets2415[[#This Row],[category]],{"ignore","PROT"}),"",_xlfn.LET(_xlpm.mw,mets2415[[#This Row],[MW for biomass normalization (g/mol)]],"MET-"&amp;mets2415[[#This Row],[name]]&amp;" --&gt; "&amp;IF((mets2415[[#This Row],[category]]="DNA")+(mets2415[[#This Row],[category]]="RNA"),"MET-ppi_c + ","")&amp;ROUND(ABS(_xlpm.mw/1000),6)&amp;" BIO-"&amp;mets2415[[#This Row],[name]]))</f>
        <v>MET-ocdca_c --&gt; 0.283469 BIO-ocdca_c</v>
      </c>
      <c r="M53" s="149" cm="1">
        <f t="array" ref="M5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-2.0717186803804683E-3</v>
      </c>
      <c r="N53" s="149"/>
      <c r="O53" s="149"/>
      <c r="P53" s="149"/>
      <c r="Q53" s="149"/>
      <c r="R53" s="149"/>
      <c r="S53" s="149"/>
      <c r="T53" s="149"/>
      <c r="U53" s="149"/>
      <c r="V53" s="149"/>
      <c r="AB53" t="str">
        <v>BIOSYN-LIPID-pail_c</v>
      </c>
      <c r="AC53" t="str">
        <v>MET-pail_c --&gt; 0.862149 BIO-pail_c</v>
      </c>
    </row>
    <row r="54" spans="1:29" ht="16" x14ac:dyDescent="0.2">
      <c r="A54" s="144" t="s">
        <v>1085</v>
      </c>
      <c r="B54" t="str">
        <f>SUBSTITUTE(_xlfn.TEXTBEFORE(mets2415[[#This Row],[pasted JSON metabolite keys and values from GSM biomass rxn]],":"),CHAR(34),"")</f>
        <v>ocdcea_c</v>
      </c>
      <c r="C54" t="str">
        <f>_xlfn.TEXTBEFORE(mets2415[[#This Row],[name]],"_",-1)</f>
        <v>ocdcea</v>
      </c>
      <c r="D54" t="str">
        <f>_xlfn.XLOOKUP(mets2415[[#This Row],[name w/o location]],metaboliteInfo[name w/o location],metaboliteInfo[suggested category],"")</f>
        <v>LIPID</v>
      </c>
      <c r="E54" s="21">
        <f>_xlfn.XLOOKUP(mets2415[[#This Row],[name w/o location]],metaboliteInfo[name w/o location],metaboliteInfo[MW for biomass normalization (g/mol)],0)</f>
        <v>281.45262000000002</v>
      </c>
      <c r="F54" s="21">
        <f>_xlfn.NUMBERVALUE(SUBSTITUTE(_xlfn.TEXTAFTER(mets2415[[#This Row],[pasted JSON metabolite keys and values from GSM biomass rxn]],":"),",",""))</f>
        <v>-9.8069999999999997E-3</v>
      </c>
      <c r="G54" s="21" cm="1">
        <f t="array" ref="G54">_xlfn.LET(_xlpm.id,mets2415[[#This Row],[name w/o location]],IF(IsElementOfSet_DIY(_xlpm.id,{"atp","adp","h","pi","h2o"}),SIGN(mets2415[[#This Row],[raw (GSM) coefficient]])*(ABS(mets2415[[#This Row],[raw (GSM) coefficient]])-$J$2),mets2415[[#This Row],[raw (GSM) coefficient]]))</f>
        <v>-9.8069999999999997E-3</v>
      </c>
      <c r="H54" s="21">
        <f>mets2415[[#This Row],[coeff. w/o GAM]]</f>
        <v>-9.8069999999999997E-3</v>
      </c>
      <c r="I54" s="161">
        <f t="shared" si="0"/>
        <v>-9.8895629221498003E-3</v>
      </c>
      <c r="J54" s="21" cm="1">
        <f t="array" ref="J54">_xlfn.LET(_xlpm.id,mets2415[[#This Row],[name w/o location]],_xlpm.oldcoeff,mets2415[[#This Row],[normalized coeffs]],_xlpm.gam,$J$2-$G$2,_xlfn.IFS(IFERROR(MATCH(_xlpm.id,{"atp","h2o"},0),0)&gt;0,_xlpm.oldcoeff-_xlpm.gam,IFERROR(MATCH(_xlpm.id,{"adp","h","pi"},0),0)&gt;0,_xlpm.oldcoeff+_xlpm.gam,TRUE,_xlpm.oldcoeff))</f>
        <v>-9.8895629221498003E-3</v>
      </c>
      <c r="K54" t="str" cm="1">
        <f t="array" ref="K54">"BIOSYN-"&amp;_xlfn.IFS(IFERROR(MATCH(mets2415[[#This Row],[category]],{0,"0",""},0),0)&gt;0,mets2415[[#This Row],[name]],TRUE,mets2415[[#This Row],[category]]&amp;"-"&amp;mets2415[[#This Row],[name]])</f>
        <v>BIOSYN-LIPID-ocdcea_c</v>
      </c>
      <c r="L54" s="149" t="str" cm="1">
        <f t="array" ref="L54">IF(IsElementOfSet_DIY(mets2415[[#This Row],[category]],{"ignore","PROT"}),"",_xlfn.LET(_xlpm.mw,mets2415[[#This Row],[MW for biomass normalization (g/mol)]],"MET-"&amp;mets2415[[#This Row],[name]]&amp;" --&gt; "&amp;IF((mets2415[[#This Row],[category]]="DNA")+(mets2415[[#This Row],[category]]="RNA"),"MET-ppi_c + ","")&amp;ROUND(ABS(_xlpm.mw/1000),6)&amp;" BIO-"&amp;mets2415[[#This Row],[name]]))</f>
        <v>MET-ocdcea_c --&gt; 0.281453 BIO-ocdcea_c</v>
      </c>
      <c r="M54" s="149" cm="1">
        <f t="array" ref="M5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-6.3333370007765746E-3</v>
      </c>
      <c r="N54" s="149"/>
      <c r="O54" s="149"/>
      <c r="P54" s="149"/>
      <c r="Q54" s="149"/>
      <c r="R54" s="149"/>
      <c r="S54" s="149"/>
      <c r="T54" s="149"/>
      <c r="U54" s="149"/>
      <c r="V54" s="149"/>
      <c r="AB54" t="str">
        <v>BIOSYN-LIPID-pc_c</v>
      </c>
      <c r="AC54" t="str">
        <v>MET-pc_c --&gt; 0.786166 BIO-pc_c</v>
      </c>
    </row>
    <row r="55" spans="1:29" ht="16" x14ac:dyDescent="0.2">
      <c r="A55" s="144" t="s">
        <v>1086</v>
      </c>
      <c r="B55" t="str">
        <f>SUBSTITUTE(_xlfn.TEXTBEFORE(mets2415[[#This Row],[pasted JSON metabolite keys and values from GSM biomass rxn]],":"),CHAR(34),"")</f>
        <v>oglycanSC_g</v>
      </c>
      <c r="C55" t="str">
        <f>_xlfn.TEXTBEFORE(mets2415[[#This Row],[name]],"_",-1)</f>
        <v>oglycanSC</v>
      </c>
      <c r="D55" t="str">
        <f>_xlfn.XLOOKUP(mets2415[[#This Row],[name w/o location]],metaboliteInfo[name w/o location],metaboliteInfo[suggested category],"")</f>
        <v>CARB</v>
      </c>
      <c r="E55" s="21">
        <f>_xlfn.XLOOKUP(mets2415[[#This Row],[name w/o location]],metaboliteInfo[name w/o location],metaboliteInfo[MW for biomass normalization (g/mol)],0)</f>
        <v>810.70299999999997</v>
      </c>
      <c r="F55" s="21">
        <f>_xlfn.NUMBERVALUE(SUBSTITUTE(_xlfn.TEXTAFTER(mets2415[[#This Row],[pasted JSON metabolite keys and values from GSM biomass rxn]],":"),",",""))</f>
        <v>-1.8322000000000001E-2</v>
      </c>
      <c r="G55" s="21" cm="1">
        <f t="array" ref="G55">_xlfn.LET(_xlpm.id,mets2415[[#This Row],[name w/o location]],IF(IsElementOfSet_DIY(_xlpm.id,{"atp","adp","h","pi","h2o"}),SIGN(mets2415[[#This Row],[raw (GSM) coefficient]])*(ABS(mets2415[[#This Row],[raw (GSM) coefficient]])-$J$2),mets2415[[#This Row],[raw (GSM) coefficient]]))</f>
        <v>-1.8322000000000001E-2</v>
      </c>
      <c r="H55" s="21">
        <f>mets2415[[#This Row],[coeff. w/o GAM]]</f>
        <v>-1.8322000000000001E-2</v>
      </c>
      <c r="I55" s="161">
        <f t="shared" si="0"/>
        <v>-1.8476248787562828E-2</v>
      </c>
      <c r="J55" s="21" cm="1">
        <f t="array" ref="J55">_xlfn.LET(_xlpm.id,mets2415[[#This Row],[name w/o location]],_xlpm.oldcoeff,mets2415[[#This Row],[normalized coeffs]],_xlpm.gam,$J$2-$G$2,_xlfn.IFS(IFERROR(MATCH(_xlpm.id,{"atp","h2o"},0),0)&gt;0,_xlpm.oldcoeff-_xlpm.gam,IFERROR(MATCH(_xlpm.id,{"adp","h","pi"},0),0)&gt;0,_xlpm.oldcoeff+_xlpm.gam,TRUE,_xlpm.oldcoeff))</f>
        <v>-1.8476248787562828E-2</v>
      </c>
      <c r="K55" t="str" cm="1">
        <f t="array" ref="K55">"BIOSYN-"&amp;_xlfn.IFS(IFERROR(MATCH(mets2415[[#This Row],[category]],{0,"0",""},0),0)&gt;0,mets2415[[#This Row],[name]],TRUE,mets2415[[#This Row],[category]]&amp;"-"&amp;mets2415[[#This Row],[name]])</f>
        <v>BIOSYN-CARB-oglycanSC_g</v>
      </c>
      <c r="L55" s="149" t="str" cm="1">
        <f t="array" ref="L55">IF(IsElementOfSet_DIY(mets2415[[#This Row],[category]],{"ignore","PROT"}),"",_xlfn.LET(_xlpm.mw,mets2415[[#This Row],[MW for biomass normalization (g/mol)]],"MET-"&amp;mets2415[[#This Row],[name]]&amp;" --&gt; "&amp;IF((mets2415[[#This Row],[category]]="DNA")+(mets2415[[#This Row],[category]]="RNA"),"MET-ppi_c + ","")&amp;ROUND(ABS(_xlpm.mw/1000),6)&amp;" BIO-"&amp;mets2415[[#This Row],[name]]))</f>
        <v>MET-oglycanSC_g --&gt; 0.810703 BIO-oglycanSC_g</v>
      </c>
      <c r="M55" s="149" cm="1">
        <f t="array" ref="M5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-7.1857957102333669E-2</v>
      </c>
      <c r="N55" s="149"/>
      <c r="O55" s="149"/>
      <c r="P55" s="149"/>
      <c r="Q55" s="149"/>
      <c r="R55" s="149"/>
      <c r="S55" s="149"/>
      <c r="T55" s="149"/>
      <c r="U55" s="149"/>
      <c r="V55" s="149"/>
      <c r="AB55" t="str">
        <v>BIOSYN-LIPID-pe_c</v>
      </c>
      <c r="AC55" t="str">
        <v>MET-pe_c --&gt; 0.744086 BIO-pe_c</v>
      </c>
    </row>
    <row r="56" spans="1:29" ht="16" x14ac:dyDescent="0.2">
      <c r="A56" s="144" t="s">
        <v>1087</v>
      </c>
      <c r="B56" t="str">
        <f>SUBSTITUTE(_xlfn.TEXTBEFORE(mets2415[[#This Row],[pasted JSON metabolite keys and values from GSM biomass rxn]],":"),CHAR(34),"")</f>
        <v>pail_c</v>
      </c>
      <c r="C56" t="str">
        <f>_xlfn.TEXTBEFORE(mets2415[[#This Row],[name]],"_",-1)</f>
        <v>pail</v>
      </c>
      <c r="D56" t="str">
        <f>_xlfn.XLOOKUP(mets2415[[#This Row],[name w/o location]],metaboliteInfo[name w/o location],metaboliteInfo[suggested category],"")</f>
        <v>LIPID</v>
      </c>
      <c r="E56" s="21">
        <f>_xlfn.XLOOKUP(mets2415[[#This Row],[name w/o location]],metaboliteInfo[name w/o location],metaboliteInfo[MW for biomass normalization (g/mol)],0)</f>
        <v>862.14885442176001</v>
      </c>
      <c r="F56" s="21">
        <f>_xlfn.NUMBERVALUE(SUBSTITUTE(_xlfn.TEXTAFTER(mets2415[[#This Row],[pasted JSON metabolite keys and values from GSM biomass rxn]],":"),",",""))</f>
        <v>-6.587E-3</v>
      </c>
      <c r="G56" s="21" cm="1">
        <f t="array" ref="G56">_xlfn.LET(_xlpm.id,mets2415[[#This Row],[name w/o location]],IF(IsElementOfSet_DIY(_xlpm.id,{"atp","adp","h","pi","h2o"}),SIGN(mets2415[[#This Row],[raw (GSM) coefficient]])*(ABS(mets2415[[#This Row],[raw (GSM) coefficient]])-$J$2),mets2415[[#This Row],[raw (GSM) coefficient]]))</f>
        <v>-6.587E-3</v>
      </c>
      <c r="H56" s="21">
        <f>mets2415[[#This Row],[coeff. w/o GAM]]</f>
        <v>-6.587E-3</v>
      </c>
      <c r="I56" s="161">
        <f t="shared" si="0"/>
        <v>-6.6424544680535064E-3</v>
      </c>
      <c r="J56" s="21" cm="1">
        <f t="array" ref="J56">_xlfn.LET(_xlpm.id,mets2415[[#This Row],[name w/o location]],_xlpm.oldcoeff,mets2415[[#This Row],[normalized coeffs]],_xlpm.gam,$J$2-$G$2,_xlfn.IFS(IFERROR(MATCH(_xlpm.id,{"atp","h2o"},0),0)&gt;0,_xlpm.oldcoeff-_xlpm.gam,IFERROR(MATCH(_xlpm.id,{"adp","h","pi"},0),0)&gt;0,_xlpm.oldcoeff+_xlpm.gam,TRUE,_xlpm.oldcoeff))</f>
        <v>-6.6424544680535064E-3</v>
      </c>
      <c r="K56" t="str" cm="1">
        <f t="array" ref="K56">"BIOSYN-"&amp;_xlfn.IFS(IFERROR(MATCH(mets2415[[#This Row],[category]],{0,"0",""},0),0)&gt;0,mets2415[[#This Row],[name]],TRUE,mets2415[[#This Row],[category]]&amp;"-"&amp;mets2415[[#This Row],[name]])</f>
        <v>BIOSYN-LIPID-pail_c</v>
      </c>
      <c r="L56" s="149" t="str" cm="1">
        <f t="array" ref="L56">IF(IsElementOfSet_DIY(mets2415[[#This Row],[category]],{"ignore","PROT"}),"",_xlfn.LET(_xlpm.mw,mets2415[[#This Row],[MW for biomass normalization (g/mol)]],"MET-"&amp;mets2415[[#This Row],[name]]&amp;" --&gt; "&amp;IF((mets2415[[#This Row],[category]]="DNA")+(mets2415[[#This Row],[category]]="RNA"),"MET-ppi_c + ","")&amp;ROUND(ABS(_xlpm.mw/1000),6)&amp;" BIO-"&amp;mets2415[[#This Row],[name]]))</f>
        <v>MET-pail_c --&gt; 0.862149 BIO-pail_c</v>
      </c>
      <c r="M56" s="149" cm="1">
        <f t="array" ref="M5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-4.2538687492724887E-3</v>
      </c>
      <c r="N56" s="149"/>
      <c r="O56" s="149"/>
      <c r="P56" s="149"/>
      <c r="Q56" s="149"/>
      <c r="R56" s="149"/>
      <c r="S56" s="149"/>
      <c r="T56" s="149"/>
      <c r="U56" s="149"/>
      <c r="V56" s="149"/>
      <c r="AB56" t="str">
        <v>BIOSYN-LIPID-ps_c</v>
      </c>
      <c r="AC56" t="str">
        <v>MET-ps_c --&gt; 0.786079 BIO-ps_c</v>
      </c>
    </row>
    <row r="57" spans="1:29" ht="16" x14ac:dyDescent="0.2">
      <c r="A57" s="144" t="s">
        <v>1088</v>
      </c>
      <c r="B57" t="str">
        <f>SUBSTITUTE(_xlfn.TEXTBEFORE(mets2415[[#This Row],[pasted JSON metabolite keys and values from GSM biomass rxn]],":"),CHAR(34),"")</f>
        <v>pc_c</v>
      </c>
      <c r="C57" t="str">
        <f>_xlfn.TEXTBEFORE(mets2415[[#This Row],[name]],"_",-1)</f>
        <v>pc</v>
      </c>
      <c r="D57" t="str">
        <f>_xlfn.XLOOKUP(mets2415[[#This Row],[name w/o location]],metaboliteInfo[name w/o location],metaboliteInfo[suggested category],"")</f>
        <v>LIPID</v>
      </c>
      <c r="E57" s="21">
        <f>_xlfn.XLOOKUP(mets2415[[#This Row],[name w/o location]],metaboliteInfo[name w/o location],metaboliteInfo[MW for biomass normalization (g/mol)],0)</f>
        <v>786.16573442176002</v>
      </c>
      <c r="F57" s="21">
        <f>_xlfn.NUMBERVALUE(SUBSTITUTE(_xlfn.TEXTAFTER(mets2415[[#This Row],[pasted JSON metabolite keys and values from GSM biomass rxn]],":"),",",""))</f>
        <v>-1.2364999999999999E-2</v>
      </c>
      <c r="G57" s="21" cm="1">
        <f t="array" ref="G57">_xlfn.LET(_xlpm.id,mets2415[[#This Row],[name w/o location]],IF(IsElementOfSet_DIY(_xlpm.id,{"atp","adp","h","pi","h2o"}),SIGN(mets2415[[#This Row],[raw (GSM) coefficient]])*(ABS(mets2415[[#This Row],[raw (GSM) coefficient]])-$J$2),mets2415[[#This Row],[raw (GSM) coefficient]]))</f>
        <v>-1.2364999999999999E-2</v>
      </c>
      <c r="H57" s="21">
        <f>mets2415[[#This Row],[coeff. w/o GAM]]</f>
        <v>-1.2364999999999999E-2</v>
      </c>
      <c r="I57" s="161">
        <f t="shared" si="0"/>
        <v>-1.2469098147484682E-2</v>
      </c>
      <c r="J57" s="21" cm="1">
        <f t="array" ref="J57">_xlfn.LET(_xlpm.id,mets2415[[#This Row],[name w/o location]],_xlpm.oldcoeff,mets2415[[#This Row],[normalized coeffs]],_xlpm.gam,$J$2-$G$2,_xlfn.IFS(IFERROR(MATCH(_xlpm.id,{"atp","h2o"},0),0)&gt;0,_xlpm.oldcoeff-_xlpm.gam,IFERROR(MATCH(_xlpm.id,{"adp","h","pi"},0),0)&gt;0,_xlpm.oldcoeff+_xlpm.gam,TRUE,_xlpm.oldcoeff))</f>
        <v>-1.2469098147484682E-2</v>
      </c>
      <c r="K57" t="str" cm="1">
        <f t="array" ref="K57">"BIOSYN-"&amp;_xlfn.IFS(IFERROR(MATCH(mets2415[[#This Row],[category]],{0,"0",""},0),0)&gt;0,mets2415[[#This Row],[name]],TRUE,mets2415[[#This Row],[category]]&amp;"-"&amp;mets2415[[#This Row],[name]])</f>
        <v>BIOSYN-LIPID-pc_c</v>
      </c>
      <c r="L57" s="149" t="str" cm="1">
        <f t="array" ref="L57">IF(IsElementOfSet_DIY(mets2415[[#This Row],[category]],{"ignore","PROT"}),"",_xlfn.LET(_xlpm.mw,mets2415[[#This Row],[MW for biomass normalization (g/mol)]],"MET-"&amp;mets2415[[#This Row],[name]]&amp;" --&gt; "&amp;IF((mets2415[[#This Row],[category]]="DNA")+(mets2415[[#This Row],[category]]="RNA"),"MET-ppi_c + ","")&amp;ROUND(ABS(_xlpm.mw/1000),6)&amp;" BIO-"&amp;mets2415[[#This Row],[name]]))</f>
        <v>MET-pc_c --&gt; 0.786166 BIO-pc_c</v>
      </c>
      <c r="M57" s="149" cm="1">
        <f t="array" ref="M5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-7.9852872452944174E-3</v>
      </c>
      <c r="N57" s="149"/>
      <c r="O57" s="149"/>
      <c r="P57" s="149"/>
      <c r="Q57" s="149"/>
      <c r="R57" s="149"/>
      <c r="S57" s="149"/>
      <c r="T57" s="149"/>
      <c r="U57" s="149"/>
      <c r="V57" s="149"/>
      <c r="AB57" t="str">
        <v>BIOSYN-LIPID-tag_c</v>
      </c>
      <c r="AC57" t="str">
        <v>MET-tag_c --&gt; 0.885513 BIO-tag_c</v>
      </c>
    </row>
    <row r="58" spans="1:29" ht="16" x14ac:dyDescent="0.2">
      <c r="A58" s="144" t="s">
        <v>1089</v>
      </c>
      <c r="B58" t="str">
        <f>SUBSTITUTE(_xlfn.TEXTBEFORE(mets2415[[#This Row],[pasted JSON metabolite keys and values from GSM biomass rxn]],":"),CHAR(34),"")</f>
        <v>pe_c</v>
      </c>
      <c r="C58" t="str">
        <f>_xlfn.TEXTBEFORE(mets2415[[#This Row],[name]],"_",-1)</f>
        <v>pe</v>
      </c>
      <c r="D58" t="str">
        <f>_xlfn.XLOOKUP(mets2415[[#This Row],[name w/o location]],metaboliteInfo[name w/o location],metaboliteInfo[suggested category],"")</f>
        <v>LIPID</v>
      </c>
      <c r="E58" s="21">
        <f>_xlfn.XLOOKUP(mets2415[[#This Row],[name w/o location]],metaboliteInfo[name w/o location],metaboliteInfo[MW for biomass normalization (g/mol)],0)</f>
        <v>744.08599442176001</v>
      </c>
      <c r="F58" s="21">
        <f>_xlfn.NUMBERVALUE(SUBSTITUTE(_xlfn.TEXTAFTER(mets2415[[#This Row],[pasted JSON metabolite keys and values from GSM biomass rxn]],":"),",",""))</f>
        <v>-2.9870000000000001E-3</v>
      </c>
      <c r="G58" s="21" cm="1">
        <f t="array" ref="G58">_xlfn.LET(_xlpm.id,mets2415[[#This Row],[name w/o location]],IF(IsElementOfSet_DIY(_xlpm.id,{"atp","adp","h","pi","h2o"}),SIGN(mets2415[[#This Row],[raw (GSM) coefficient]])*(ABS(mets2415[[#This Row],[raw (GSM) coefficient]])-$J$2),mets2415[[#This Row],[raw (GSM) coefficient]]))</f>
        <v>-2.9870000000000001E-3</v>
      </c>
      <c r="H58" s="21">
        <f>mets2415[[#This Row],[coeff. w/o GAM]]</f>
        <v>-2.9870000000000001E-3</v>
      </c>
      <c r="I58" s="161">
        <f t="shared" si="0"/>
        <v>-3.012146879622867E-3</v>
      </c>
      <c r="J58" s="21" cm="1">
        <f t="array" ref="J58">_xlfn.LET(_xlpm.id,mets2415[[#This Row],[name w/o location]],_xlpm.oldcoeff,mets2415[[#This Row],[normalized coeffs]],_xlpm.gam,$J$2-$G$2,_xlfn.IFS(IFERROR(MATCH(_xlpm.id,{"atp","h2o"},0),0)&gt;0,_xlpm.oldcoeff-_xlpm.gam,IFERROR(MATCH(_xlpm.id,{"adp","h","pi"},0),0)&gt;0,_xlpm.oldcoeff+_xlpm.gam,TRUE,_xlpm.oldcoeff))</f>
        <v>-3.012146879622867E-3</v>
      </c>
      <c r="K58" t="str" cm="1">
        <f t="array" ref="K58">"BIOSYN-"&amp;_xlfn.IFS(IFERROR(MATCH(mets2415[[#This Row],[category]],{0,"0",""},0),0)&gt;0,mets2415[[#This Row],[name]],TRUE,mets2415[[#This Row],[category]]&amp;"-"&amp;mets2415[[#This Row],[name]])</f>
        <v>BIOSYN-LIPID-pe_c</v>
      </c>
      <c r="L58" s="149" t="str" cm="1">
        <f t="array" ref="L58">IF(IsElementOfSet_DIY(mets2415[[#This Row],[category]],{"ignore","PROT"}),"",_xlfn.LET(_xlpm.mw,mets2415[[#This Row],[MW for biomass normalization (g/mol)]],"MET-"&amp;mets2415[[#This Row],[name]]&amp;" --&gt; "&amp;IF((mets2415[[#This Row],[category]]="DNA")+(mets2415[[#This Row],[category]]="RNA"),"MET-ppi_c + ","")&amp;ROUND(ABS(_xlpm.mw/1000),6)&amp;" BIO-"&amp;mets2415[[#This Row],[name]]))</f>
        <v>MET-pe_c --&gt; 0.744086 BIO-pe_c</v>
      </c>
      <c r="M58" s="149" cm="1">
        <f t="array" ref="M5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-1.9289974121871755E-3</v>
      </c>
      <c r="N58" s="149"/>
      <c r="O58" s="149"/>
      <c r="P58" s="149"/>
      <c r="Q58" s="149"/>
      <c r="R58" s="149"/>
      <c r="S58" s="149"/>
      <c r="T58" s="149"/>
      <c r="U58" s="149"/>
      <c r="V58" s="149"/>
      <c r="AB58" t="str">
        <v>BIOSYN-LIPID-ttcosa_c</v>
      </c>
      <c r="AC58" t="str">
        <v>MET-ttcosa_c --&gt; 0.367628 BIO-ttcosa_c</v>
      </c>
    </row>
    <row r="59" spans="1:29" ht="16" x14ac:dyDescent="0.2">
      <c r="A59" s="144" t="s">
        <v>1090</v>
      </c>
      <c r="B59" t="str">
        <f>SUBSTITUTE(_xlfn.TEXTBEFORE(mets2415[[#This Row],[pasted JSON metabolite keys and values from GSM biomass rxn]],":"),CHAR(34),"")</f>
        <v>phetrna_c</v>
      </c>
      <c r="C59" t="str">
        <f>_xlfn.TEXTBEFORE(mets2415[[#This Row],[name]],"_",-1)</f>
        <v>phetrna</v>
      </c>
      <c r="D59" t="str">
        <f>_xlfn.XLOOKUP(mets2415[[#This Row],[name w/o location]],metaboliteInfo[name w/o location],metaboliteInfo[suggested category],"")</f>
        <v>PROT</v>
      </c>
      <c r="E59" s="21">
        <f>_xlfn.XLOOKUP(mets2415[[#This Row],[name w/o location]],metaboliteInfo[name w/o location],metaboliteInfo[MW for biomass normalization (g/mol)],0)</f>
        <v>148.18180000000001</v>
      </c>
      <c r="F59" s="21">
        <f>_xlfn.NUMBERVALUE(SUBSTITUTE(_xlfn.TEXTAFTER(mets2415[[#This Row],[pasted JSON metabolite keys and values from GSM biomass rxn]],":"),",",""))</f>
        <v>-0.10539</v>
      </c>
      <c r="G59" s="21" cm="1">
        <f t="array" ref="G59">_xlfn.LET(_xlpm.id,mets2415[[#This Row],[name w/o location]],IF(IsElementOfSet_DIY(_xlpm.id,{"atp","adp","h","pi","h2o"}),SIGN(mets2415[[#This Row],[raw (GSM) coefficient]])*(ABS(mets2415[[#This Row],[raw (GSM) coefficient]])-$J$2),mets2415[[#This Row],[raw (GSM) coefficient]]))</f>
        <v>-0.10539</v>
      </c>
      <c r="H59" s="21">
        <f>mets2415[[#This Row],[coeff. w/o GAM]]</f>
        <v>-0.10539</v>
      </c>
      <c r="I59" s="161">
        <f t="shared" si="0"/>
        <v>-0.10627725465130697</v>
      </c>
      <c r="J59" s="21" cm="1">
        <f t="array" ref="J59">_xlfn.LET(_xlpm.id,mets2415[[#This Row],[name w/o location]],_xlpm.oldcoeff,mets2415[[#This Row],[normalized coeffs]],_xlpm.gam,$J$2-$G$2,_xlfn.IFS(IFERROR(MATCH(_xlpm.id,{"atp","h2o"},0),0)&gt;0,_xlpm.oldcoeff-_xlpm.gam,IFERROR(MATCH(_xlpm.id,{"adp","h","pi"},0),0)&gt;0,_xlpm.oldcoeff+_xlpm.gam,TRUE,_xlpm.oldcoeff))</f>
        <v>-0.10627725465130697</v>
      </c>
      <c r="K59" t="str" cm="1">
        <f t="array" ref="K59">"BIOSYN-"&amp;_xlfn.IFS(IFERROR(MATCH(mets2415[[#This Row],[category]],{0,"0",""},0),0)&gt;0,mets2415[[#This Row],[name]],TRUE,mets2415[[#This Row],[category]]&amp;"-"&amp;mets2415[[#This Row],[name]])</f>
        <v>BIOSYN-PROT-phetrna_c</v>
      </c>
      <c r="L59" s="149" t="str" cm="1">
        <f t="array" ref="L59">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59" s="149" cm="1">
        <f t="array" ref="M5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-4.6770512470815685E-2</v>
      </c>
      <c r="N59" s="149"/>
      <c r="O59" s="149"/>
      <c r="P59" s="149"/>
      <c r="Q59" s="149"/>
      <c r="R59" s="149"/>
      <c r="S59" s="149"/>
      <c r="T59" s="149"/>
      <c r="U59" s="149"/>
      <c r="V59" s="149"/>
      <c r="AB59" t="str">
        <v>BIOSYN-METAL-ca2_c</v>
      </c>
      <c r="AC59" t="str">
        <v>MET-ca2_c --&gt; 0.040078 BIO-ca2_c</v>
      </c>
    </row>
    <row r="60" spans="1:29" ht="16" x14ac:dyDescent="0.2">
      <c r="A60" s="144" t="s">
        <v>1091</v>
      </c>
      <c r="B60" t="str">
        <f>SUBSTITUTE(_xlfn.TEXTBEFORE(mets2415[[#This Row],[pasted JSON metabolite keys and values from GSM biomass rxn]],":"),CHAR(34),"")</f>
        <v>pi_c</v>
      </c>
      <c r="C60" t="str">
        <f>_xlfn.TEXTBEFORE(mets2415[[#This Row],[name]],"_",-1)</f>
        <v>pi</v>
      </c>
      <c r="D60" t="str">
        <f>_xlfn.XLOOKUP(mets2415[[#This Row],[name w/o location]],metaboliteInfo[name w/o location],metaboliteInfo[suggested category],"")</f>
        <v>PI</v>
      </c>
      <c r="E60" s="21">
        <f>_xlfn.XLOOKUP(mets2415[[#This Row],[name w/o location]],metaboliteInfo[name w/o location],metaboliteInfo[MW for biomass normalization (g/mol)],0)</f>
        <v>95.979301000000007</v>
      </c>
      <c r="F60" s="21">
        <f>_xlfn.NUMBERVALUE(SUBSTITUTE(_xlfn.TEXTAFTER(mets2415[[#This Row],[pasted JSON metabolite keys and values from GSM biomass rxn]],":"),",",""))</f>
        <v>189.34907899999999</v>
      </c>
      <c r="G60" s="21" cm="1">
        <f t="array" ref="G60">_xlfn.LET(_xlpm.id,mets2415[[#This Row],[name w/o location]],IF(IsElementOfSet_DIY(_xlpm.id,{"atp","adp","h","pi","h2o"}),SIGN(mets2415[[#This Row],[raw (GSM) coefficient]])*(ABS(mets2415[[#This Row],[raw (GSM) coefficient]])-$J$2),mets2415[[#This Row],[raw (GSM) coefficient]]))</f>
        <v>-0.10565500000001293</v>
      </c>
      <c r="H60" s="21">
        <f>mets2415[[#This Row],[coeff. w/o GAM]]</f>
        <v>-0.10565500000001293</v>
      </c>
      <c r="I60" s="161">
        <f t="shared" si="0"/>
        <v>-0.10654448562657949</v>
      </c>
      <c r="J60" s="21" cm="1">
        <f t="array" ref="J60">_xlfn.LET(_xlpm.id,mets2415[[#This Row],[name w/o location]],_xlpm.oldcoeff,mets2415[[#This Row],[normalized coeffs]],_xlpm.gam,$J$2-$G$2,_xlfn.IFS(IFERROR(MATCH(_xlpm.id,{"atp","h2o"},0),0)&gt;0,_xlpm.oldcoeff-_xlpm.gam,IFERROR(MATCH(_xlpm.id,{"adp","h","pi"},0),0)&gt;0,_xlpm.oldcoeff+_xlpm.gam,TRUE,_xlpm.oldcoeff))</f>
        <v>186.7681895143734</v>
      </c>
      <c r="K60" t="str" cm="1">
        <f t="array" ref="K60">"BIOSYN-"&amp;_xlfn.IFS(IFERROR(MATCH(mets2415[[#This Row],[category]],{0,"0",""},0),0)&gt;0,mets2415[[#This Row],[name]],TRUE,mets2415[[#This Row],[category]]&amp;"-"&amp;mets2415[[#This Row],[name]])</f>
        <v>BIOSYN-PI-pi_c</v>
      </c>
      <c r="L60" s="149" t="str" cm="1">
        <f t="array" ref="L60">IF(IsElementOfSet_DIY(mets2415[[#This Row],[category]],{"ignore","PROT"}),"",_xlfn.LET(_xlpm.mw,mets2415[[#This Row],[MW for biomass normalization (g/mol)]],"MET-"&amp;mets2415[[#This Row],[name]]&amp;" --&gt; "&amp;IF((mets2415[[#This Row],[category]]="DNA")+(mets2415[[#This Row],[category]]="RNA"),"MET-ppi_c + ","")&amp;ROUND(ABS(_xlpm.mw/1000),6)&amp;" BIO-"&amp;mets2415[[#This Row],[name]]))</f>
        <v>MET-pi_c --&gt; 0.095979 BIO-pi_c</v>
      </c>
      <c r="M60" s="149" cm="1">
        <f t="array" ref="M6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189.34818951437342</v>
      </c>
      <c r="N60" s="149"/>
      <c r="O60" s="149"/>
      <c r="P60" s="149"/>
      <c r="Q60" s="149"/>
      <c r="R60" s="149"/>
      <c r="S60" s="149"/>
      <c r="T60" s="149"/>
      <c r="U60" s="149"/>
      <c r="V60" s="149"/>
      <c r="AB60" t="str">
        <v>BIOSYN-METAL-cu2_c</v>
      </c>
      <c r="AC60" t="str">
        <v>MET-cu2_c --&gt; 0.063546 BIO-cu2_c</v>
      </c>
    </row>
    <row r="61" spans="1:29" ht="16" x14ac:dyDescent="0.2">
      <c r="A61" s="144" t="s">
        <v>1092</v>
      </c>
      <c r="B61" t="str">
        <f>SUBSTITUTE(_xlfn.TEXTBEFORE(mets2415[[#This Row],[pasted JSON metabolite keys and values from GSM biomass rxn]],":"),CHAR(34),"")</f>
        <v>ppi_c</v>
      </c>
      <c r="C61" t="str">
        <f>_xlfn.TEXTBEFORE(mets2415[[#This Row],[name]],"_",-1)</f>
        <v>ppi</v>
      </c>
      <c r="D61">
        <f>_xlfn.XLOOKUP(mets2415[[#This Row],[name w/o location]],metaboliteInfo[name w/o location],metaboliteInfo[suggested category],"")</f>
        <v>0</v>
      </c>
      <c r="E61" s="21">
        <f>_xlfn.XLOOKUP(mets2415[[#This Row],[name w/o location]],metaboliteInfo[name w/o location],metaboliteInfo[MW for biomass normalization (g/mol)],0)</f>
        <v>174.95126200000001</v>
      </c>
      <c r="F61" s="21">
        <f>_xlfn.NUMBERVALUE(SUBSTITUTE(_xlfn.TEXTAFTER(mets2415[[#This Row],[pasted JSON metabolite keys and values from GSM biomass rxn]],":"),",",""))</f>
        <v>0.25509700000000002</v>
      </c>
      <c r="G61" s="21" cm="1">
        <f t="array" ref="G61">_xlfn.LET(_xlpm.id,mets2415[[#This Row],[name w/o location]],IF(IsElementOfSet_DIY(_xlpm.id,{"atp","adp","h","pi","h2o"}),SIGN(mets2415[[#This Row],[raw (GSM) coefficient]])*(ABS(mets2415[[#This Row],[raw (GSM) coefficient]])-$J$2),mets2415[[#This Row],[raw (GSM) coefficient]]))</f>
        <v>0.25509700000000002</v>
      </c>
      <c r="H61" s="21">
        <f>mets2415[[#This Row],[coeff. w/o GAM]]</f>
        <v>0.25509700000000002</v>
      </c>
      <c r="I61" s="161">
        <f t="shared" si="0"/>
        <v>0.25724460413496969</v>
      </c>
      <c r="J61" s="21" cm="1">
        <f t="array" ref="J61">_xlfn.LET(_xlpm.id,mets2415[[#This Row],[name w/o location]],_xlpm.oldcoeff,mets2415[[#This Row],[normalized coeffs]],_xlpm.gam,$J$2-$G$2,_xlfn.IFS(IFERROR(MATCH(_xlpm.id,{"atp","h2o"},0),0)&gt;0,_xlpm.oldcoeff-_xlpm.gam,IFERROR(MATCH(_xlpm.id,{"adp","h","pi"},0),0)&gt;0,_xlpm.oldcoeff+_xlpm.gam,TRUE,_xlpm.oldcoeff))</f>
        <v>0.25724460413496969</v>
      </c>
      <c r="K61" t="str" cm="1">
        <f t="array" ref="K61">"BIOSYN-"&amp;_xlfn.IFS(IFERROR(MATCH(mets2415[[#This Row],[category]],{0,"0",""},0),0)&gt;0,mets2415[[#This Row],[name]],TRUE,mets2415[[#This Row],[category]]&amp;"-"&amp;mets2415[[#This Row],[name]])</f>
        <v>BIOSYN-ppi_c</v>
      </c>
      <c r="L61" s="149" t="str" cm="1">
        <f t="array" ref="L61">IF(IsElementOfSet_DIY(mets2415[[#This Row],[category]],{"ignore","PROT"}),"",_xlfn.LET(_xlpm.mw,mets2415[[#This Row],[MW for biomass normalization (g/mol)]],"MET-"&amp;mets2415[[#This Row],[name]]&amp;" --&gt; "&amp;IF((mets2415[[#This Row],[category]]="DNA")+(mets2415[[#This Row],[category]]="RNA"),"MET-ppi_c + ","")&amp;ROUND(ABS(_xlpm.mw/1000),6)&amp;" BIO-"&amp;mets2415[[#This Row],[name]]))</f>
        <v>MET-ppi_c --&gt; 0.174951 BIO-ppi_c</v>
      </c>
      <c r="M61" s="149" cm="1">
        <f t="array" ref="M6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0.15700934967285526</v>
      </c>
      <c r="N61" s="149"/>
      <c r="O61" s="149"/>
      <c r="P61" s="149"/>
      <c r="Q61" s="149"/>
      <c r="R61" s="149"/>
      <c r="S61" s="149"/>
      <c r="T61" s="149"/>
      <c r="U61" s="149"/>
      <c r="V61" s="149"/>
      <c r="AB61" t="str">
        <v>BIOSYN-METAL-fe2_c</v>
      </c>
      <c r="AC61" t="str">
        <v>MET-fe2_c --&gt; 0.055845 BIO-fe2_c</v>
      </c>
    </row>
    <row r="62" spans="1:29" ht="16" x14ac:dyDescent="0.2">
      <c r="A62" s="144" t="s">
        <v>1093</v>
      </c>
      <c r="B62" t="str">
        <f>SUBSTITUTE(_xlfn.TEXTBEFORE(mets2415[[#This Row],[pasted JSON metabolite keys and values from GSM biomass rxn]],":"),CHAR(34),"")</f>
        <v>protrna_c</v>
      </c>
      <c r="C62" t="str">
        <f>_xlfn.TEXTBEFORE(mets2415[[#This Row],[name]],"_",-1)</f>
        <v>protrna</v>
      </c>
      <c r="D62" t="str">
        <f>_xlfn.XLOOKUP(mets2415[[#This Row],[name w/o location]],metaboliteInfo[name w/o location],metaboliteInfo[suggested category],"")</f>
        <v>PROT</v>
      </c>
      <c r="E62" s="21">
        <f>_xlfn.XLOOKUP(mets2415[[#This Row],[name w/o location]],metaboliteInfo[name w/o location],metaboliteInfo[MW for biomass normalization (g/mol)],0)</f>
        <v>97.115179999999995</v>
      </c>
      <c r="F62" s="21">
        <f>_xlfn.NUMBERVALUE(SUBSTITUTE(_xlfn.TEXTAFTER(mets2415[[#This Row],[pasted JSON metabolite keys and values from GSM biomass rxn]],":"),",",""))</f>
        <v>-0.118283</v>
      </c>
      <c r="G62" s="21" cm="1">
        <f t="array" ref="G62">_xlfn.LET(_xlpm.id,mets2415[[#This Row],[name w/o location]],IF(IsElementOfSet_DIY(_xlpm.id,{"atp","adp","h","pi","h2o"}),SIGN(mets2415[[#This Row],[raw (GSM) coefficient]])*(ABS(mets2415[[#This Row],[raw (GSM) coefficient]])-$J$2),mets2415[[#This Row],[raw (GSM) coefficient]]))</f>
        <v>-0.118283</v>
      </c>
      <c r="H62" s="21">
        <f>mets2415[[#This Row],[coeff. w/o GAM]]</f>
        <v>-0.118283</v>
      </c>
      <c r="I62" s="161">
        <f t="shared" si="0"/>
        <v>-0.11927879791176149</v>
      </c>
      <c r="J62" s="21" cm="1">
        <f t="array" ref="J62">_xlfn.LET(_xlpm.id,mets2415[[#This Row],[name w/o location]],_xlpm.oldcoeff,mets2415[[#This Row],[normalized coeffs]],_xlpm.gam,$J$2-$G$2,_xlfn.IFS(IFERROR(MATCH(_xlpm.id,{"atp","h2o"},0),0)&gt;0,_xlpm.oldcoeff-_xlpm.gam,IFERROR(MATCH(_xlpm.id,{"adp","h","pi"},0),0)&gt;0,_xlpm.oldcoeff+_xlpm.gam,TRUE,_xlpm.oldcoeff))</f>
        <v>-0.11927879791176149</v>
      </c>
      <c r="K62" t="str" cm="1">
        <f t="array" ref="K62">"BIOSYN-"&amp;_xlfn.IFS(IFERROR(MATCH(mets2415[[#This Row],[category]],{0,"0",""},0),0)&gt;0,mets2415[[#This Row],[name]],TRUE,mets2415[[#This Row],[category]]&amp;"-"&amp;mets2415[[#This Row],[name]])</f>
        <v>BIOSYN-PROT-protrna_c</v>
      </c>
      <c r="L62" s="149" t="str" cm="1">
        <f t="array" ref="L62">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62" s="149" cm="1">
        <f t="array" ref="M6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-5.2492233860759963E-2</v>
      </c>
      <c r="N62" s="149"/>
      <c r="O62" s="149"/>
      <c r="P62" s="149"/>
      <c r="Q62" s="149"/>
      <c r="R62" s="149"/>
      <c r="S62" s="149"/>
      <c r="T62" s="149"/>
      <c r="U62" s="149"/>
      <c r="V62" s="149"/>
      <c r="AB62" t="str">
        <v>BIOSYN-METAL-k_c</v>
      </c>
      <c r="AC62" t="str">
        <v>MET-k_c --&gt; 0.039098 BIO-k_c</v>
      </c>
    </row>
    <row r="63" spans="1:29" ht="16" x14ac:dyDescent="0.2">
      <c r="A63" s="144" t="s">
        <v>1094</v>
      </c>
      <c r="B63" t="str">
        <f>SUBSTITUTE(_xlfn.TEXTBEFORE(mets2415[[#This Row],[pasted JSON metabolite keys and values from GSM biomass rxn]],":"),CHAR(34),"")</f>
        <v>ps_c</v>
      </c>
      <c r="C63" t="str">
        <f>_xlfn.TEXTBEFORE(mets2415[[#This Row],[name]],"_",-1)</f>
        <v>ps</v>
      </c>
      <c r="D63" t="str">
        <f>_xlfn.XLOOKUP(mets2415[[#This Row],[name w/o location]],metaboliteInfo[name w/o location],metaboliteInfo[suggested category],"")</f>
        <v>LIPID</v>
      </c>
      <c r="E63" s="21">
        <f>_xlfn.XLOOKUP(mets2415[[#This Row],[name w/o location]],metaboliteInfo[name w/o location],metaboliteInfo[MW for biomass normalization (g/mol)],0)</f>
        <v>786.07881442175994</v>
      </c>
      <c r="F63" s="21">
        <f>_xlfn.NUMBERVALUE(SUBSTITUTE(_xlfn.TEXTAFTER(mets2415[[#This Row],[pasted JSON metabolite keys and values from GSM biomass rxn]],":"),",",""))</f>
        <v>-1.601E-3</v>
      </c>
      <c r="G63" s="21" cm="1">
        <f t="array" ref="G63">_xlfn.LET(_xlpm.id,mets2415[[#This Row],[name w/o location]],IF(IsElementOfSet_DIY(_xlpm.id,{"atp","adp","h","pi","h2o"}),SIGN(mets2415[[#This Row],[raw (GSM) coefficient]])*(ABS(mets2415[[#This Row],[raw (GSM) coefficient]])-$J$2),mets2415[[#This Row],[raw (GSM) coefficient]]))</f>
        <v>-1.601E-3</v>
      </c>
      <c r="H63" s="21">
        <f>mets2415[[#This Row],[coeff. w/o GAM]]</f>
        <v>-1.601E-3</v>
      </c>
      <c r="I63" s="161">
        <f t="shared" si="0"/>
        <v>-1.6144784580770706E-3</v>
      </c>
      <c r="J63" s="21" cm="1">
        <f t="array" ref="J63">_xlfn.LET(_xlpm.id,mets2415[[#This Row],[name w/o location]],_xlpm.oldcoeff,mets2415[[#This Row],[normalized coeffs]],_xlpm.gam,$J$2-$G$2,_xlfn.IFS(IFERROR(MATCH(_xlpm.id,{"atp","h2o"},0),0)&gt;0,_xlpm.oldcoeff-_xlpm.gam,IFERROR(MATCH(_xlpm.id,{"adp","h","pi"},0),0)&gt;0,_xlpm.oldcoeff+_xlpm.gam,TRUE,_xlpm.oldcoeff))</f>
        <v>-1.6144784580770706E-3</v>
      </c>
      <c r="K63" t="str" cm="1">
        <f t="array" ref="K63">"BIOSYN-"&amp;_xlfn.IFS(IFERROR(MATCH(mets2415[[#This Row],[category]],{0,"0",""},0),0)&gt;0,mets2415[[#This Row],[name]],TRUE,mets2415[[#This Row],[category]]&amp;"-"&amp;mets2415[[#This Row],[name]])</f>
        <v>BIOSYN-LIPID-ps_c</v>
      </c>
      <c r="L63" s="149" t="str" cm="1">
        <f t="array" ref="L63">IF(IsElementOfSet_DIY(mets2415[[#This Row],[category]],{"ignore","PROT"}),"",_xlfn.LET(_xlpm.mw,mets2415[[#This Row],[MW for biomass normalization (g/mol)]],"MET-"&amp;mets2415[[#This Row],[name]]&amp;" --&gt; "&amp;IF((mets2415[[#This Row],[category]]="DNA")+(mets2415[[#This Row],[category]]="RNA"),"MET-ppi_c + ","")&amp;ROUND(ABS(_xlpm.mw/1000),6)&amp;" BIO-"&amp;mets2415[[#This Row],[name]]))</f>
        <v>MET-ps_c --&gt; 0.786079 BIO-ps_c</v>
      </c>
      <c r="M63" s="149" cm="1">
        <f t="array" ref="M6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-1.0339219474093297E-3</v>
      </c>
      <c r="N63" s="149"/>
      <c r="O63" s="149"/>
      <c r="P63" s="149"/>
      <c r="Q63" s="149"/>
      <c r="R63" s="149"/>
      <c r="S63" s="149"/>
      <c r="T63" s="149"/>
      <c r="U63" s="149"/>
      <c r="V63" s="149"/>
      <c r="AB63" t="str">
        <v>BIOSYN-METAL-mg2_c</v>
      </c>
      <c r="AC63" t="str">
        <v>MET-mg2_c --&gt; 0.024305 BIO-mg2_c</v>
      </c>
    </row>
    <row r="64" spans="1:29" ht="16" x14ac:dyDescent="0.2">
      <c r="A64" s="144" t="s">
        <v>1005</v>
      </c>
      <c r="B64" t="str">
        <f>SUBSTITUTE(_xlfn.TEXTBEFORE(mets2415[[#This Row],[pasted JSON metabolite keys and values from GSM biomass rxn]],":"),CHAR(34),"")</f>
        <v>ribflv_c</v>
      </c>
      <c r="C64" t="str">
        <f>_xlfn.TEXTBEFORE(mets2415[[#This Row],[name]],"_",-1)</f>
        <v>ribflv</v>
      </c>
      <c r="D64" t="str">
        <f>_xlfn.XLOOKUP(mets2415[[#This Row],[name w/o location]],metaboliteInfo[name w/o location],metaboliteInfo[suggested category],"")</f>
        <v>COFACTOR</v>
      </c>
      <c r="E64" s="21">
        <f>_xlfn.XLOOKUP(mets2415[[#This Row],[name w/o location]],metaboliteInfo[name w/o location],metaboliteInfo[MW for biomass normalization (g/mol)],0)</f>
        <v>375.35595999999998</v>
      </c>
      <c r="F64" s="21">
        <f>_xlfn.NUMBERVALUE(SUBSTITUTE(_xlfn.TEXTAFTER(mets2415[[#This Row],[pasted JSON metabolite keys and values from GSM biomass rxn]],":"),",",""))</f>
        <v>-1E-4</v>
      </c>
      <c r="G64" s="21" cm="1">
        <f t="array" ref="G64">_xlfn.LET(_xlpm.id,mets2415[[#This Row],[name w/o location]],IF(IsElementOfSet_DIY(_xlpm.id,{"atp","adp","h","pi","h2o"}),SIGN(mets2415[[#This Row],[raw (GSM) coefficient]])*(ABS(mets2415[[#This Row],[raw (GSM) coefficient]])-$J$2),mets2415[[#This Row],[raw (GSM) coefficient]]))</f>
        <v>-1E-4</v>
      </c>
      <c r="H64" s="21">
        <f>mets2415[[#This Row],[coeff. w/o GAM]]</f>
        <v>-1E-4</v>
      </c>
      <c r="I64" s="161">
        <f t="shared" si="0"/>
        <v>-1.0084187745640667E-4</v>
      </c>
      <c r="J64" s="21" cm="1">
        <f t="array" ref="J64">_xlfn.LET(_xlpm.id,mets2415[[#This Row],[name w/o location]],_xlpm.oldcoeff,mets2415[[#This Row],[normalized coeffs]],_xlpm.gam,$J$2-$G$2,_xlfn.IFS(IFERROR(MATCH(_xlpm.id,{"atp","h2o"},0),0)&gt;0,_xlpm.oldcoeff-_xlpm.gam,IFERROR(MATCH(_xlpm.id,{"adp","h","pi"},0),0)&gt;0,_xlpm.oldcoeff+_xlpm.gam,TRUE,_xlpm.oldcoeff))</f>
        <v>-1.0084187745640667E-4</v>
      </c>
      <c r="K64" t="str" cm="1">
        <f t="array" ref="K64">"BIOSYN-"&amp;_xlfn.IFS(IFERROR(MATCH(mets2415[[#This Row],[category]],{0,"0",""},0),0)&gt;0,mets2415[[#This Row],[name]],TRUE,mets2415[[#This Row],[category]]&amp;"-"&amp;mets2415[[#This Row],[name]])</f>
        <v>BIOSYN-COFACTOR-ribflv_c</v>
      </c>
      <c r="L64" s="149" t="str" cm="1">
        <f t="array" ref="L64">IF(IsElementOfSet_DIY(mets2415[[#This Row],[category]],{"ignore","PROT"}),"",_xlfn.LET(_xlpm.mw,mets2415[[#This Row],[MW for biomass normalization (g/mol)]],"MET-"&amp;mets2415[[#This Row],[name]]&amp;" --&gt; "&amp;IF((mets2415[[#This Row],[category]]="DNA")+(mets2415[[#This Row],[category]]="RNA"),"MET-ppi_c + ","")&amp;ROUND(ABS(_xlpm.mw/1000),6)&amp;" BIO-"&amp;mets2415[[#This Row],[name]]))</f>
        <v>MET-ribflv_c --&gt; 0.375356 BIO-ribflv_c</v>
      </c>
      <c r="M64" s="149" cm="1">
        <f t="array" ref="M6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64" s="149"/>
      <c r="O64" s="149"/>
      <c r="P64" s="149"/>
      <c r="Q64" s="149"/>
      <c r="R64" s="149"/>
      <c r="S64" s="149"/>
      <c r="T64" s="149"/>
      <c r="U64" s="149"/>
      <c r="V64" s="149"/>
      <c r="AB64" t="str">
        <v>BIOSYN-METAL-mn2_c</v>
      </c>
      <c r="AC64" t="str">
        <v>MET-mn2_c --&gt; 0.054938 BIO-mn2_c</v>
      </c>
    </row>
    <row r="65" spans="1:29" ht="16" x14ac:dyDescent="0.2">
      <c r="A65" s="144" t="s">
        <v>1095</v>
      </c>
      <c r="B65" t="str">
        <f>SUBSTITUTE(_xlfn.TEXTBEFORE(mets2415[[#This Row],[pasted JSON metabolite keys and values from GSM biomass rxn]],":"),CHAR(34),"")</f>
        <v>sertrna_c</v>
      </c>
      <c r="C65" t="str">
        <f>_xlfn.TEXTBEFORE(mets2415[[#This Row],[name]],"_",-1)</f>
        <v>sertrna</v>
      </c>
      <c r="D65" t="str">
        <f>_xlfn.XLOOKUP(mets2415[[#This Row],[name w/o location]],metaboliteInfo[name w/o location],metaboliteInfo[suggested category],"")</f>
        <v>PROT</v>
      </c>
      <c r="E65" s="21">
        <f>_xlfn.XLOOKUP(mets2415[[#This Row],[name w/o location]],metaboliteInfo[name w/o location],metaboliteInfo[MW for biomass normalization (g/mol)],0)</f>
        <v>88.085239999999999</v>
      </c>
      <c r="F65" s="21">
        <f>_xlfn.NUMBERVALUE(SUBSTITUTE(_xlfn.TEXTAFTER(mets2415[[#This Row],[pasted JSON metabolite keys and values from GSM biomass rxn]],":"),",",""))</f>
        <v>-0.149396</v>
      </c>
      <c r="G65" s="21" cm="1">
        <f t="array" ref="G65">_xlfn.LET(_xlpm.id,mets2415[[#This Row],[name w/o location]],IF(IsElementOfSet_DIY(_xlpm.id,{"atp","adp","h","pi","h2o"}),SIGN(mets2415[[#This Row],[raw (GSM) coefficient]])*(ABS(mets2415[[#This Row],[raw (GSM) coefficient]])-$J$2),mets2415[[#This Row],[raw (GSM) coefficient]]))</f>
        <v>-0.149396</v>
      </c>
      <c r="H65" s="21">
        <f>mets2415[[#This Row],[coeff. w/o GAM]]</f>
        <v>-0.149396</v>
      </c>
      <c r="I65" s="161">
        <f t="shared" si="0"/>
        <v>-0.1506537312447733</v>
      </c>
      <c r="J65" s="21" cm="1">
        <f t="array" ref="J65">_xlfn.LET(_xlpm.id,mets2415[[#This Row],[name w/o location]],_xlpm.oldcoeff,mets2415[[#This Row],[normalized coeffs]],_xlpm.gam,$J$2-$G$2,_xlfn.IFS(IFERROR(MATCH(_xlpm.id,{"atp","h2o"},0),0)&gt;0,_xlpm.oldcoeff-_xlpm.gam,IFERROR(MATCH(_xlpm.id,{"adp","h","pi"},0),0)&gt;0,_xlpm.oldcoeff+_xlpm.gam,TRUE,_xlpm.oldcoeff))</f>
        <v>-0.1506537312447733</v>
      </c>
      <c r="K65" t="str" cm="1">
        <f t="array" ref="K65">"BIOSYN-"&amp;_xlfn.IFS(IFERROR(MATCH(mets2415[[#This Row],[category]],{0,"0",""},0),0)&gt;0,mets2415[[#This Row],[name]],TRUE,mets2415[[#This Row],[category]]&amp;"-"&amp;mets2415[[#This Row],[name]])</f>
        <v>BIOSYN-PROT-sertrna_c</v>
      </c>
      <c r="L65" s="149" t="str" cm="1">
        <f t="array" ref="L65">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65" s="149" cm="1">
        <f t="array" ref="M6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-6.6299719907865845E-2</v>
      </c>
      <c r="N65" s="149"/>
      <c r="O65" s="149"/>
      <c r="P65" s="149"/>
      <c r="Q65" s="149"/>
      <c r="R65" s="149"/>
      <c r="S65" s="149"/>
      <c r="T65" s="149"/>
      <c r="U65" s="149"/>
      <c r="V65" s="149"/>
      <c r="AB65" t="str">
        <v>BIOSYN-METAL-zn2_c</v>
      </c>
      <c r="AC65" t="str">
        <v>MET-zn2_c --&gt; 0.06538 BIO-zn2_c</v>
      </c>
    </row>
    <row r="66" spans="1:29" ht="16" x14ac:dyDescent="0.2">
      <c r="A66" s="144" t="s">
        <v>1007</v>
      </c>
      <c r="B66" t="str">
        <f>SUBSTITUTE(_xlfn.TEXTBEFORE(mets2415[[#This Row],[pasted JSON metabolite keys and values from GSM biomass rxn]],":"),CHAR(34),"")</f>
        <v>so4_c</v>
      </c>
      <c r="C66" t="str">
        <f>_xlfn.TEXTBEFORE(mets2415[[#This Row],[name]],"_",-1)</f>
        <v>so4</v>
      </c>
      <c r="D66" t="str">
        <f>_xlfn.XLOOKUP(mets2415[[#This Row],[name w/o location]],metaboliteInfo[name w/o location],metaboliteInfo[suggested category],"")</f>
        <v>SO4</v>
      </c>
      <c r="E66" s="21">
        <f>_xlfn.XLOOKUP(mets2415[[#This Row],[name w/o location]],metaboliteInfo[name w/o location],metaboliteInfo[MW for biomass normalization (g/mol)],0)</f>
        <v>96.062600000000003</v>
      </c>
      <c r="F66" s="21">
        <f>_xlfn.NUMBERVALUE(SUBSTITUTE(_xlfn.TEXTAFTER(mets2415[[#This Row],[pasted JSON metabolite keys and values from GSM biomass rxn]],":"),",",""))</f>
        <v>-3.1223000000000001E-2</v>
      </c>
      <c r="G66" s="21" cm="1">
        <f t="array" ref="G66">_xlfn.LET(_xlpm.id,mets2415[[#This Row],[name w/o location]],IF(IsElementOfSet_DIY(_xlpm.id,{"atp","adp","h","pi","h2o"}),SIGN(mets2415[[#This Row],[raw (GSM) coefficient]])*(ABS(mets2415[[#This Row],[raw (GSM) coefficient]])-$J$2),mets2415[[#This Row],[raw (GSM) coefficient]]))</f>
        <v>-3.1223000000000001E-2</v>
      </c>
      <c r="H66" s="21">
        <f>mets2415[[#This Row],[coeff. w/o GAM]]</f>
        <v>-3.1223000000000001E-2</v>
      </c>
      <c r="I66" s="161">
        <f t="shared" si="0"/>
        <v>-3.1485859398213849E-2</v>
      </c>
      <c r="J66" s="21" cm="1">
        <f t="array" ref="J66">_xlfn.LET(_xlpm.id,mets2415[[#This Row],[name w/o location]],_xlpm.oldcoeff,mets2415[[#This Row],[normalized coeffs]],_xlpm.gam,$J$2-$G$2,_xlfn.IFS(IFERROR(MATCH(_xlpm.id,{"atp","h2o"},0),0)&gt;0,_xlpm.oldcoeff-_xlpm.gam,IFERROR(MATCH(_xlpm.id,{"adp","h","pi"},0),0)&gt;0,_xlpm.oldcoeff+_xlpm.gam,TRUE,_xlpm.oldcoeff))</f>
        <v>-3.1485859398213849E-2</v>
      </c>
      <c r="K66" t="str" cm="1">
        <f t="array" ref="K66">"BIOSYN-"&amp;_xlfn.IFS(IFERROR(MATCH(mets2415[[#This Row],[category]],{0,"0",""},0),0)&gt;0,mets2415[[#This Row],[name]],TRUE,mets2415[[#This Row],[category]]&amp;"-"&amp;mets2415[[#This Row],[name]])</f>
        <v>BIOSYN-SO4-so4_c</v>
      </c>
      <c r="L66" s="149" t="str" cm="1">
        <f t="array" ref="L66">IF(IsElementOfSet_DIY(mets2415[[#This Row],[category]],{"ignore","PROT"}),"",_xlfn.LET(_xlpm.mw,mets2415[[#This Row],[MW for biomass normalization (g/mol)]],"MET-"&amp;mets2415[[#This Row],[name]]&amp;" --&gt; "&amp;IF((mets2415[[#This Row],[category]]="DNA")+(mets2415[[#This Row],[category]]="RNA"),"MET-ppi_c + ","")&amp;ROUND(ABS(_xlpm.mw/1000),6)&amp;" BIO-"&amp;mets2415[[#This Row],[name]]))</f>
        <v>MET-so4_c --&gt; 0.096063 BIO-so4_c</v>
      </c>
      <c r="M66" s="149" cm="1">
        <f t="array" ref="M6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-3.1485859398213849E-2</v>
      </c>
      <c r="N66" s="149"/>
      <c r="O66" s="149"/>
      <c r="P66" s="149"/>
      <c r="Q66" s="149"/>
      <c r="R66" s="149"/>
      <c r="S66" s="149"/>
      <c r="T66" s="149"/>
      <c r="U66" s="149"/>
      <c r="V66" s="149"/>
      <c r="AB66" t="str">
        <v>BIOSYN-PI-pi_c</v>
      </c>
      <c r="AC66" t="str">
        <v>MET-pi_c --&gt; 0.095979 BIO-pi_c</v>
      </c>
    </row>
    <row r="67" spans="1:29" ht="16" x14ac:dyDescent="0.2">
      <c r="A67" s="144" t="s">
        <v>1008</v>
      </c>
      <c r="B67" t="str">
        <f>SUBSTITUTE(_xlfn.TEXTBEFORE(mets2415[[#This Row],[pasted JSON metabolite keys and values from GSM biomass rxn]],":"),CHAR(34),"")</f>
        <v>spmd_c</v>
      </c>
      <c r="C67" t="str">
        <f>_xlfn.TEXTBEFORE(mets2415[[#This Row],[name]],"_",-1)</f>
        <v>spmd</v>
      </c>
      <c r="D67" t="str">
        <f>_xlfn.XLOOKUP(mets2415[[#This Row],[name w/o location]],metaboliteInfo[name w/o location],metaboliteInfo[suggested category],"")</f>
        <v>COFACTOR</v>
      </c>
      <c r="E67" s="21">
        <f>_xlfn.XLOOKUP(mets2415[[#This Row],[name w/o location]],metaboliteInfo[name w/o location],metaboliteInfo[MW for biomass normalization (g/mol)],0)</f>
        <v>148.26967999999999</v>
      </c>
      <c r="F67" s="21">
        <f>_xlfn.NUMBERVALUE(SUBSTITUTE(_xlfn.TEXTAFTER(mets2415[[#This Row],[pasted JSON metabolite keys and values from GSM biomass rxn]],":"),",",""))</f>
        <v>-1E-4</v>
      </c>
      <c r="G67" s="21" cm="1">
        <f t="array" ref="G67">_xlfn.LET(_xlpm.id,mets2415[[#This Row],[name w/o location]],IF(IsElementOfSet_DIY(_xlpm.id,{"atp","adp","h","pi","h2o"}),SIGN(mets2415[[#This Row],[raw (GSM) coefficient]])*(ABS(mets2415[[#This Row],[raw (GSM) coefficient]])-$J$2),mets2415[[#This Row],[raw (GSM) coefficient]]))</f>
        <v>-1E-4</v>
      </c>
      <c r="H67" s="21">
        <f>mets2415[[#This Row],[coeff. w/o GAM]]</f>
        <v>-1E-4</v>
      </c>
      <c r="I67" s="161">
        <f t="shared" si="0"/>
        <v>-1.0084187745640667E-4</v>
      </c>
      <c r="J67" s="21" cm="1">
        <f t="array" ref="J67">_xlfn.LET(_xlpm.id,mets2415[[#This Row],[name w/o location]],_xlpm.oldcoeff,mets2415[[#This Row],[normalized coeffs]],_xlpm.gam,$J$2-$G$2,_xlfn.IFS(IFERROR(MATCH(_xlpm.id,{"atp","h2o"},0),0)&gt;0,_xlpm.oldcoeff-_xlpm.gam,IFERROR(MATCH(_xlpm.id,{"adp","h","pi"},0),0)&gt;0,_xlpm.oldcoeff+_xlpm.gam,TRUE,_xlpm.oldcoeff))</f>
        <v>-1.0084187745640667E-4</v>
      </c>
      <c r="K67" t="str" cm="1">
        <f t="array" ref="K67">"BIOSYN-"&amp;_xlfn.IFS(IFERROR(MATCH(mets2415[[#This Row],[category]],{0,"0",""},0),0)&gt;0,mets2415[[#This Row],[name]],TRUE,mets2415[[#This Row],[category]]&amp;"-"&amp;mets2415[[#This Row],[name]])</f>
        <v>BIOSYN-COFACTOR-spmd_c</v>
      </c>
      <c r="L67" s="149" t="str" cm="1">
        <f t="array" ref="L67">IF(IsElementOfSet_DIY(mets2415[[#This Row],[category]],{"ignore","PROT"}),"",_xlfn.LET(_xlpm.mw,mets2415[[#This Row],[MW for biomass normalization (g/mol)]],"MET-"&amp;mets2415[[#This Row],[name]]&amp;" --&gt; "&amp;IF((mets2415[[#This Row],[category]]="DNA")+(mets2415[[#This Row],[category]]="RNA"),"MET-ppi_c + ","")&amp;ROUND(ABS(_xlpm.mw/1000),6)&amp;" BIO-"&amp;mets2415[[#This Row],[name]]))</f>
        <v>MET-spmd_c --&gt; 0.14827 BIO-spmd_c</v>
      </c>
      <c r="M67" s="149" cm="1">
        <f t="array" ref="M6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67" s="149"/>
      <c r="O67" s="149"/>
      <c r="P67" s="149"/>
      <c r="Q67" s="149"/>
      <c r="R67" s="149"/>
      <c r="S67" s="149"/>
      <c r="T67" s="149"/>
      <c r="U67" s="149"/>
      <c r="V67" s="149"/>
      <c r="AB67" t="str">
        <v>BIOSYN-RNA-atp_c</v>
      </c>
      <c r="AC67" t="str">
        <v>MET-atp_c --&gt; MET-ppi_c + 0.328198 BIO-atp_c</v>
      </c>
    </row>
    <row r="68" spans="1:29" ht="16" x14ac:dyDescent="0.2">
      <c r="A68" s="144" t="s">
        <v>1096</v>
      </c>
      <c r="B68" t="str">
        <f>SUBSTITUTE(_xlfn.TEXTBEFORE(mets2415[[#This Row],[pasted JSON metabolite keys and values from GSM biomass rxn]],":"),CHAR(34),"")</f>
        <v>tag_c</v>
      </c>
      <c r="C68" t="str">
        <f>_xlfn.TEXTBEFORE(mets2415[[#This Row],[name]],"_",-1)</f>
        <v>tag</v>
      </c>
      <c r="D68" t="str">
        <f>_xlfn.XLOOKUP(mets2415[[#This Row],[name w/o location]],metaboliteInfo[name w/o location],metaboliteInfo[suggested category],"")</f>
        <v>LIPID</v>
      </c>
      <c r="E68" s="21">
        <f>_xlfn.XLOOKUP(mets2415[[#This Row],[name w/o location]],metaboliteInfo[name w/o location],metaboliteInfo[MW for biomass normalization (g/mol)],0)</f>
        <v>885.51292863263996</v>
      </c>
      <c r="F68" s="21">
        <f>_xlfn.NUMBERVALUE(SUBSTITUTE(_xlfn.TEXTAFTER(mets2415[[#This Row],[pasted JSON metabolite keys and values from GSM biomass rxn]],":"),",",""))</f>
        <v>-9.7910999999999998E-2</v>
      </c>
      <c r="G68" s="21" cm="1">
        <f t="array" ref="G68">_xlfn.LET(_xlpm.id,mets2415[[#This Row],[name w/o location]],IF(IsElementOfSet_DIY(_xlpm.id,{"atp","adp","h","pi","h2o"}),SIGN(mets2415[[#This Row],[raw (GSM) coefficient]])*(ABS(mets2415[[#This Row],[raw (GSM) coefficient]])-$J$2),mets2415[[#This Row],[raw (GSM) coefficient]]))</f>
        <v>-9.7910999999999998E-2</v>
      </c>
      <c r="H68" s="21">
        <f>mets2415[[#This Row],[coeff. w/o GAM]]</f>
        <v>-9.7910999999999998E-2</v>
      </c>
      <c r="I68" s="161">
        <f t="shared" si="0"/>
        <v>-9.8735290636342316E-2</v>
      </c>
      <c r="J68" s="21" cm="1">
        <f t="array" ref="J68">_xlfn.LET(_xlpm.id,mets2415[[#This Row],[name w/o location]],_xlpm.oldcoeff,mets2415[[#This Row],[normalized coeffs]],_xlpm.gam,$J$2-$G$2,_xlfn.IFS(IFERROR(MATCH(_xlpm.id,{"atp","h2o"},0),0)&gt;0,_xlpm.oldcoeff-_xlpm.gam,IFERROR(MATCH(_xlpm.id,{"adp","h","pi"},0),0)&gt;0,_xlpm.oldcoeff+_xlpm.gam,TRUE,_xlpm.oldcoeff))</f>
        <v>-9.8735290636342316E-2</v>
      </c>
      <c r="K68" t="str" cm="1">
        <f t="array" ref="K68">"BIOSYN-"&amp;_xlfn.IFS(IFERROR(MATCH(mets2415[[#This Row],[category]],{0,"0",""},0),0)&gt;0,mets2415[[#This Row],[name]],TRUE,mets2415[[#This Row],[category]]&amp;"-"&amp;mets2415[[#This Row],[name]])</f>
        <v>BIOSYN-LIPID-tag_c</v>
      </c>
      <c r="L68" s="149" t="str" cm="1">
        <f t="array" ref="L68">IF(IsElementOfSet_DIY(mets2415[[#This Row],[category]],{"ignore","PROT"}),"",_xlfn.LET(_xlpm.mw,mets2415[[#This Row],[MW for biomass normalization (g/mol)]],"MET-"&amp;mets2415[[#This Row],[name]]&amp;" --&gt; "&amp;IF((mets2415[[#This Row],[category]]="DNA")+(mets2415[[#This Row],[category]]="RNA"),"MET-ppi_c + ","")&amp;ROUND(ABS(_xlpm.mw/1000),6)&amp;" BIO-"&amp;mets2415[[#This Row],[name]]))</f>
        <v>MET-tag_c --&gt; 0.885513 BIO-tag_c</v>
      </c>
      <c r="M68" s="149" cm="1">
        <f t="array" ref="M6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-6.3230688190377804E-2</v>
      </c>
      <c r="N68" s="149"/>
      <c r="O68" s="149"/>
      <c r="P68" s="149"/>
      <c r="Q68" s="149"/>
      <c r="R68" s="149"/>
      <c r="S68" s="149"/>
      <c r="T68" s="149"/>
      <c r="U68" s="149"/>
      <c r="V68" s="149"/>
      <c r="AB68" t="str">
        <v>BIOSYN-RNA-ctp_c</v>
      </c>
      <c r="AC68" t="str">
        <v>MET-ctp_c --&gt; MET-ppi_c + 0.304173 BIO-ctp_c</v>
      </c>
    </row>
    <row r="69" spans="1:29" ht="16" x14ac:dyDescent="0.2">
      <c r="A69" s="144" t="s">
        <v>1010</v>
      </c>
      <c r="B69" t="str">
        <f>SUBSTITUTE(_xlfn.TEXTBEFORE(mets2415[[#This Row],[pasted JSON metabolite keys and values from GSM biomass rxn]],":"),CHAR(34),"")</f>
        <v>thf_c</v>
      </c>
      <c r="C69" t="str">
        <f>_xlfn.TEXTBEFORE(mets2415[[#This Row],[name]],"_",-1)</f>
        <v>thf</v>
      </c>
      <c r="D69" t="str">
        <f>_xlfn.XLOOKUP(mets2415[[#This Row],[name w/o location]],metaboliteInfo[name w/o location],metaboliteInfo[suggested category],"")</f>
        <v>COFACTOR</v>
      </c>
      <c r="E69" s="21">
        <f>_xlfn.XLOOKUP(mets2415[[#This Row],[name w/o location]],metaboliteInfo[name w/o location],metaboliteInfo[MW for biomass normalization (g/mol)],0)</f>
        <v>443.41334000000001</v>
      </c>
      <c r="F69" s="21">
        <f>_xlfn.NUMBERVALUE(SUBSTITUTE(_xlfn.TEXTAFTER(mets2415[[#This Row],[pasted JSON metabolite keys and values from GSM biomass rxn]],":"),",",""))</f>
        <v>-1E-4</v>
      </c>
      <c r="G69" s="21" cm="1">
        <f t="array" ref="G69">_xlfn.LET(_xlpm.id,mets2415[[#This Row],[name w/o location]],IF(IsElementOfSet_DIY(_xlpm.id,{"atp","adp","h","pi","h2o"}),SIGN(mets2415[[#This Row],[raw (GSM) coefficient]])*(ABS(mets2415[[#This Row],[raw (GSM) coefficient]])-$J$2),mets2415[[#This Row],[raw (GSM) coefficient]]))</f>
        <v>-1E-4</v>
      </c>
      <c r="H69" s="21">
        <f>mets2415[[#This Row],[coeff. w/o GAM]]</f>
        <v>-1E-4</v>
      </c>
      <c r="I69" s="161">
        <f t="shared" si="0"/>
        <v>-1.0084187745640667E-4</v>
      </c>
      <c r="J69" s="21" cm="1">
        <f t="array" ref="J69">_xlfn.LET(_xlpm.id,mets2415[[#This Row],[name w/o location]],_xlpm.oldcoeff,mets2415[[#This Row],[normalized coeffs]],_xlpm.gam,$J$2-$G$2,_xlfn.IFS(IFERROR(MATCH(_xlpm.id,{"atp","h2o"},0),0)&gt;0,_xlpm.oldcoeff-_xlpm.gam,IFERROR(MATCH(_xlpm.id,{"adp","h","pi"},0),0)&gt;0,_xlpm.oldcoeff+_xlpm.gam,TRUE,_xlpm.oldcoeff))</f>
        <v>-1.0084187745640667E-4</v>
      </c>
      <c r="K69" t="str" cm="1">
        <f t="array" ref="K69">"BIOSYN-"&amp;_xlfn.IFS(IFERROR(MATCH(mets2415[[#This Row],[category]],{0,"0",""},0),0)&gt;0,mets2415[[#This Row],[name]],TRUE,mets2415[[#This Row],[category]]&amp;"-"&amp;mets2415[[#This Row],[name]])</f>
        <v>BIOSYN-COFACTOR-thf_c</v>
      </c>
      <c r="L69" s="149" t="str" cm="1">
        <f t="array" ref="L69">IF(IsElementOfSet_DIY(mets2415[[#This Row],[category]],{"ignore","PROT"}),"",_xlfn.LET(_xlpm.mw,mets2415[[#This Row],[MW for biomass normalization (g/mol)]],"MET-"&amp;mets2415[[#This Row],[name]]&amp;" --&gt; "&amp;IF((mets2415[[#This Row],[category]]="DNA")+(mets2415[[#This Row],[category]]="RNA"),"MET-ppi_c + ","")&amp;ROUND(ABS(_xlpm.mw/1000),6)&amp;" BIO-"&amp;mets2415[[#This Row],[name]]))</f>
        <v>MET-thf_c --&gt; 0.443413 BIO-thf_c</v>
      </c>
      <c r="M69" s="149" cm="1">
        <f t="array" ref="M6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69" s="149"/>
      <c r="O69" s="149"/>
      <c r="P69" s="149"/>
      <c r="Q69" s="149"/>
      <c r="R69" s="149"/>
      <c r="S69" s="149"/>
      <c r="T69" s="149"/>
      <c r="U69" s="149"/>
      <c r="V69" s="149"/>
      <c r="AB69" t="str">
        <v>BIOSYN-RNA-gtp_c</v>
      </c>
      <c r="AC69" t="str">
        <v>MET-gtp_c --&gt; MET-ppi_c + 0.344197 BIO-gtp_c</v>
      </c>
    </row>
    <row r="70" spans="1:29" ht="16" x14ac:dyDescent="0.2">
      <c r="A70" s="144" t="s">
        <v>1011</v>
      </c>
      <c r="B70" t="str">
        <f>SUBSTITUTE(_xlfn.TEXTBEFORE(mets2415[[#This Row],[pasted JSON metabolite keys and values from GSM biomass rxn]],":"),CHAR(34),"")</f>
        <v>thmpp_c</v>
      </c>
      <c r="C70" t="str">
        <f>_xlfn.TEXTBEFORE(mets2415[[#This Row],[name]],"_",-1)</f>
        <v>thmpp</v>
      </c>
      <c r="D70" t="str">
        <f>_xlfn.XLOOKUP(mets2415[[#This Row],[name w/o location]],metaboliteInfo[name w/o location],metaboliteInfo[suggested category],"")</f>
        <v>COFACTOR</v>
      </c>
      <c r="E70" s="21">
        <f>_xlfn.XLOOKUP(mets2415[[#This Row],[name w/o location]],metaboliteInfo[name w/o location],metaboliteInfo[MW for biomass normalization (g/mol)],0)</f>
        <v>422.29056200000002</v>
      </c>
      <c r="F70" s="21">
        <f>_xlfn.NUMBERVALUE(SUBSTITUTE(_xlfn.TEXTAFTER(mets2415[[#This Row],[pasted JSON metabolite keys and values from GSM biomass rxn]],":"),",",""))</f>
        <v>-1E-4</v>
      </c>
      <c r="G70" s="21" cm="1">
        <f t="array" ref="G70">_xlfn.LET(_xlpm.id,mets2415[[#This Row],[name w/o location]],IF(IsElementOfSet_DIY(_xlpm.id,{"atp","adp","h","pi","h2o"}),SIGN(mets2415[[#This Row],[raw (GSM) coefficient]])*(ABS(mets2415[[#This Row],[raw (GSM) coefficient]])-$J$2),mets2415[[#This Row],[raw (GSM) coefficient]]))</f>
        <v>-1E-4</v>
      </c>
      <c r="H70" s="21">
        <f>mets2415[[#This Row],[coeff. w/o GAM]]</f>
        <v>-1E-4</v>
      </c>
      <c r="I70" s="161">
        <f t="shared" ref="I70:I97" si="2">H70/($H$3)</f>
        <v>-1.0084187745640667E-4</v>
      </c>
      <c r="J70" s="21" cm="1">
        <f t="array" ref="J70">_xlfn.LET(_xlpm.id,mets2415[[#This Row],[name w/o location]],_xlpm.oldcoeff,mets2415[[#This Row],[normalized coeffs]],_xlpm.gam,$J$2-$G$2,_xlfn.IFS(IFERROR(MATCH(_xlpm.id,{"atp","h2o"},0),0)&gt;0,_xlpm.oldcoeff-_xlpm.gam,IFERROR(MATCH(_xlpm.id,{"adp","h","pi"},0),0)&gt;0,_xlpm.oldcoeff+_xlpm.gam,TRUE,_xlpm.oldcoeff))</f>
        <v>-1.0084187745640667E-4</v>
      </c>
      <c r="K70" t="str" cm="1">
        <f t="array" ref="K70">"BIOSYN-"&amp;_xlfn.IFS(IFERROR(MATCH(mets2415[[#This Row],[category]],{0,"0",""},0),0)&gt;0,mets2415[[#This Row],[name]],TRUE,mets2415[[#This Row],[category]]&amp;"-"&amp;mets2415[[#This Row],[name]])</f>
        <v>BIOSYN-COFACTOR-thmpp_c</v>
      </c>
      <c r="L70" s="149" t="str" cm="1">
        <f t="array" ref="L70">IF(IsElementOfSet_DIY(mets2415[[#This Row],[category]],{"ignore","PROT"}),"",_xlfn.LET(_xlpm.mw,mets2415[[#This Row],[MW for biomass normalization (g/mol)]],"MET-"&amp;mets2415[[#This Row],[name]]&amp;" --&gt; "&amp;IF((mets2415[[#This Row],[category]]="DNA")+(mets2415[[#This Row],[category]]="RNA"),"MET-ppi_c + ","")&amp;ROUND(ABS(_xlpm.mw/1000),6)&amp;" BIO-"&amp;mets2415[[#This Row],[name]]))</f>
        <v>MET-thmpp_c --&gt; 0.422291 BIO-thmpp_c</v>
      </c>
      <c r="M70" s="149" cm="1">
        <f t="array" ref="M7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-1.0084187745640667E-4</v>
      </c>
      <c r="N70" s="149"/>
      <c r="O70" s="149"/>
      <c r="P70" s="149"/>
      <c r="Q70" s="149"/>
      <c r="R70" s="149"/>
      <c r="S70" s="149"/>
      <c r="T70" s="149"/>
      <c r="U70" s="149"/>
      <c r="V70" s="149"/>
      <c r="AB70" t="str">
        <v>BIOSYN-RNA-utp_c</v>
      </c>
      <c r="AC70" t="str">
        <v>MET-utp_c --&gt; MET-ppi_c + 0.305158 BIO-utp_c</v>
      </c>
    </row>
    <row r="71" spans="1:29" ht="16" x14ac:dyDescent="0.2">
      <c r="A71" s="144" t="s">
        <v>1097</v>
      </c>
      <c r="B71" t="str">
        <f>SUBSTITUTE(_xlfn.TEXTBEFORE(mets2415[[#This Row],[pasted JSON metabolite keys and values from GSM biomass rxn]],":"),CHAR(34),"")</f>
        <v>thrtrna_c</v>
      </c>
      <c r="C71" t="str">
        <f>_xlfn.TEXTBEFORE(mets2415[[#This Row],[name]],"_",-1)</f>
        <v>thrtrna</v>
      </c>
      <c r="D71" t="str">
        <f>_xlfn.XLOOKUP(mets2415[[#This Row],[name w/o location]],metaboliteInfo[name w/o location],metaboliteInfo[suggested category],"")</f>
        <v>PROT</v>
      </c>
      <c r="E71" s="21">
        <f>_xlfn.XLOOKUP(mets2415[[#This Row],[name w/o location]],metaboliteInfo[name w/o location],metaboliteInfo[MW for biomass normalization (g/mol)],0)</f>
        <v>102.11181999999999</v>
      </c>
      <c r="F71" s="21">
        <f>_xlfn.NUMBERVALUE(SUBSTITUTE(_xlfn.TEXTAFTER(mets2415[[#This Row],[pasted JSON metabolite keys and values from GSM biomass rxn]],":"),",",""))</f>
        <v>-0.15612300000000001</v>
      </c>
      <c r="G71" s="21" cm="1">
        <f t="array" ref="G71">_xlfn.LET(_xlpm.id,mets2415[[#This Row],[name w/o location]],IF(IsElementOfSet_DIY(_xlpm.id,{"atp","adp","h","pi","h2o"}),SIGN(mets2415[[#This Row],[raw (GSM) coefficient]])*(ABS(mets2415[[#This Row],[raw (GSM) coefficient]])-$J$2),mets2415[[#This Row],[raw (GSM) coefficient]]))</f>
        <v>-0.15612300000000001</v>
      </c>
      <c r="H71" s="21">
        <f>mets2415[[#This Row],[coeff. w/o GAM]]</f>
        <v>-0.15612300000000001</v>
      </c>
      <c r="I71" s="161">
        <f t="shared" si="2"/>
        <v>-0.15743736434126579</v>
      </c>
      <c r="J71" s="21" cm="1">
        <f t="array" ref="J71">_xlfn.LET(_xlpm.id,mets2415[[#This Row],[name w/o location]],_xlpm.oldcoeff,mets2415[[#This Row],[normalized coeffs]],_xlpm.gam,$J$2-$G$2,_xlfn.IFS(IFERROR(MATCH(_xlpm.id,{"atp","h2o"},0),0)&gt;0,_xlpm.oldcoeff-_xlpm.gam,IFERROR(MATCH(_xlpm.id,{"adp","h","pi"},0),0)&gt;0,_xlpm.oldcoeff+_xlpm.gam,TRUE,_xlpm.oldcoeff))</f>
        <v>-0.15743736434126579</v>
      </c>
      <c r="K71" t="str" cm="1">
        <f t="array" ref="K71">"BIOSYN-"&amp;_xlfn.IFS(IFERROR(MATCH(mets2415[[#This Row],[category]],{0,"0",""},0),0)&gt;0,mets2415[[#This Row],[name]],TRUE,mets2415[[#This Row],[category]]&amp;"-"&amp;mets2415[[#This Row],[name]])</f>
        <v>BIOSYN-PROT-thrtrna_c</v>
      </c>
      <c r="L71" s="149" t="str" cm="1">
        <f t="array" ref="L71">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1" s="149" cm="1">
        <f t="array" ref="M7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-6.9285062325468813E-2</v>
      </c>
      <c r="N71" s="149"/>
      <c r="O71" s="149"/>
      <c r="P71" s="149"/>
      <c r="Q71" s="149"/>
      <c r="R71" s="149"/>
      <c r="S71" s="149"/>
      <c r="T71" s="149"/>
      <c r="U71" s="149"/>
      <c r="V71" s="149"/>
      <c r="AB71" t="str">
        <v>BIOSYN-SO4-so4_c</v>
      </c>
      <c r="AC71" t="str">
        <v>MET-so4_c --&gt; 0.096063 BIO-so4_c</v>
      </c>
    </row>
    <row r="72" spans="1:29" ht="16" x14ac:dyDescent="0.2">
      <c r="A72" s="144" t="s">
        <v>1098</v>
      </c>
      <c r="B72" t="str">
        <f>SUBSTITUTE(_xlfn.TEXTBEFORE(mets2415[[#This Row],[pasted JSON metabolite keys and values from GSM biomass rxn]],":"),CHAR(34),"")</f>
        <v>trnaala_c</v>
      </c>
      <c r="C72" t="str">
        <f>_xlfn.TEXTBEFORE(mets2415[[#This Row],[name]],"_",-1)</f>
        <v>trnaala</v>
      </c>
      <c r="D72" t="str">
        <f>_xlfn.XLOOKUP(mets2415[[#This Row],[name w/o location]],metaboliteInfo[name w/o location],metaboliteInfo[suggested category],"")</f>
        <v>ignore</v>
      </c>
      <c r="E72" s="21">
        <f>_xlfn.XLOOKUP(mets2415[[#This Row],[name w/o location]],metaboliteInfo[name w/o location],metaboliteInfo[MW for biomass normalization (g/mol)],0)</f>
        <v>0</v>
      </c>
      <c r="F72" s="21">
        <f>_xlfn.NUMBERVALUE(SUBSTITUTE(_xlfn.TEXTAFTER(mets2415[[#This Row],[pasted JSON metabolite keys and values from GSM biomass rxn]],":"),",",""))</f>
        <v>0.27384599999999998</v>
      </c>
      <c r="G72" s="21" cm="1">
        <f t="array" ref="G72">_xlfn.LET(_xlpm.id,mets2415[[#This Row],[name w/o location]],IF(IsElementOfSet_DIY(_xlpm.id,{"atp","adp","h","pi","h2o"}),SIGN(mets2415[[#This Row],[raw (GSM) coefficient]])*(ABS(mets2415[[#This Row],[raw (GSM) coefficient]])-$J$2),mets2415[[#This Row],[raw (GSM) coefficient]]))</f>
        <v>0.27384599999999998</v>
      </c>
      <c r="H72" s="21">
        <f>mets2415[[#This Row],[coeff. w/o GAM]]</f>
        <v>0.27384599999999998</v>
      </c>
      <c r="I72" s="161">
        <f t="shared" si="2"/>
        <v>0.27615144773927136</v>
      </c>
      <c r="J72" s="21" cm="1">
        <f t="array" ref="J72">_xlfn.LET(_xlpm.id,mets2415[[#This Row],[name w/o location]],_xlpm.oldcoeff,mets2415[[#This Row],[normalized coeffs]],_xlpm.gam,$J$2-$G$2,_xlfn.IFS(IFERROR(MATCH(_xlpm.id,{"atp","h2o"},0),0)&gt;0,_xlpm.oldcoeff-_xlpm.gam,IFERROR(MATCH(_xlpm.id,{"adp","h","pi"},0),0)&gt;0,_xlpm.oldcoeff+_xlpm.gam,TRUE,_xlpm.oldcoeff))</f>
        <v>0.27615144773927136</v>
      </c>
      <c r="K72" t="str" cm="1">
        <f t="array" ref="K72">"BIOSYN-"&amp;_xlfn.IFS(IFERROR(MATCH(mets2415[[#This Row],[category]],{0,"0",""},0),0)&gt;0,mets2415[[#This Row],[name]],TRUE,mets2415[[#This Row],[category]]&amp;"-"&amp;mets2415[[#This Row],[name]])</f>
        <v>BIOSYN-ignore-trnaala_c</v>
      </c>
      <c r="L72" s="149" t="str" cm="1">
        <f t="array" ref="L72">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2" s="149" cm="1">
        <f t="array" ref="M7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0.12152877652607451</v>
      </c>
      <c r="N72" s="149"/>
      <c r="O72" s="149"/>
      <c r="P72" s="149"/>
      <c r="Q72" s="149"/>
      <c r="R72" s="149"/>
      <c r="S72" s="149"/>
      <c r="T72" s="149"/>
      <c r="U72" s="149"/>
      <c r="V72" s="149"/>
    </row>
    <row r="73" spans="1:29" ht="16" x14ac:dyDescent="0.2">
      <c r="A73" s="144" t="s">
        <v>1099</v>
      </c>
      <c r="B73" t="str">
        <f>SUBSTITUTE(_xlfn.TEXTBEFORE(mets2415[[#This Row],[pasted JSON metabolite keys and values from GSM biomass rxn]],":"),CHAR(34),"")</f>
        <v>trnaarg_c</v>
      </c>
      <c r="C73" t="str">
        <f>_xlfn.TEXTBEFORE(mets2415[[#This Row],[name]],"_",-1)</f>
        <v>trnaarg</v>
      </c>
      <c r="D73" t="str">
        <f>_xlfn.XLOOKUP(mets2415[[#This Row],[name w/o location]],metaboliteInfo[name w/o location],metaboliteInfo[suggested category],"")</f>
        <v>ignore</v>
      </c>
      <c r="E73" s="21">
        <f>_xlfn.XLOOKUP(mets2415[[#This Row],[name w/o location]],metaboliteInfo[name w/o location],metaboliteInfo[MW for biomass normalization (g/mol)],0)</f>
        <v>0</v>
      </c>
      <c r="F73" s="21">
        <f>_xlfn.NUMBERVALUE(SUBSTITUTE(_xlfn.TEXTAFTER(mets2415[[#This Row],[pasted JSON metabolite keys and values from GSM biomass rxn]],":"),",",""))</f>
        <v>0.108193</v>
      </c>
      <c r="G73" s="21" cm="1">
        <f t="array" ref="G73">_xlfn.LET(_xlpm.id,mets2415[[#This Row],[name w/o location]],IF(IsElementOfSet_DIY(_xlpm.id,{"atp","adp","h","pi","h2o"}),SIGN(mets2415[[#This Row],[raw (GSM) coefficient]])*(ABS(mets2415[[#This Row],[raw (GSM) coefficient]])-$J$2),mets2415[[#This Row],[raw (GSM) coefficient]]))</f>
        <v>0.108193</v>
      </c>
      <c r="H73" s="21">
        <f>mets2415[[#This Row],[coeff. w/o GAM]]</f>
        <v>0.108193</v>
      </c>
      <c r="I73" s="161">
        <f t="shared" si="2"/>
        <v>0.10910385247641005</v>
      </c>
      <c r="J73" s="21" cm="1">
        <f t="array" ref="J73">_xlfn.LET(_xlpm.id,mets2415[[#This Row],[name w/o location]],_xlpm.oldcoeff,mets2415[[#This Row],[normalized coeffs]],_xlpm.gam,$J$2-$G$2,_xlfn.IFS(IFERROR(MATCH(_xlpm.id,{"atp","h2o"},0),0)&gt;0,_xlpm.oldcoeff-_xlpm.gam,IFERROR(MATCH(_xlpm.id,{"adp","h","pi"},0),0)&gt;0,_xlpm.oldcoeff+_xlpm.gam,TRUE,_xlpm.oldcoeff))</f>
        <v>0.10910385247641005</v>
      </c>
      <c r="K73" t="str" cm="1">
        <f t="array" ref="K73">"BIOSYN-"&amp;_xlfn.IFS(IFERROR(MATCH(mets2415[[#This Row],[category]],{0,"0",""},0),0)&gt;0,mets2415[[#This Row],[name]],TRUE,mets2415[[#This Row],[category]]&amp;"-"&amp;mets2415[[#This Row],[name]])</f>
        <v>BIOSYN-ignore-trnaarg_c</v>
      </c>
      <c r="L73" s="149" t="str" cm="1">
        <f t="array" ref="L73">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3" s="149" cm="1">
        <f t="array" ref="M7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4.801444212690921E-2</v>
      </c>
      <c r="N73" s="149"/>
      <c r="O73" s="149"/>
      <c r="P73" s="149"/>
      <c r="Q73" s="149"/>
      <c r="R73" s="149"/>
      <c r="S73" s="149"/>
      <c r="T73" s="149"/>
      <c r="U73" s="149"/>
      <c r="V73" s="149"/>
    </row>
    <row r="74" spans="1:29" ht="16" x14ac:dyDescent="0.2">
      <c r="A74" s="144" t="s">
        <v>1100</v>
      </c>
      <c r="B74" t="str">
        <f>SUBSTITUTE(_xlfn.TEXTBEFORE(mets2415[[#This Row],[pasted JSON metabolite keys and values from GSM biomass rxn]],":"),CHAR(34),"")</f>
        <v>trnaasn_c</v>
      </c>
      <c r="C74" t="str">
        <f>_xlfn.TEXTBEFORE(mets2415[[#This Row],[name]],"_",-1)</f>
        <v>trnaasn</v>
      </c>
      <c r="D74" t="str">
        <f>_xlfn.XLOOKUP(mets2415[[#This Row],[name w/o location]],metaboliteInfo[name w/o location],metaboliteInfo[suggested category],"")</f>
        <v>ignore</v>
      </c>
      <c r="E74" s="21">
        <f>_xlfn.XLOOKUP(mets2415[[#This Row],[name w/o location]],metaboliteInfo[name w/o location],metaboliteInfo[MW for biomass normalization (g/mol)],0)</f>
        <v>0</v>
      </c>
      <c r="F74" s="21">
        <f>_xlfn.NUMBERVALUE(SUBSTITUTE(_xlfn.TEXTAFTER(mets2415[[#This Row],[pasted JSON metabolite keys and values from GSM biomass rxn]],":"),",",""))</f>
        <v>0.130056</v>
      </c>
      <c r="G74" s="21" cm="1">
        <f t="array" ref="G74">_xlfn.LET(_xlpm.id,mets2415[[#This Row],[name w/o location]],IF(IsElementOfSet_DIY(_xlpm.id,{"atp","adp","h","pi","h2o"}),SIGN(mets2415[[#This Row],[raw (GSM) coefficient]])*(ABS(mets2415[[#This Row],[raw (GSM) coefficient]])-$J$2),mets2415[[#This Row],[raw (GSM) coefficient]]))</f>
        <v>0.130056</v>
      </c>
      <c r="H74" s="21">
        <f>mets2415[[#This Row],[coeff. w/o GAM]]</f>
        <v>0.130056</v>
      </c>
      <c r="I74" s="161">
        <f t="shared" si="2"/>
        <v>0.13115091214470426</v>
      </c>
      <c r="J74" s="21" cm="1">
        <f t="array" ref="J74">_xlfn.LET(_xlpm.id,mets2415[[#This Row],[name w/o location]],_xlpm.oldcoeff,mets2415[[#This Row],[normalized coeffs]],_xlpm.gam,$J$2-$G$2,_xlfn.IFS(IFERROR(MATCH(_xlpm.id,{"atp","h2o"},0),0)&gt;0,_xlpm.oldcoeff-_xlpm.gam,IFERROR(MATCH(_xlpm.id,{"adp","h","pi"},0),0)&gt;0,_xlpm.oldcoeff+_xlpm.gam,TRUE,_xlpm.oldcoeff))</f>
        <v>0.13115091214470426</v>
      </c>
      <c r="K74" t="str" cm="1">
        <f t="array" ref="K74">"BIOSYN-"&amp;_xlfn.IFS(IFERROR(MATCH(mets2415[[#This Row],[category]],{0,"0",""},0),0)&gt;0,mets2415[[#This Row],[name]],TRUE,mets2415[[#This Row],[category]]&amp;"-"&amp;mets2415[[#This Row],[name]])</f>
        <v>BIOSYN-ignore-trnaasn_c</v>
      </c>
      <c r="L74" s="149" t="str" cm="1">
        <f t="array" ref="L74">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4" s="149" cm="1">
        <f t="array" ref="M7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5.7716915930395726E-2</v>
      </c>
      <c r="N74" s="149"/>
      <c r="O74" s="149"/>
      <c r="P74" s="149"/>
      <c r="Q74" s="149"/>
      <c r="R74" s="149"/>
      <c r="S74" s="149"/>
      <c r="T74" s="149"/>
      <c r="U74" s="149"/>
      <c r="V74" s="149"/>
    </row>
    <row r="75" spans="1:29" ht="16" x14ac:dyDescent="0.2">
      <c r="A75" s="144" t="s">
        <v>1101</v>
      </c>
      <c r="B75" t="str">
        <f>SUBSTITUTE(_xlfn.TEXTBEFORE(mets2415[[#This Row],[pasted JSON metabolite keys and values from GSM biomass rxn]],":"),CHAR(34),"")</f>
        <v>trnaasp_c</v>
      </c>
      <c r="C75" t="str">
        <f>_xlfn.TEXTBEFORE(mets2415[[#This Row],[name]],"_",-1)</f>
        <v>trnaasp</v>
      </c>
      <c r="D75" t="str">
        <f>_xlfn.XLOOKUP(mets2415[[#This Row],[name w/o location]],metaboliteInfo[name w/o location],metaboliteInfo[suggested category],"")</f>
        <v>ignore</v>
      </c>
      <c r="E75" s="21">
        <f>_xlfn.XLOOKUP(mets2415[[#This Row],[name w/o location]],metaboliteInfo[name w/o location],metaboliteInfo[MW for biomass normalization (g/mol)],0)</f>
        <v>0</v>
      </c>
      <c r="F75" s="21">
        <f>_xlfn.NUMBERVALUE(SUBSTITUTE(_xlfn.TEXTAFTER(mets2415[[#This Row],[pasted JSON metabolite keys and values from GSM biomass rxn]],":"),",",""))</f>
        <v>0.130056</v>
      </c>
      <c r="G75" s="21" cm="1">
        <f t="array" ref="G75">_xlfn.LET(_xlpm.id,mets2415[[#This Row],[name w/o location]],IF(IsElementOfSet_DIY(_xlpm.id,{"atp","adp","h","pi","h2o"}),SIGN(mets2415[[#This Row],[raw (GSM) coefficient]])*(ABS(mets2415[[#This Row],[raw (GSM) coefficient]])-$J$2),mets2415[[#This Row],[raw (GSM) coefficient]]))</f>
        <v>0.130056</v>
      </c>
      <c r="H75" s="21">
        <f>mets2415[[#This Row],[coeff. w/o GAM]]</f>
        <v>0.130056</v>
      </c>
      <c r="I75" s="161">
        <f t="shared" si="2"/>
        <v>0.13115091214470426</v>
      </c>
      <c r="J75" s="21" cm="1">
        <f t="array" ref="J75">_xlfn.LET(_xlpm.id,mets2415[[#This Row],[name w/o location]],_xlpm.oldcoeff,mets2415[[#This Row],[normalized coeffs]],_xlpm.gam,$J$2-$G$2,_xlfn.IFS(IFERROR(MATCH(_xlpm.id,{"atp","h2o"},0),0)&gt;0,_xlpm.oldcoeff-_xlpm.gam,IFERROR(MATCH(_xlpm.id,{"adp","h","pi"},0),0)&gt;0,_xlpm.oldcoeff+_xlpm.gam,TRUE,_xlpm.oldcoeff))</f>
        <v>0.13115091214470426</v>
      </c>
      <c r="K75" t="str" cm="1">
        <f t="array" ref="K75">"BIOSYN-"&amp;_xlfn.IFS(IFERROR(MATCH(mets2415[[#This Row],[category]],{0,"0",""},0),0)&gt;0,mets2415[[#This Row],[name]],TRUE,mets2415[[#This Row],[category]]&amp;"-"&amp;mets2415[[#This Row],[name]])</f>
        <v>BIOSYN-ignore-trnaasp_c</v>
      </c>
      <c r="L75" s="149" t="str" cm="1">
        <f t="array" ref="L75">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5" s="149" cm="1">
        <f t="array" ref="M7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5.7716915930395726E-2</v>
      </c>
      <c r="N75" s="149"/>
      <c r="O75" s="149"/>
      <c r="P75" s="149"/>
      <c r="Q75" s="149"/>
      <c r="R75" s="149"/>
      <c r="S75" s="149"/>
      <c r="T75" s="149"/>
      <c r="U75" s="149"/>
      <c r="V75" s="149"/>
    </row>
    <row r="76" spans="1:29" ht="16" x14ac:dyDescent="0.2">
      <c r="A76" s="144" t="s">
        <v>1102</v>
      </c>
      <c r="B76" t="str">
        <f>SUBSTITUTE(_xlfn.TEXTBEFORE(mets2415[[#This Row],[pasted JSON metabolite keys and values from GSM biomass rxn]],":"),CHAR(34),"")</f>
        <v>trnacys_c</v>
      </c>
      <c r="C76" t="str">
        <f>_xlfn.TEXTBEFORE(mets2415[[#This Row],[name]],"_",-1)</f>
        <v>trnacys</v>
      </c>
      <c r="D76" t="str">
        <f>_xlfn.XLOOKUP(mets2415[[#This Row],[name w/o location]],metaboliteInfo[name w/o location],metaboliteInfo[suggested category],"")</f>
        <v>ignore</v>
      </c>
      <c r="E76" s="21">
        <f>_xlfn.XLOOKUP(mets2415[[#This Row],[name w/o location]],metaboliteInfo[name w/o location],metaboliteInfo[MW for biomass normalization (g/mol)],0)</f>
        <v>0</v>
      </c>
      <c r="F76" s="21">
        <f>_xlfn.NUMBERVALUE(SUBSTITUTE(_xlfn.TEXTAFTER(mets2415[[#This Row],[pasted JSON metabolite keys and values from GSM biomass rxn]],":"),",",""))</f>
        <v>3.9240000000000004E-3</v>
      </c>
      <c r="G76" s="21" cm="1">
        <f t="array" ref="G76">_xlfn.LET(_xlpm.id,mets2415[[#This Row],[name w/o location]],IF(IsElementOfSet_DIY(_xlpm.id,{"atp","adp","h","pi","h2o"}),SIGN(mets2415[[#This Row],[raw (GSM) coefficient]])*(ABS(mets2415[[#This Row],[raw (GSM) coefficient]])-$J$2),mets2415[[#This Row],[raw (GSM) coefficient]]))</f>
        <v>3.9240000000000004E-3</v>
      </c>
      <c r="H76" s="21">
        <f>mets2415[[#This Row],[coeff. w/o GAM]]</f>
        <v>3.9240000000000004E-3</v>
      </c>
      <c r="I76" s="161">
        <f t="shared" si="2"/>
        <v>3.9570352713893973E-3</v>
      </c>
      <c r="J76" s="21" cm="1">
        <f t="array" ref="J76">_xlfn.LET(_xlpm.id,mets2415[[#This Row],[name w/o location]],_xlpm.oldcoeff,mets2415[[#This Row],[normalized coeffs]],_xlpm.gam,$J$2-$G$2,_xlfn.IFS(IFERROR(MATCH(_xlpm.id,{"atp","h2o"},0),0)&gt;0,_xlpm.oldcoeff-_xlpm.gam,IFERROR(MATCH(_xlpm.id,{"adp","h","pi"},0),0)&gt;0,_xlpm.oldcoeff+_xlpm.gam,TRUE,_xlpm.oldcoeff))</f>
        <v>3.9570352713893973E-3</v>
      </c>
      <c r="K76" t="str" cm="1">
        <f t="array" ref="K76">"BIOSYN-"&amp;_xlfn.IFS(IFERROR(MATCH(mets2415[[#This Row],[category]],{0,"0",""},0),0)&gt;0,mets2415[[#This Row],[name]],TRUE,mets2415[[#This Row],[category]]&amp;"-"&amp;mets2415[[#This Row],[name]])</f>
        <v>BIOSYN-ignore-trnacys_c</v>
      </c>
      <c r="L76" s="149" t="str" cm="1">
        <f t="array" ref="L76">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6" s="149" cm="1">
        <f t="array" ref="M7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1.7414127615094483E-3</v>
      </c>
      <c r="N76" s="149"/>
      <c r="O76" s="149"/>
      <c r="P76" s="149"/>
      <c r="Q76" s="149"/>
      <c r="R76" s="149"/>
      <c r="S76" s="149"/>
      <c r="T76" s="149"/>
      <c r="U76" s="149"/>
      <c r="V76" s="149"/>
    </row>
    <row r="77" spans="1:29" ht="16" x14ac:dyDescent="0.2">
      <c r="A77" s="144" t="s">
        <v>1103</v>
      </c>
      <c r="B77" t="str">
        <f>SUBSTITUTE(_xlfn.TEXTBEFORE(mets2415[[#This Row],[pasted JSON metabolite keys and values from GSM biomass rxn]],":"),CHAR(34),"")</f>
        <v>trnagln_c</v>
      </c>
      <c r="C77" t="str">
        <f>_xlfn.TEXTBEFORE(mets2415[[#This Row],[name]],"_",-1)</f>
        <v>trnagln</v>
      </c>
      <c r="D77" t="str">
        <f>_xlfn.XLOOKUP(mets2415[[#This Row],[name w/o location]],metaboliteInfo[name w/o location],metaboliteInfo[suggested category],"")</f>
        <v>ignore</v>
      </c>
      <c r="E77" s="21">
        <f>_xlfn.XLOOKUP(mets2415[[#This Row],[name w/o location]],metaboliteInfo[name w/o location],metaboliteInfo[MW for biomass normalization (g/mol)],0)</f>
        <v>0</v>
      </c>
      <c r="F77" s="21">
        <f>_xlfn.NUMBERVALUE(SUBSTITUTE(_xlfn.TEXTAFTER(mets2415[[#This Row],[pasted JSON metabolite keys and values from GSM biomass rxn]],":"),",",""))</f>
        <v>0.216946</v>
      </c>
      <c r="G77" s="21" cm="1">
        <f t="array" ref="G77">_xlfn.LET(_xlpm.id,mets2415[[#This Row],[name w/o location]],IF(IsElementOfSet_DIY(_xlpm.id,{"atp","adp","h","pi","h2o"}),SIGN(mets2415[[#This Row],[raw (GSM) coefficient]])*(ABS(mets2415[[#This Row],[raw (GSM) coefficient]])-$J$2),mets2415[[#This Row],[raw (GSM) coefficient]]))</f>
        <v>0.216946</v>
      </c>
      <c r="H77" s="21">
        <f>mets2415[[#This Row],[coeff. w/o GAM]]</f>
        <v>0.216946</v>
      </c>
      <c r="I77" s="161">
        <f t="shared" si="2"/>
        <v>0.218772419466576</v>
      </c>
      <c r="J77" s="21" cm="1">
        <f t="array" ref="J77">_xlfn.LET(_xlpm.id,mets2415[[#This Row],[name w/o location]],_xlpm.oldcoeff,mets2415[[#This Row],[normalized coeffs]],_xlpm.gam,$J$2-$G$2,_xlfn.IFS(IFERROR(MATCH(_xlpm.id,{"atp","h2o"},0),0)&gt;0,_xlpm.oldcoeff-_xlpm.gam,IFERROR(MATCH(_xlpm.id,{"adp","h","pi"},0),0)&gt;0,_xlpm.oldcoeff+_xlpm.gam,TRUE,_xlpm.oldcoeff))</f>
        <v>0.218772419466576</v>
      </c>
      <c r="K77" t="str" cm="1">
        <f t="array" ref="K77">"BIOSYN-"&amp;_xlfn.IFS(IFERROR(MATCH(mets2415[[#This Row],[category]],{0,"0",""},0),0)&gt;0,mets2415[[#This Row],[name]],TRUE,mets2415[[#This Row],[category]]&amp;"-"&amp;mets2415[[#This Row],[name]])</f>
        <v>BIOSYN-ignore-trnagln_c</v>
      </c>
      <c r="L77" s="149" t="str" cm="1">
        <f t="array" ref="L77">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7" s="149" cm="1">
        <f t="array" ref="M7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9.6277403913972673E-2</v>
      </c>
      <c r="N77" s="149"/>
      <c r="O77" s="149"/>
      <c r="P77" s="149"/>
      <c r="Q77" s="149"/>
      <c r="R77" s="149"/>
      <c r="S77" s="149"/>
      <c r="T77" s="149"/>
      <c r="U77" s="149"/>
      <c r="V77" s="149"/>
    </row>
    <row r="78" spans="1:29" ht="16" x14ac:dyDescent="0.2">
      <c r="A78" s="144" t="s">
        <v>1104</v>
      </c>
      <c r="B78" t="str">
        <f>SUBSTITUTE(_xlfn.TEXTBEFORE(mets2415[[#This Row],[pasted JSON metabolite keys and values from GSM biomass rxn]],":"),CHAR(34),"")</f>
        <v>trnaglu_c</v>
      </c>
      <c r="C78" t="str">
        <f>_xlfn.TEXTBEFORE(mets2415[[#This Row],[name]],"_",-1)</f>
        <v>trnaglu</v>
      </c>
      <c r="D78" t="str">
        <f>_xlfn.XLOOKUP(mets2415[[#This Row],[name w/o location]],metaboliteInfo[name w/o location],metaboliteInfo[suggested category],"")</f>
        <v>ignore</v>
      </c>
      <c r="E78" s="21">
        <f>_xlfn.XLOOKUP(mets2415[[#This Row],[name w/o location]],metaboliteInfo[name w/o location],metaboliteInfo[MW for biomass normalization (g/mol)],0)</f>
        <v>0</v>
      </c>
      <c r="F78" s="21">
        <f>_xlfn.NUMBERVALUE(SUBSTITUTE(_xlfn.TEXTAFTER(mets2415[[#This Row],[pasted JSON metabolite keys and values from GSM biomass rxn]],":"),",",""))</f>
        <v>0.216946</v>
      </c>
      <c r="G78" s="21" cm="1">
        <f t="array" ref="G78">_xlfn.LET(_xlpm.id,mets2415[[#This Row],[name w/o location]],IF(IsElementOfSet_DIY(_xlpm.id,{"atp","adp","h","pi","h2o"}),SIGN(mets2415[[#This Row],[raw (GSM) coefficient]])*(ABS(mets2415[[#This Row],[raw (GSM) coefficient]])-$J$2),mets2415[[#This Row],[raw (GSM) coefficient]]))</f>
        <v>0.216946</v>
      </c>
      <c r="H78" s="21">
        <f>mets2415[[#This Row],[coeff. w/o GAM]]</f>
        <v>0.216946</v>
      </c>
      <c r="I78" s="161">
        <f t="shared" si="2"/>
        <v>0.218772419466576</v>
      </c>
      <c r="J78" s="21" cm="1">
        <f t="array" ref="J78">_xlfn.LET(_xlpm.id,mets2415[[#This Row],[name w/o location]],_xlpm.oldcoeff,mets2415[[#This Row],[normalized coeffs]],_xlpm.gam,$J$2-$G$2,_xlfn.IFS(IFERROR(MATCH(_xlpm.id,{"atp","h2o"},0),0)&gt;0,_xlpm.oldcoeff-_xlpm.gam,IFERROR(MATCH(_xlpm.id,{"adp","h","pi"},0),0)&gt;0,_xlpm.oldcoeff+_xlpm.gam,TRUE,_xlpm.oldcoeff))</f>
        <v>0.218772419466576</v>
      </c>
      <c r="K78" t="str" cm="1">
        <f t="array" ref="K78">"BIOSYN-"&amp;_xlfn.IFS(IFERROR(MATCH(mets2415[[#This Row],[category]],{0,"0",""},0),0)&gt;0,mets2415[[#This Row],[name]],TRUE,mets2415[[#This Row],[category]]&amp;"-"&amp;mets2415[[#This Row],[name]])</f>
        <v>BIOSYN-ignore-trnaglu_c</v>
      </c>
      <c r="L78" s="149" t="str" cm="1">
        <f t="array" ref="L78">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8" s="149" cm="1">
        <f t="array" ref="M7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9.6277403913972673E-2</v>
      </c>
      <c r="N78" s="149"/>
      <c r="O78" s="149"/>
      <c r="P78" s="149"/>
      <c r="Q78" s="149"/>
      <c r="R78" s="149"/>
      <c r="S78" s="149"/>
      <c r="T78" s="149"/>
      <c r="U78" s="149"/>
      <c r="V78" s="149"/>
    </row>
    <row r="79" spans="1:29" ht="16" x14ac:dyDescent="0.2">
      <c r="A79" s="144" t="s">
        <v>1105</v>
      </c>
      <c r="B79" t="str">
        <f>SUBSTITUTE(_xlfn.TEXTBEFORE(mets2415[[#This Row],[pasted JSON metabolite keys and values from GSM biomass rxn]],":"),CHAR(34),"")</f>
        <v>trnagly_c</v>
      </c>
      <c r="C79" t="str">
        <f>_xlfn.TEXTBEFORE(mets2415[[#This Row],[name]],"_",-1)</f>
        <v>trnagly</v>
      </c>
      <c r="D79" t="str">
        <f>_xlfn.XLOOKUP(mets2415[[#This Row],[name w/o location]],metaboliteInfo[name w/o location],metaboliteInfo[suggested category],"")</f>
        <v>ignore</v>
      </c>
      <c r="E79" s="21">
        <f>_xlfn.XLOOKUP(mets2415[[#This Row],[name w/o location]],metaboliteInfo[name w/o location],metaboliteInfo[MW for biomass normalization (g/mol)],0)</f>
        <v>0</v>
      </c>
      <c r="F79" s="21">
        <f>_xlfn.NUMBERVALUE(SUBSTITUTE(_xlfn.TEXTAFTER(mets2415[[#This Row],[pasted JSON metabolite keys and values from GSM biomass rxn]],":"),",",""))</f>
        <v>0.24918000000000001</v>
      </c>
      <c r="G79" s="21" cm="1">
        <f t="array" ref="G79">_xlfn.LET(_xlpm.id,mets2415[[#This Row],[name w/o location]],IF(IsElementOfSet_DIY(_xlpm.id,{"atp","adp","h","pi","h2o"}),SIGN(mets2415[[#This Row],[raw (GSM) coefficient]])*(ABS(mets2415[[#This Row],[raw (GSM) coefficient]])-$J$2),mets2415[[#This Row],[raw (GSM) coefficient]]))</f>
        <v>0.24918000000000001</v>
      </c>
      <c r="H79" s="21">
        <f>mets2415[[#This Row],[coeff. w/o GAM]]</f>
        <v>0.24918000000000001</v>
      </c>
      <c r="I79" s="161">
        <f t="shared" si="2"/>
        <v>0.2512777902458741</v>
      </c>
      <c r="J79" s="21" cm="1">
        <f t="array" ref="J79">_xlfn.LET(_xlpm.id,mets2415[[#This Row],[name w/o location]],_xlpm.oldcoeff,mets2415[[#This Row],[normalized coeffs]],_xlpm.gam,$J$2-$G$2,_xlfn.IFS(IFERROR(MATCH(_xlpm.id,{"atp","h2o"},0),0)&gt;0,_xlpm.oldcoeff-_xlpm.gam,IFERROR(MATCH(_xlpm.id,{"adp","h","pi"},0),0)&gt;0,_xlpm.oldcoeff+_xlpm.gam,TRUE,_xlpm.oldcoeff))</f>
        <v>0.2512777902458741</v>
      </c>
      <c r="K79" t="str" cm="1">
        <f t="array" ref="K79">"BIOSYN-"&amp;_xlfn.IFS(IFERROR(MATCH(mets2415[[#This Row],[category]],{0,"0",""},0),0)&gt;0,mets2415[[#This Row],[name]],TRUE,mets2415[[#This Row],[category]]&amp;"-"&amp;mets2415[[#This Row],[name]])</f>
        <v>BIOSYN-ignore-trnagly_c</v>
      </c>
      <c r="L79" s="149" t="str" cm="1">
        <f t="array" ref="L79">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79" s="149" cm="1">
        <f t="array" ref="M7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0.11058237306649447</v>
      </c>
      <c r="N79" s="149"/>
      <c r="O79" s="149"/>
      <c r="P79" s="149"/>
      <c r="Q79" s="149"/>
      <c r="R79" s="149"/>
      <c r="S79" s="149"/>
      <c r="T79" s="149"/>
      <c r="U79" s="149"/>
      <c r="V79" s="149"/>
    </row>
    <row r="80" spans="1:29" ht="16" x14ac:dyDescent="0.2">
      <c r="A80" s="144" t="s">
        <v>1106</v>
      </c>
      <c r="B80" t="str">
        <f>SUBSTITUTE(_xlfn.TEXTBEFORE(mets2415[[#This Row],[pasted JSON metabolite keys and values from GSM biomass rxn]],":"),CHAR(34),"")</f>
        <v>trnahis_c</v>
      </c>
      <c r="C80" t="str">
        <f>_xlfn.TEXTBEFORE(mets2415[[#This Row],[name]],"_",-1)</f>
        <v>trnahis</v>
      </c>
      <c r="D80" t="str">
        <f>_xlfn.XLOOKUP(mets2415[[#This Row],[name w/o location]],metaboliteInfo[name w/o location],metaboliteInfo[suggested category],"")</f>
        <v>ignore</v>
      </c>
      <c r="E80" s="21">
        <f>_xlfn.XLOOKUP(mets2415[[#This Row],[name w/o location]],metaboliteInfo[name w/o location],metaboliteInfo[MW for biomass normalization (g/mol)],0)</f>
        <v>0</v>
      </c>
      <c r="F80" s="21">
        <f>_xlfn.NUMBERVALUE(SUBSTITUTE(_xlfn.TEXTAFTER(mets2415[[#This Row],[pasted JSON metabolite keys and values from GSM biomass rxn]],":"),",",""))</f>
        <v>5.4095999999999998E-2</v>
      </c>
      <c r="G80" s="21" cm="1">
        <f t="array" ref="G80">_xlfn.LET(_xlpm.id,mets2415[[#This Row],[name w/o location]],IF(IsElementOfSet_DIY(_xlpm.id,{"atp","adp","h","pi","h2o"}),SIGN(mets2415[[#This Row],[raw (GSM) coefficient]])*(ABS(mets2415[[#This Row],[raw (GSM) coefficient]])-$J$2),mets2415[[#This Row],[raw (GSM) coefficient]]))</f>
        <v>5.4095999999999998E-2</v>
      </c>
      <c r="H80" s="21">
        <f>mets2415[[#This Row],[coeff. w/o GAM]]</f>
        <v>5.4095999999999998E-2</v>
      </c>
      <c r="I80" s="161">
        <f t="shared" si="2"/>
        <v>5.4551422028817742E-2</v>
      </c>
      <c r="J80" s="21" cm="1">
        <f t="array" ref="J80">_xlfn.LET(_xlpm.id,mets2415[[#This Row],[name w/o location]],_xlpm.oldcoeff,mets2415[[#This Row],[normalized coeffs]],_xlpm.gam,$J$2-$G$2,_xlfn.IFS(IFERROR(MATCH(_xlpm.id,{"atp","h2o"},0),0)&gt;0,_xlpm.oldcoeff-_xlpm.gam,IFERROR(MATCH(_xlpm.id,{"adp","h","pi"},0),0)&gt;0,_xlpm.oldcoeff+_xlpm.gam,TRUE,_xlpm.oldcoeff))</f>
        <v>5.4551422028817742E-2</v>
      </c>
      <c r="K80" t="str" cm="1">
        <f t="array" ref="K80">"BIOSYN-"&amp;_xlfn.IFS(IFERROR(MATCH(mets2415[[#This Row],[category]],{0,"0",""},0),0)&gt;0,mets2415[[#This Row],[name]],TRUE,mets2415[[#This Row],[category]]&amp;"-"&amp;mets2415[[#This Row],[name]])</f>
        <v>BIOSYN-ignore-trnahis_c</v>
      </c>
      <c r="L80" s="149" t="str" cm="1">
        <f t="array" ref="L80">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0" s="149" cm="1">
        <f t="array" ref="M8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2.4006999170900895E-2</v>
      </c>
      <c r="N80" s="149"/>
      <c r="O80" s="149"/>
      <c r="P80" s="149"/>
      <c r="Q80" s="149"/>
      <c r="R80" s="149"/>
      <c r="S80" s="149"/>
      <c r="T80" s="149"/>
      <c r="U80" s="149"/>
      <c r="V80" s="149"/>
    </row>
    <row r="81" spans="1:22" ht="16" x14ac:dyDescent="0.2">
      <c r="A81" s="144" t="s">
        <v>1107</v>
      </c>
      <c r="B81" t="str">
        <f>SUBSTITUTE(_xlfn.TEXTBEFORE(mets2415[[#This Row],[pasted JSON metabolite keys and values from GSM biomass rxn]],":"),CHAR(34),"")</f>
        <v>trnaile_c</v>
      </c>
      <c r="C81" t="str">
        <f>_xlfn.TEXTBEFORE(mets2415[[#This Row],[name]],"_",-1)</f>
        <v>trnaile</v>
      </c>
      <c r="D81" t="str">
        <f>_xlfn.XLOOKUP(mets2415[[#This Row],[name w/o location]],metaboliteInfo[name w/o location],metaboliteInfo[suggested category],"")</f>
        <v>ignore</v>
      </c>
      <c r="E81" s="21">
        <f>_xlfn.XLOOKUP(mets2415[[#This Row],[name w/o location]],metaboliteInfo[name w/o location],metaboliteInfo[MW for biomass normalization (g/mol)],0)</f>
        <v>0</v>
      </c>
      <c r="F81" s="21">
        <f>_xlfn.NUMBERVALUE(SUBSTITUTE(_xlfn.TEXTAFTER(mets2415[[#This Row],[pasted JSON metabolite keys and values from GSM biomass rxn]],":"),",",""))</f>
        <v>0.16509199999999999</v>
      </c>
      <c r="G81" s="21" cm="1">
        <f t="array" ref="G81">_xlfn.LET(_xlpm.id,mets2415[[#This Row],[name w/o location]],IF(IsElementOfSet_DIY(_xlpm.id,{"atp","adp","h","pi","h2o"}),SIGN(mets2415[[#This Row],[raw (GSM) coefficient]])*(ABS(mets2415[[#This Row],[raw (GSM) coefficient]])-$J$2),mets2415[[#This Row],[raw (GSM) coefficient]]))</f>
        <v>0.16509199999999999</v>
      </c>
      <c r="H81" s="21">
        <f>mets2415[[#This Row],[coeff. w/o GAM]]</f>
        <v>0.16509199999999999</v>
      </c>
      <c r="I81" s="161">
        <f t="shared" si="2"/>
        <v>0.16648187233033088</v>
      </c>
      <c r="J81" s="21" cm="1">
        <f t="array" ref="J81">_xlfn.LET(_xlpm.id,mets2415[[#This Row],[name w/o location]],_xlpm.oldcoeff,mets2415[[#This Row],[normalized coeffs]],_xlpm.gam,$J$2-$G$2,_xlfn.IFS(IFERROR(MATCH(_xlpm.id,{"atp","h2o"},0),0)&gt;0,_xlpm.oldcoeff-_xlpm.gam,IFERROR(MATCH(_xlpm.id,{"adp","h","pi"},0),0)&gt;0,_xlpm.oldcoeff+_xlpm.gam,TRUE,_xlpm.oldcoeff))</f>
        <v>0.16648187233033088</v>
      </c>
      <c r="K81" t="str" cm="1">
        <f t="array" ref="K81">"BIOSYN-"&amp;_xlfn.IFS(IFERROR(MATCH(mets2415[[#This Row],[category]],{0,"0",""},0),0)&gt;0,mets2415[[#This Row],[name]],TRUE,mets2415[[#This Row],[category]]&amp;"-"&amp;mets2415[[#This Row],[name]])</f>
        <v>BIOSYN-ignore-trnaile_c</v>
      </c>
      <c r="L81" s="149" t="str" cm="1">
        <f t="array" ref="L81">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1" s="149" cm="1">
        <f t="array" ref="M8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7.3265370953903633E-2</v>
      </c>
      <c r="N81" s="149"/>
      <c r="O81" s="149"/>
      <c r="P81" s="149"/>
      <c r="Q81" s="149"/>
      <c r="R81" s="149"/>
      <c r="S81" s="149"/>
      <c r="T81" s="149"/>
      <c r="U81" s="149"/>
      <c r="V81" s="149"/>
    </row>
    <row r="82" spans="1:22" ht="16" x14ac:dyDescent="0.2">
      <c r="A82" s="144" t="s">
        <v>1108</v>
      </c>
      <c r="B82" t="str">
        <f>SUBSTITUTE(_xlfn.TEXTBEFORE(mets2415[[#This Row],[pasted JSON metabolite keys and values from GSM biomass rxn]],":"),CHAR(34),"")</f>
        <v>trnaleu_c</v>
      </c>
      <c r="C82" t="str">
        <f>_xlfn.TEXTBEFORE(mets2415[[#This Row],[name]],"_",-1)</f>
        <v>trnaleu</v>
      </c>
      <c r="D82" t="str">
        <f>_xlfn.XLOOKUP(mets2415[[#This Row],[name w/o location]],metaboliteInfo[name w/o location],metaboliteInfo[suggested category],"")</f>
        <v>ignore</v>
      </c>
      <c r="E82" s="21">
        <f>_xlfn.XLOOKUP(mets2415[[#This Row],[name w/o location]],metaboliteInfo[name w/o location],metaboliteInfo[MW for biomass normalization (g/mol)],0)</f>
        <v>0</v>
      </c>
      <c r="F82" s="21">
        <f>_xlfn.NUMBERVALUE(SUBSTITUTE(_xlfn.TEXTAFTER(mets2415[[#This Row],[pasted JSON metabolite keys and values from GSM biomass rxn]],":"),",",""))</f>
        <v>0.22451399999999999</v>
      </c>
      <c r="G82" s="21" cm="1">
        <f t="array" ref="G82">_xlfn.LET(_xlpm.id,mets2415[[#This Row],[name w/o location]],IF(IsElementOfSet_DIY(_xlpm.id,{"atp","adp","h","pi","h2o"}),SIGN(mets2415[[#This Row],[raw (GSM) coefficient]])*(ABS(mets2415[[#This Row],[raw (GSM) coefficient]])-$J$2),mets2415[[#This Row],[raw (GSM) coefficient]]))</f>
        <v>0.22451399999999999</v>
      </c>
      <c r="H82" s="21">
        <f>mets2415[[#This Row],[coeff. w/o GAM]]</f>
        <v>0.22451399999999999</v>
      </c>
      <c r="I82" s="161">
        <f t="shared" si="2"/>
        <v>0.22640413275247684</v>
      </c>
      <c r="J82" s="21" cm="1">
        <f t="array" ref="J82">_xlfn.LET(_xlpm.id,mets2415[[#This Row],[name w/o location]],_xlpm.oldcoeff,mets2415[[#This Row],[normalized coeffs]],_xlpm.gam,$J$2-$G$2,_xlfn.IFS(IFERROR(MATCH(_xlpm.id,{"atp","h2o"},0),0)&gt;0,_xlpm.oldcoeff-_xlpm.gam,IFERROR(MATCH(_xlpm.id,{"adp","h","pi"},0),0)&gt;0,_xlpm.oldcoeff+_xlpm.gam,TRUE,_xlpm.oldcoeff))</f>
        <v>0.22640413275247684</v>
      </c>
      <c r="K82" t="str" cm="1">
        <f t="array" ref="K82">"BIOSYN-"&amp;_xlfn.IFS(IFERROR(MATCH(mets2415[[#This Row],[category]],{0,"0",""},0),0)&gt;0,mets2415[[#This Row],[name]],TRUE,mets2415[[#This Row],[category]]&amp;"-"&amp;mets2415[[#This Row],[name]])</f>
        <v>BIOSYN-ignore-trnaleu_c</v>
      </c>
      <c r="L82" s="149" t="str" cm="1">
        <f t="array" ref="L82">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2" s="149" cm="1">
        <f t="array" ref="M8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9.963596960691444E-2</v>
      </c>
      <c r="N82" s="149"/>
      <c r="O82" s="149"/>
      <c r="P82" s="149"/>
      <c r="Q82" s="149"/>
      <c r="R82" s="149"/>
      <c r="S82" s="149"/>
      <c r="T82" s="149"/>
      <c r="U82" s="149"/>
      <c r="V82" s="149"/>
    </row>
    <row r="83" spans="1:22" ht="16" x14ac:dyDescent="0.2">
      <c r="A83" s="144" t="s">
        <v>1109</v>
      </c>
      <c r="B83" t="str">
        <f>SUBSTITUTE(_xlfn.TEXTBEFORE(mets2415[[#This Row],[pasted JSON metabolite keys and values from GSM biomass rxn]],":"),CHAR(34),"")</f>
        <v>trnalys_c</v>
      </c>
      <c r="C83" t="str">
        <f>_xlfn.TEXTBEFORE(mets2415[[#This Row],[name]],"_",-1)</f>
        <v>trnalys</v>
      </c>
      <c r="D83" t="str">
        <f>_xlfn.XLOOKUP(mets2415[[#This Row],[name w/o location]],metaboliteInfo[name w/o location],metaboliteInfo[suggested category],"")</f>
        <v>ignore</v>
      </c>
      <c r="E83" s="21">
        <f>_xlfn.XLOOKUP(mets2415[[#This Row],[name w/o location]],metaboliteInfo[name w/o location],metaboliteInfo[MW for biomass normalization (g/mol)],0)</f>
        <v>0</v>
      </c>
      <c r="F83" s="21">
        <f>_xlfn.NUMBERVALUE(SUBSTITUTE(_xlfn.TEXTAFTER(mets2415[[#This Row],[pasted JSON metabolite keys and values from GSM biomass rxn]],":"),",",""))</f>
        <v>0.18415200000000001</v>
      </c>
      <c r="G83" s="21" cm="1">
        <f t="array" ref="G83">_xlfn.LET(_xlpm.id,mets2415[[#This Row],[name w/o location]],IF(IsElementOfSet_DIY(_xlpm.id,{"atp","adp","h","pi","h2o"}),SIGN(mets2415[[#This Row],[raw (GSM) coefficient]])*(ABS(mets2415[[#This Row],[raw (GSM) coefficient]])-$J$2),mets2415[[#This Row],[raw (GSM) coefficient]]))</f>
        <v>0.18415200000000001</v>
      </c>
      <c r="H83" s="21">
        <f>mets2415[[#This Row],[coeff. w/o GAM]]</f>
        <v>0.18415200000000001</v>
      </c>
      <c r="I83" s="161">
        <f t="shared" si="2"/>
        <v>0.185702334173522</v>
      </c>
      <c r="J83" s="21" cm="1">
        <f t="array" ref="J83">_xlfn.LET(_xlpm.id,mets2415[[#This Row],[name w/o location]],_xlpm.oldcoeff,mets2415[[#This Row],[normalized coeffs]],_xlpm.gam,$J$2-$G$2,_xlfn.IFS(IFERROR(MATCH(_xlpm.id,{"atp","h2o"},0),0)&gt;0,_xlpm.oldcoeff-_xlpm.gam,IFERROR(MATCH(_xlpm.id,{"adp","h","pi"},0),0)&gt;0,_xlpm.oldcoeff+_xlpm.gam,TRUE,_xlpm.oldcoeff))</f>
        <v>0.185702334173522</v>
      </c>
      <c r="K83" t="str" cm="1">
        <f t="array" ref="K83">"BIOSYN-"&amp;_xlfn.IFS(IFERROR(MATCH(mets2415[[#This Row],[category]],{0,"0",""},0),0)&gt;0,mets2415[[#This Row],[name]],TRUE,mets2415[[#This Row],[category]]&amp;"-"&amp;mets2415[[#This Row],[name]])</f>
        <v>BIOSYN-ignore-trnalys_c</v>
      </c>
      <c r="L83" s="149" t="str" cm="1">
        <f t="array" ref="L83">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3" s="149" cm="1">
        <f t="array" ref="M8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8.1723915101296618E-2</v>
      </c>
      <c r="N83" s="149"/>
      <c r="O83" s="149"/>
      <c r="P83" s="149"/>
      <c r="Q83" s="149"/>
      <c r="R83" s="149"/>
      <c r="S83" s="149"/>
      <c r="T83" s="149"/>
      <c r="U83" s="149"/>
      <c r="V83" s="149"/>
    </row>
    <row r="84" spans="1:22" ht="16" x14ac:dyDescent="0.2">
      <c r="A84" s="144" t="s">
        <v>1110</v>
      </c>
      <c r="B84" t="str">
        <f>SUBSTITUTE(_xlfn.TEXTBEFORE(mets2415[[#This Row],[pasted JSON metabolite keys and values from GSM biomass rxn]],":"),CHAR(34),"")</f>
        <v>trnamet_c</v>
      </c>
      <c r="C84" t="str">
        <f>_xlfn.TEXTBEFORE(mets2415[[#This Row],[name]],"_",-1)</f>
        <v>trnamet</v>
      </c>
      <c r="D84" t="str">
        <f>_xlfn.XLOOKUP(mets2415[[#This Row],[name w/o location]],metaboliteInfo[name w/o location],metaboliteInfo[suggested category],"")</f>
        <v>ignore</v>
      </c>
      <c r="E84" s="21">
        <f>_xlfn.XLOOKUP(mets2415[[#This Row],[name w/o location]],metaboliteInfo[name w/o location],metaboliteInfo[MW for biomass normalization (g/mol)],0)</f>
        <v>0</v>
      </c>
      <c r="F84" s="21">
        <f>_xlfn.NUMBERVALUE(SUBSTITUTE(_xlfn.TEXTAFTER(mets2415[[#This Row],[pasted JSON metabolite keys and values from GSM biomass rxn]],":"),",",""))</f>
        <v>3.1953000000000002E-2</v>
      </c>
      <c r="G84" s="21" cm="1">
        <f t="array" ref="G84">_xlfn.LET(_xlpm.id,mets2415[[#This Row],[name w/o location]],IF(IsElementOfSet_DIY(_xlpm.id,{"atp","adp","h","pi","h2o"}),SIGN(mets2415[[#This Row],[raw (GSM) coefficient]])*(ABS(mets2415[[#This Row],[raw (GSM) coefficient]])-$J$2),mets2415[[#This Row],[raw (GSM) coefficient]]))</f>
        <v>3.1953000000000002E-2</v>
      </c>
      <c r="H84" s="21">
        <f>mets2415[[#This Row],[coeff. w/o GAM]]</f>
        <v>3.1953000000000002E-2</v>
      </c>
      <c r="I84" s="161">
        <f t="shared" si="2"/>
        <v>3.2222005103645618E-2</v>
      </c>
      <c r="J84" s="21" cm="1">
        <f t="array" ref="J84">_xlfn.LET(_xlpm.id,mets2415[[#This Row],[name w/o location]],_xlpm.oldcoeff,mets2415[[#This Row],[normalized coeffs]],_xlpm.gam,$J$2-$G$2,_xlfn.IFS(IFERROR(MATCH(_xlpm.id,{"atp","h2o"},0),0)&gt;0,_xlpm.oldcoeff-_xlpm.gam,IFERROR(MATCH(_xlpm.id,{"adp","h","pi"},0),0)&gt;0,_xlpm.oldcoeff+_xlpm.gam,TRUE,_xlpm.oldcoeff))</f>
        <v>3.2222005103645618E-2</v>
      </c>
      <c r="K84" t="str" cm="1">
        <f t="array" ref="K84">"BIOSYN-"&amp;_xlfn.IFS(IFERROR(MATCH(mets2415[[#This Row],[category]],{0,"0",""},0),0)&gt;0,mets2415[[#This Row],[name]],TRUE,mets2415[[#This Row],[category]]&amp;"-"&amp;mets2415[[#This Row],[name]])</f>
        <v>BIOSYN-ignore-trnamet_c</v>
      </c>
      <c r="L84" s="149" t="str" cm="1">
        <f t="array" ref="L84">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4" s="149" cm="1">
        <f t="array" ref="M8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1.4180265537337257E-2</v>
      </c>
      <c r="N84" s="149"/>
      <c r="O84" s="149"/>
      <c r="P84" s="149"/>
      <c r="Q84" s="149"/>
      <c r="R84" s="149"/>
      <c r="S84" s="149"/>
      <c r="T84" s="149"/>
      <c r="U84" s="149"/>
      <c r="V84" s="149"/>
    </row>
    <row r="85" spans="1:22" ht="16" x14ac:dyDescent="0.2">
      <c r="A85" s="144" t="s">
        <v>1111</v>
      </c>
      <c r="B85" t="str">
        <f>SUBSTITUTE(_xlfn.TEXTBEFORE(mets2415[[#This Row],[pasted JSON metabolite keys and values from GSM biomass rxn]],":"),CHAR(34),"")</f>
        <v>trnaphe_c</v>
      </c>
      <c r="C85" t="str">
        <f>_xlfn.TEXTBEFORE(mets2415[[#This Row],[name]],"_",-1)</f>
        <v>trnaphe</v>
      </c>
      <c r="D85" t="str">
        <f>_xlfn.XLOOKUP(mets2415[[#This Row],[name w/o location]],metaboliteInfo[name w/o location],metaboliteInfo[suggested category],"")</f>
        <v>ignore</v>
      </c>
      <c r="E85" s="21">
        <f>_xlfn.XLOOKUP(mets2415[[#This Row],[name w/o location]],metaboliteInfo[name w/o location],metaboliteInfo[MW for biomass normalization (g/mol)],0)</f>
        <v>0</v>
      </c>
      <c r="F85" s="21">
        <f>_xlfn.NUMBERVALUE(SUBSTITUTE(_xlfn.TEXTAFTER(mets2415[[#This Row],[pasted JSON metabolite keys and values from GSM biomass rxn]],":"),",",""))</f>
        <v>0.10539</v>
      </c>
      <c r="G85" s="21" cm="1">
        <f t="array" ref="G85">_xlfn.LET(_xlpm.id,mets2415[[#This Row],[name w/o location]],IF(IsElementOfSet_DIY(_xlpm.id,{"atp","adp","h","pi","h2o"}),SIGN(mets2415[[#This Row],[raw (GSM) coefficient]])*(ABS(mets2415[[#This Row],[raw (GSM) coefficient]])-$J$2),mets2415[[#This Row],[raw (GSM) coefficient]]))</f>
        <v>0.10539</v>
      </c>
      <c r="H85" s="21">
        <f>mets2415[[#This Row],[coeff. w/o GAM]]</f>
        <v>0.10539</v>
      </c>
      <c r="I85" s="161">
        <f t="shared" si="2"/>
        <v>0.10627725465130697</v>
      </c>
      <c r="J85" s="21" cm="1">
        <f t="array" ref="J85">_xlfn.LET(_xlpm.id,mets2415[[#This Row],[name w/o location]],_xlpm.oldcoeff,mets2415[[#This Row],[normalized coeffs]],_xlpm.gam,$J$2-$G$2,_xlfn.IFS(IFERROR(MATCH(_xlpm.id,{"atp","h2o"},0),0)&gt;0,_xlpm.oldcoeff-_xlpm.gam,IFERROR(MATCH(_xlpm.id,{"adp","h","pi"},0),0)&gt;0,_xlpm.oldcoeff+_xlpm.gam,TRUE,_xlpm.oldcoeff))</f>
        <v>0.10627725465130697</v>
      </c>
      <c r="K85" t="str" cm="1">
        <f t="array" ref="K85">"BIOSYN-"&amp;_xlfn.IFS(IFERROR(MATCH(mets2415[[#This Row],[category]],{0,"0",""},0),0)&gt;0,mets2415[[#This Row],[name]],TRUE,mets2415[[#This Row],[category]]&amp;"-"&amp;mets2415[[#This Row],[name]])</f>
        <v>BIOSYN-ignore-trnaphe_c</v>
      </c>
      <c r="L85" s="149" t="str" cm="1">
        <f t="array" ref="L85">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5" s="149" cm="1">
        <f t="array" ref="M8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4.6770512470815685E-2</v>
      </c>
      <c r="N85" s="149"/>
      <c r="O85" s="149"/>
      <c r="P85" s="149"/>
      <c r="Q85" s="149"/>
      <c r="R85" s="149"/>
      <c r="S85" s="149"/>
      <c r="T85" s="149"/>
      <c r="U85" s="149"/>
      <c r="V85" s="149"/>
    </row>
    <row r="86" spans="1:22" ht="16" x14ac:dyDescent="0.2">
      <c r="A86" s="144" t="s">
        <v>1112</v>
      </c>
      <c r="B86" t="str">
        <f>SUBSTITUTE(_xlfn.TEXTBEFORE(mets2415[[#This Row],[pasted JSON metabolite keys and values from GSM biomass rxn]],":"),CHAR(34),"")</f>
        <v>trnapro_c</v>
      </c>
      <c r="C86" t="str">
        <f>_xlfn.TEXTBEFORE(mets2415[[#This Row],[name]],"_",-1)</f>
        <v>trnapro</v>
      </c>
      <c r="D86" t="str">
        <f>_xlfn.XLOOKUP(mets2415[[#This Row],[name w/o location]],metaboliteInfo[name w/o location],metaboliteInfo[suggested category],"")</f>
        <v>ignore</v>
      </c>
      <c r="E86" s="21">
        <f>_xlfn.XLOOKUP(mets2415[[#This Row],[name w/o location]],metaboliteInfo[name w/o location],metaboliteInfo[MW for biomass normalization (g/mol)],0)</f>
        <v>0</v>
      </c>
      <c r="F86" s="21">
        <f>_xlfn.NUMBERVALUE(SUBSTITUTE(_xlfn.TEXTAFTER(mets2415[[#This Row],[pasted JSON metabolite keys and values from GSM biomass rxn]],":"),",",""))</f>
        <v>0.118283</v>
      </c>
      <c r="G86" s="21" cm="1">
        <f t="array" ref="G86">_xlfn.LET(_xlpm.id,mets2415[[#This Row],[name w/o location]],IF(IsElementOfSet_DIY(_xlpm.id,{"atp","adp","h","pi","h2o"}),SIGN(mets2415[[#This Row],[raw (GSM) coefficient]])*(ABS(mets2415[[#This Row],[raw (GSM) coefficient]])-$J$2),mets2415[[#This Row],[raw (GSM) coefficient]]))</f>
        <v>0.118283</v>
      </c>
      <c r="H86" s="21">
        <f>mets2415[[#This Row],[coeff. w/o GAM]]</f>
        <v>0.118283</v>
      </c>
      <c r="I86" s="161">
        <f t="shared" si="2"/>
        <v>0.11927879791176149</v>
      </c>
      <c r="J86" s="21" cm="1">
        <f t="array" ref="J86">_xlfn.LET(_xlpm.id,mets2415[[#This Row],[name w/o location]],_xlpm.oldcoeff,mets2415[[#This Row],[normalized coeffs]],_xlpm.gam,$J$2-$G$2,_xlfn.IFS(IFERROR(MATCH(_xlpm.id,{"atp","h2o"},0),0)&gt;0,_xlpm.oldcoeff-_xlpm.gam,IFERROR(MATCH(_xlpm.id,{"adp","h","pi"},0),0)&gt;0,_xlpm.oldcoeff+_xlpm.gam,TRUE,_xlpm.oldcoeff))</f>
        <v>0.11927879791176149</v>
      </c>
      <c r="K86" t="str" cm="1">
        <f t="array" ref="K86">"BIOSYN-"&amp;_xlfn.IFS(IFERROR(MATCH(mets2415[[#This Row],[category]],{0,"0",""},0),0)&gt;0,mets2415[[#This Row],[name]],TRUE,mets2415[[#This Row],[category]]&amp;"-"&amp;mets2415[[#This Row],[name]])</f>
        <v>BIOSYN-ignore-trnapro_c</v>
      </c>
      <c r="L86" s="149" t="str" cm="1">
        <f t="array" ref="L86">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6" s="149" cm="1">
        <f t="array" ref="M8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5.2492233860759963E-2</v>
      </c>
      <c r="N86" s="149"/>
      <c r="O86" s="149"/>
      <c r="P86" s="149"/>
      <c r="Q86" s="149"/>
      <c r="R86" s="149"/>
      <c r="S86" s="149"/>
      <c r="T86" s="149"/>
      <c r="U86" s="149"/>
      <c r="V86" s="149"/>
    </row>
    <row r="87" spans="1:22" ht="16" x14ac:dyDescent="0.2">
      <c r="A87" s="144" t="s">
        <v>1113</v>
      </c>
      <c r="B87" t="str">
        <f>SUBSTITUTE(_xlfn.TEXTBEFORE(mets2415[[#This Row],[pasted JSON metabolite keys and values from GSM biomass rxn]],":"),CHAR(34),"")</f>
        <v>trnaser_c</v>
      </c>
      <c r="C87" t="str">
        <f>_xlfn.TEXTBEFORE(mets2415[[#This Row],[name]],"_",-1)</f>
        <v>trnaser</v>
      </c>
      <c r="D87" t="str">
        <f>_xlfn.XLOOKUP(mets2415[[#This Row],[name w/o location]],metaboliteInfo[name w/o location],metaboliteInfo[suggested category],"")</f>
        <v>ignore</v>
      </c>
      <c r="E87" s="21">
        <f>_xlfn.XLOOKUP(mets2415[[#This Row],[name w/o location]],metaboliteInfo[name w/o location],metaboliteInfo[MW for biomass normalization (g/mol)],0)</f>
        <v>0</v>
      </c>
      <c r="F87" s="21">
        <f>_xlfn.NUMBERVALUE(SUBSTITUTE(_xlfn.TEXTAFTER(mets2415[[#This Row],[pasted JSON metabolite keys and values from GSM biomass rxn]],":"),",",""))</f>
        <v>0.149396</v>
      </c>
      <c r="G87" s="21" cm="1">
        <f t="array" ref="G87">_xlfn.LET(_xlpm.id,mets2415[[#This Row],[name w/o location]],IF(IsElementOfSet_DIY(_xlpm.id,{"atp","adp","h","pi","h2o"}),SIGN(mets2415[[#This Row],[raw (GSM) coefficient]])*(ABS(mets2415[[#This Row],[raw (GSM) coefficient]])-$J$2),mets2415[[#This Row],[raw (GSM) coefficient]]))</f>
        <v>0.149396</v>
      </c>
      <c r="H87" s="21">
        <f>mets2415[[#This Row],[coeff. w/o GAM]]</f>
        <v>0.149396</v>
      </c>
      <c r="I87" s="161">
        <f t="shared" si="2"/>
        <v>0.1506537312447733</v>
      </c>
      <c r="J87" s="21" cm="1">
        <f t="array" ref="J87">_xlfn.LET(_xlpm.id,mets2415[[#This Row],[name w/o location]],_xlpm.oldcoeff,mets2415[[#This Row],[normalized coeffs]],_xlpm.gam,$J$2-$G$2,_xlfn.IFS(IFERROR(MATCH(_xlpm.id,{"atp","h2o"},0),0)&gt;0,_xlpm.oldcoeff-_xlpm.gam,IFERROR(MATCH(_xlpm.id,{"adp","h","pi"},0),0)&gt;0,_xlpm.oldcoeff+_xlpm.gam,TRUE,_xlpm.oldcoeff))</f>
        <v>0.1506537312447733</v>
      </c>
      <c r="K87" t="str" cm="1">
        <f t="array" ref="K87">"BIOSYN-"&amp;_xlfn.IFS(IFERROR(MATCH(mets2415[[#This Row],[category]],{0,"0",""},0),0)&gt;0,mets2415[[#This Row],[name]],TRUE,mets2415[[#This Row],[category]]&amp;"-"&amp;mets2415[[#This Row],[name]])</f>
        <v>BIOSYN-ignore-trnaser_c</v>
      </c>
      <c r="L87" s="149" t="str" cm="1">
        <f t="array" ref="L87">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7" s="149" cm="1">
        <f t="array" ref="M8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6.6299719907865845E-2</v>
      </c>
      <c r="N87" s="149"/>
      <c r="O87" s="149"/>
      <c r="P87" s="149"/>
      <c r="Q87" s="149"/>
      <c r="R87" s="149"/>
      <c r="S87" s="149"/>
      <c r="T87" s="149"/>
      <c r="U87" s="149"/>
      <c r="V87" s="149"/>
    </row>
    <row r="88" spans="1:22" ht="16" x14ac:dyDescent="0.2">
      <c r="A88" s="144" t="s">
        <v>1114</v>
      </c>
      <c r="B88" t="str">
        <f>SUBSTITUTE(_xlfn.TEXTBEFORE(mets2415[[#This Row],[pasted JSON metabolite keys and values from GSM biomass rxn]],":"),CHAR(34),"")</f>
        <v>trnathr_c</v>
      </c>
      <c r="C88" t="str">
        <f>_xlfn.TEXTBEFORE(mets2415[[#This Row],[name]],"_",-1)</f>
        <v>trnathr</v>
      </c>
      <c r="D88" t="str">
        <f>_xlfn.XLOOKUP(mets2415[[#This Row],[name w/o location]],metaboliteInfo[name w/o location],metaboliteInfo[suggested category],"")</f>
        <v>ignore</v>
      </c>
      <c r="E88" s="21">
        <f>_xlfn.XLOOKUP(mets2415[[#This Row],[name w/o location]],metaboliteInfo[name w/o location],metaboliteInfo[MW for biomass normalization (g/mol)],0)</f>
        <v>0</v>
      </c>
      <c r="F88" s="21">
        <f>_xlfn.NUMBERVALUE(SUBSTITUTE(_xlfn.TEXTAFTER(mets2415[[#This Row],[pasted JSON metabolite keys and values from GSM biomass rxn]],":"),",",""))</f>
        <v>0.15612300000000001</v>
      </c>
      <c r="G88" s="21" cm="1">
        <f t="array" ref="G88">_xlfn.LET(_xlpm.id,mets2415[[#This Row],[name w/o location]],IF(IsElementOfSet_DIY(_xlpm.id,{"atp","adp","h","pi","h2o"}),SIGN(mets2415[[#This Row],[raw (GSM) coefficient]])*(ABS(mets2415[[#This Row],[raw (GSM) coefficient]])-$J$2),mets2415[[#This Row],[raw (GSM) coefficient]]))</f>
        <v>0.15612300000000001</v>
      </c>
      <c r="H88" s="21">
        <f>mets2415[[#This Row],[coeff. w/o GAM]]</f>
        <v>0.15612300000000001</v>
      </c>
      <c r="I88" s="161">
        <f t="shared" si="2"/>
        <v>0.15743736434126579</v>
      </c>
      <c r="J88" s="21" cm="1">
        <f t="array" ref="J88">_xlfn.LET(_xlpm.id,mets2415[[#This Row],[name w/o location]],_xlpm.oldcoeff,mets2415[[#This Row],[normalized coeffs]],_xlpm.gam,$J$2-$G$2,_xlfn.IFS(IFERROR(MATCH(_xlpm.id,{"atp","h2o"},0),0)&gt;0,_xlpm.oldcoeff-_xlpm.gam,IFERROR(MATCH(_xlpm.id,{"adp","h","pi"},0),0)&gt;0,_xlpm.oldcoeff+_xlpm.gam,TRUE,_xlpm.oldcoeff))</f>
        <v>0.15743736434126579</v>
      </c>
      <c r="K88" t="str" cm="1">
        <f t="array" ref="K88">"BIOSYN-"&amp;_xlfn.IFS(IFERROR(MATCH(mets2415[[#This Row],[category]],{0,"0",""},0),0)&gt;0,mets2415[[#This Row],[name]],TRUE,mets2415[[#This Row],[category]]&amp;"-"&amp;mets2415[[#This Row],[name]])</f>
        <v>BIOSYN-ignore-trnathr_c</v>
      </c>
      <c r="L88" s="149" t="str" cm="1">
        <f t="array" ref="L88">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8" s="149" cm="1">
        <f t="array" ref="M88">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6.9285062325468813E-2</v>
      </c>
      <c r="N88" s="149"/>
      <c r="O88" s="149"/>
      <c r="P88" s="149"/>
      <c r="Q88" s="149"/>
      <c r="R88" s="149"/>
      <c r="S88" s="149"/>
      <c r="T88" s="149"/>
      <c r="U88" s="149"/>
      <c r="V88" s="149"/>
    </row>
    <row r="89" spans="1:22" ht="16" x14ac:dyDescent="0.2">
      <c r="A89" s="144" t="s">
        <v>1115</v>
      </c>
      <c r="B89" t="str">
        <f>SUBSTITUTE(_xlfn.TEXTBEFORE(mets2415[[#This Row],[pasted JSON metabolite keys and values from GSM biomass rxn]],":"),CHAR(34),"")</f>
        <v>trnatrp_c</v>
      </c>
      <c r="C89" t="str">
        <f>_xlfn.TEXTBEFORE(mets2415[[#This Row],[name]],"_",-1)</f>
        <v>trnatrp</v>
      </c>
      <c r="D89" t="str">
        <f>_xlfn.XLOOKUP(mets2415[[#This Row],[name w/o location]],metaboliteInfo[name w/o location],metaboliteInfo[suggested category],"")</f>
        <v>ignore</v>
      </c>
      <c r="E89" s="21">
        <f>_xlfn.XLOOKUP(mets2415[[#This Row],[name w/o location]],metaboliteInfo[name w/o location],metaboliteInfo[MW for biomass normalization (g/mol)],0)</f>
        <v>0</v>
      </c>
      <c r="F89" s="21">
        <f>_xlfn.NUMBERVALUE(SUBSTITUTE(_xlfn.TEXTAFTER(mets2415[[#This Row],[pasted JSON metabolite keys and values from GSM biomass rxn]],":"),",",""))</f>
        <v>1.8218999999999999E-2</v>
      </c>
      <c r="G89" s="21" cm="1">
        <f t="array" ref="G89">_xlfn.LET(_xlpm.id,mets2415[[#This Row],[name w/o location]],IF(IsElementOfSet_DIY(_xlpm.id,{"atp","adp","h","pi","h2o"}),SIGN(mets2415[[#This Row],[raw (GSM) coefficient]])*(ABS(mets2415[[#This Row],[raw (GSM) coefficient]])-$J$2),mets2415[[#This Row],[raw (GSM) coefficient]]))</f>
        <v>1.8218999999999999E-2</v>
      </c>
      <c r="H89" s="21">
        <f>mets2415[[#This Row],[coeff. w/o GAM]]</f>
        <v>1.8218999999999999E-2</v>
      </c>
      <c r="I89" s="161">
        <f t="shared" si="2"/>
        <v>1.8372381653782729E-2</v>
      </c>
      <c r="J89" s="21" cm="1">
        <f t="array" ref="J89">_xlfn.LET(_xlpm.id,mets2415[[#This Row],[name w/o location]],_xlpm.oldcoeff,mets2415[[#This Row],[normalized coeffs]],_xlpm.gam,$J$2-$G$2,_xlfn.IFS(IFERROR(MATCH(_xlpm.id,{"atp","h2o"},0),0)&gt;0,_xlpm.oldcoeff-_xlpm.gam,IFERROR(MATCH(_xlpm.id,{"adp","h","pi"},0),0)&gt;0,_xlpm.oldcoeff+_xlpm.gam,TRUE,_xlpm.oldcoeff))</f>
        <v>1.8372381653782729E-2</v>
      </c>
      <c r="K89" t="str" cm="1">
        <f t="array" ref="K89">"BIOSYN-"&amp;_xlfn.IFS(IFERROR(MATCH(mets2415[[#This Row],[category]],{0,"0",""},0),0)&gt;0,mets2415[[#This Row],[name]],TRUE,mets2415[[#This Row],[category]]&amp;"-"&amp;mets2415[[#This Row],[name]])</f>
        <v>BIOSYN-ignore-trnatrp_c</v>
      </c>
      <c r="L89" s="149" t="str" cm="1">
        <f t="array" ref="L89">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89" s="149" cm="1">
        <f t="array" ref="M89">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8.0853208720541893E-3</v>
      </c>
      <c r="N89" s="149"/>
      <c r="O89" s="149"/>
      <c r="P89" s="149"/>
      <c r="Q89" s="149"/>
      <c r="R89" s="149"/>
      <c r="S89" s="149"/>
      <c r="T89" s="149"/>
      <c r="U89" s="149"/>
      <c r="V89" s="149"/>
    </row>
    <row r="90" spans="1:22" ht="16" x14ac:dyDescent="0.2">
      <c r="A90" s="144" t="s">
        <v>1116</v>
      </c>
      <c r="B90" t="str">
        <f>SUBSTITUTE(_xlfn.TEXTBEFORE(mets2415[[#This Row],[pasted JSON metabolite keys and values from GSM biomass rxn]],":"),CHAR(34),"")</f>
        <v>trnatyr_c</v>
      </c>
      <c r="C90" t="str">
        <f>_xlfn.TEXTBEFORE(mets2415[[#This Row],[name]],"_",-1)</f>
        <v>trnatyr</v>
      </c>
      <c r="D90" t="str">
        <f>_xlfn.XLOOKUP(mets2415[[#This Row],[name w/o location]],metaboliteInfo[name w/o location],metaboliteInfo[suggested category],"")</f>
        <v>ignore</v>
      </c>
      <c r="E90" s="21">
        <f>_xlfn.XLOOKUP(mets2415[[#This Row],[name w/o location]],metaboliteInfo[name w/o location],metaboliteInfo[MW for biomass normalization (g/mol)],0)</f>
        <v>0</v>
      </c>
      <c r="F90" s="21">
        <f>_xlfn.NUMBERVALUE(SUBSTITUTE(_xlfn.TEXTAFTER(mets2415[[#This Row],[pasted JSON metabolite keys and values from GSM biomass rxn]],":"),",",""))</f>
        <v>5.4937E-2</v>
      </c>
      <c r="G90" s="21" cm="1">
        <f t="array" ref="G90">_xlfn.LET(_xlpm.id,mets2415[[#This Row],[name w/o location]],IF(IsElementOfSet_DIY(_xlpm.id,{"atp","adp","h","pi","h2o"}),SIGN(mets2415[[#This Row],[raw (GSM) coefficient]])*(ABS(mets2415[[#This Row],[raw (GSM) coefficient]])-$J$2),mets2415[[#This Row],[raw (GSM) coefficient]]))</f>
        <v>5.4937E-2</v>
      </c>
      <c r="H90" s="21">
        <f>mets2415[[#This Row],[coeff. w/o GAM]]</f>
        <v>5.4937E-2</v>
      </c>
      <c r="I90" s="161">
        <f t="shared" si="2"/>
        <v>5.5399502218226128E-2</v>
      </c>
      <c r="J90" s="21" cm="1">
        <f t="array" ref="J90">_xlfn.LET(_xlpm.id,mets2415[[#This Row],[name w/o location]],_xlpm.oldcoeff,mets2415[[#This Row],[normalized coeffs]],_xlpm.gam,$J$2-$G$2,_xlfn.IFS(IFERROR(MATCH(_xlpm.id,{"atp","h2o"},0),0)&gt;0,_xlpm.oldcoeff-_xlpm.gam,IFERROR(MATCH(_xlpm.id,{"adp","h","pi"},0),0)&gt;0,_xlpm.oldcoeff+_xlpm.gam,TRUE,_xlpm.oldcoeff))</f>
        <v>5.5399502218226128E-2</v>
      </c>
      <c r="K90" t="str" cm="1">
        <f t="array" ref="K90">"BIOSYN-"&amp;_xlfn.IFS(IFERROR(MATCH(mets2415[[#This Row],[category]],{0,"0",""},0),0)&gt;0,mets2415[[#This Row],[name]],TRUE,mets2415[[#This Row],[category]]&amp;"-"&amp;mets2415[[#This Row],[name]])</f>
        <v>BIOSYN-ignore-trnatyr_c</v>
      </c>
      <c r="L90" s="149" t="str" cm="1">
        <f t="array" ref="L90">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90" s="149" cm="1">
        <f t="array" ref="M90">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2.4380222446239695E-2</v>
      </c>
      <c r="N90" s="149"/>
      <c r="O90" s="149"/>
      <c r="P90" s="149"/>
      <c r="Q90" s="149"/>
      <c r="R90" s="149"/>
      <c r="S90" s="149"/>
      <c r="T90" s="149"/>
      <c r="U90" s="149"/>
      <c r="V90" s="149"/>
    </row>
    <row r="91" spans="1:22" ht="16" x14ac:dyDescent="0.2">
      <c r="A91" s="144" t="s">
        <v>1117</v>
      </c>
      <c r="B91" t="str">
        <f>SUBSTITUTE(_xlfn.TEXTBEFORE(mets2415[[#This Row],[pasted JSON metabolite keys and values from GSM biomass rxn]],":"),CHAR(34),"")</f>
        <v>trnaval_c</v>
      </c>
      <c r="C91" t="str">
        <f>_xlfn.TEXTBEFORE(mets2415[[#This Row],[name]],"_",-1)</f>
        <v>trnaval</v>
      </c>
      <c r="D91" t="str">
        <f>_xlfn.XLOOKUP(mets2415[[#This Row],[name w/o location]],metaboliteInfo[name w/o location],metaboliteInfo[suggested category],"")</f>
        <v>ignore</v>
      </c>
      <c r="E91" s="21">
        <f>_xlfn.XLOOKUP(mets2415[[#This Row],[name w/o location]],metaboliteInfo[name w/o location],metaboliteInfo[MW for biomass normalization (g/mol)],0)</f>
        <v>0</v>
      </c>
      <c r="F91" s="21">
        <f>_xlfn.NUMBERVALUE(SUBSTITUTE(_xlfn.TEXTAFTER(mets2415[[#This Row],[pasted JSON metabolite keys and values from GSM biomass rxn]],":"),",",""))</f>
        <v>0.205454</v>
      </c>
      <c r="G91" s="21" cm="1">
        <f t="array" ref="G91">_xlfn.LET(_xlpm.id,mets2415[[#This Row],[name w/o location]],IF(IsElementOfSet_DIY(_xlpm.id,{"atp","adp","h","pi","h2o"}),SIGN(mets2415[[#This Row],[raw (GSM) coefficient]])*(ABS(mets2415[[#This Row],[raw (GSM) coefficient]])-$J$2),mets2415[[#This Row],[raw (GSM) coefficient]]))</f>
        <v>0.205454</v>
      </c>
      <c r="H91" s="21">
        <f>mets2415[[#This Row],[coeff. w/o GAM]]</f>
        <v>0.205454</v>
      </c>
      <c r="I91" s="161">
        <f t="shared" si="2"/>
        <v>0.20718367090928572</v>
      </c>
      <c r="J91" s="21" cm="1">
        <f t="array" ref="J91">_xlfn.LET(_xlpm.id,mets2415[[#This Row],[name w/o location]],_xlpm.oldcoeff,mets2415[[#This Row],[normalized coeffs]],_xlpm.gam,$J$2-$G$2,_xlfn.IFS(IFERROR(MATCH(_xlpm.id,{"atp","h2o"},0),0)&gt;0,_xlpm.oldcoeff-_xlpm.gam,IFERROR(MATCH(_xlpm.id,{"adp","h","pi"},0),0)&gt;0,_xlpm.oldcoeff+_xlpm.gam,TRUE,_xlpm.oldcoeff))</f>
        <v>0.20718367090928572</v>
      </c>
      <c r="K91" t="str" cm="1">
        <f t="array" ref="K91">"BIOSYN-"&amp;_xlfn.IFS(IFERROR(MATCH(mets2415[[#This Row],[category]],{0,"0",""},0),0)&gt;0,mets2415[[#This Row],[name]],TRUE,mets2415[[#This Row],[category]]&amp;"-"&amp;mets2415[[#This Row],[name]])</f>
        <v>BIOSYN-ignore-trnaval_c</v>
      </c>
      <c r="L91" s="149" t="str" cm="1">
        <f t="array" ref="L91">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91" s="149" cm="1">
        <f t="array" ref="M91">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9.1177425459521455E-2</v>
      </c>
      <c r="N91" s="149"/>
      <c r="O91" s="149"/>
      <c r="P91" s="149"/>
      <c r="Q91" s="149"/>
      <c r="R91" s="149"/>
      <c r="S91" s="149"/>
      <c r="T91" s="149"/>
      <c r="U91" s="149"/>
      <c r="V91" s="149"/>
    </row>
    <row r="92" spans="1:22" ht="16" x14ac:dyDescent="0.2">
      <c r="A92" s="144" t="s">
        <v>1118</v>
      </c>
      <c r="B92" t="str">
        <f>SUBSTITUTE(_xlfn.TEXTBEFORE(mets2415[[#This Row],[pasted JSON metabolite keys and values from GSM biomass rxn]],":"),CHAR(34),"")</f>
        <v>trptrna_c</v>
      </c>
      <c r="C92" t="str">
        <f>_xlfn.TEXTBEFORE(mets2415[[#This Row],[name]],"_",-1)</f>
        <v>trptrna</v>
      </c>
      <c r="D92" t="str">
        <f>_xlfn.XLOOKUP(mets2415[[#This Row],[name w/o location]],metaboliteInfo[name w/o location],metaboliteInfo[suggested category],"")</f>
        <v>PROT</v>
      </c>
      <c r="E92" s="21">
        <f>_xlfn.XLOOKUP(mets2415[[#This Row],[name w/o location]],metaboliteInfo[name w/o location],metaboliteInfo[MW for biomass normalization (g/mol)],0)</f>
        <v>187.21784</v>
      </c>
      <c r="F92" s="21">
        <f>_xlfn.NUMBERVALUE(SUBSTITUTE(_xlfn.TEXTAFTER(mets2415[[#This Row],[pasted JSON metabolite keys and values from GSM biomass rxn]],":"),",",""))</f>
        <v>-1.8218999999999999E-2</v>
      </c>
      <c r="G92" s="21" cm="1">
        <f t="array" ref="G92">_xlfn.LET(_xlpm.id,mets2415[[#This Row],[name w/o location]],IF(IsElementOfSet_DIY(_xlpm.id,{"atp","adp","h","pi","h2o"}),SIGN(mets2415[[#This Row],[raw (GSM) coefficient]])*(ABS(mets2415[[#This Row],[raw (GSM) coefficient]])-$J$2),mets2415[[#This Row],[raw (GSM) coefficient]]))</f>
        <v>-1.8218999999999999E-2</v>
      </c>
      <c r="H92" s="21">
        <f>mets2415[[#This Row],[coeff. w/o GAM]]</f>
        <v>-1.8218999999999999E-2</v>
      </c>
      <c r="I92" s="161">
        <f t="shared" si="2"/>
        <v>-1.8372381653782729E-2</v>
      </c>
      <c r="J92" s="21" cm="1">
        <f t="array" ref="J92">_xlfn.LET(_xlpm.id,mets2415[[#This Row],[name w/o location]],_xlpm.oldcoeff,mets2415[[#This Row],[normalized coeffs]],_xlpm.gam,$J$2-$G$2,_xlfn.IFS(IFERROR(MATCH(_xlpm.id,{"atp","h2o"},0),0)&gt;0,_xlpm.oldcoeff-_xlpm.gam,IFERROR(MATCH(_xlpm.id,{"adp","h","pi"},0),0)&gt;0,_xlpm.oldcoeff+_xlpm.gam,TRUE,_xlpm.oldcoeff))</f>
        <v>-1.8372381653782729E-2</v>
      </c>
      <c r="K92" t="str" cm="1">
        <f t="array" ref="K92">"BIOSYN-"&amp;_xlfn.IFS(IFERROR(MATCH(mets2415[[#This Row],[category]],{0,"0",""},0),0)&gt;0,mets2415[[#This Row],[name]],TRUE,mets2415[[#This Row],[category]]&amp;"-"&amp;mets2415[[#This Row],[name]])</f>
        <v>BIOSYN-PROT-trptrna_c</v>
      </c>
      <c r="L92" s="149" t="str" cm="1">
        <f t="array" ref="L92">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92" s="149" cm="1">
        <f t="array" ref="M92">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-8.0853208720541893E-3</v>
      </c>
      <c r="N92" s="149"/>
      <c r="O92" s="149"/>
      <c r="P92" s="149"/>
      <c r="Q92" s="149"/>
      <c r="R92" s="149"/>
      <c r="S92" s="149"/>
      <c r="T92" s="149"/>
      <c r="U92" s="149"/>
      <c r="V92" s="149"/>
    </row>
    <row r="93" spans="1:22" ht="16" x14ac:dyDescent="0.2">
      <c r="A93" s="144" t="s">
        <v>1119</v>
      </c>
      <c r="B93" t="str">
        <f>SUBSTITUTE(_xlfn.TEXTBEFORE(mets2415[[#This Row],[pasted JSON metabolite keys and values from GSM biomass rxn]],":"),CHAR(34),"")</f>
        <v>ttcosa_c</v>
      </c>
      <c r="C93" t="str">
        <f>_xlfn.TEXTBEFORE(mets2415[[#This Row],[name]],"_",-1)</f>
        <v>ttcosa</v>
      </c>
      <c r="D93" t="str">
        <f>_xlfn.XLOOKUP(mets2415[[#This Row],[name w/o location]],metaboliteInfo[name w/o location],metaboliteInfo[suggested category],"")</f>
        <v>LIPID</v>
      </c>
      <c r="E93" s="21">
        <f>_xlfn.XLOOKUP(mets2415[[#This Row],[name w/o location]],metaboliteInfo[name w/o location],metaboliteInfo[MW for biomass normalization (g/mol)],0)</f>
        <v>367.62797999999998</v>
      </c>
      <c r="F93" s="21">
        <f>_xlfn.NUMBERVALUE(SUBSTITUTE(_xlfn.TEXTAFTER(mets2415[[#This Row],[pasted JSON metabolite keys and values from GSM biomass rxn]],":"),",",""))</f>
        <v>-1.2489999999999999E-3</v>
      </c>
      <c r="G93" s="21" cm="1">
        <f t="array" ref="G93">_xlfn.LET(_xlpm.id,mets2415[[#This Row],[name w/o location]],IF(IsElementOfSet_DIY(_xlpm.id,{"atp","adp","h","pi","h2o"}),SIGN(mets2415[[#This Row],[raw (GSM) coefficient]])*(ABS(mets2415[[#This Row],[raw (GSM) coefficient]])-$J$2),mets2415[[#This Row],[raw (GSM) coefficient]]))</f>
        <v>-1.2489999999999999E-3</v>
      </c>
      <c r="H93" s="21">
        <f>mets2415[[#This Row],[coeff. w/o GAM]]</f>
        <v>-1.2489999999999999E-3</v>
      </c>
      <c r="I93" s="161">
        <f t="shared" si="2"/>
        <v>-1.259515049430519E-3</v>
      </c>
      <c r="J93" s="21" cm="1">
        <f t="array" ref="J93">_xlfn.LET(_xlpm.id,mets2415[[#This Row],[name w/o location]],_xlpm.oldcoeff,mets2415[[#This Row],[normalized coeffs]],_xlpm.gam,$J$2-$G$2,_xlfn.IFS(IFERROR(MATCH(_xlpm.id,{"atp","h2o"},0),0)&gt;0,_xlpm.oldcoeff-_xlpm.gam,IFERROR(MATCH(_xlpm.id,{"adp","h","pi"},0),0)&gt;0,_xlpm.oldcoeff+_xlpm.gam,TRUE,_xlpm.oldcoeff))</f>
        <v>-1.259515049430519E-3</v>
      </c>
      <c r="K93" t="str" cm="1">
        <f t="array" ref="K93">"BIOSYN-"&amp;_xlfn.IFS(IFERROR(MATCH(mets2415[[#This Row],[category]],{0,"0",""},0),0)&gt;0,mets2415[[#This Row],[name]],TRUE,mets2415[[#This Row],[category]]&amp;"-"&amp;mets2415[[#This Row],[name]])</f>
        <v>BIOSYN-LIPID-ttcosa_c</v>
      </c>
      <c r="L93" s="149" t="str" cm="1">
        <f t="array" ref="L93">IF(IsElementOfSet_DIY(mets2415[[#This Row],[category]],{"ignore","PROT"}),"",_xlfn.LET(_xlpm.mw,mets2415[[#This Row],[MW for biomass normalization (g/mol)]],"MET-"&amp;mets2415[[#This Row],[name]]&amp;" --&gt; "&amp;IF((mets2415[[#This Row],[category]]="DNA")+(mets2415[[#This Row],[category]]="RNA"),"MET-ppi_c + ","")&amp;ROUND(ABS(_xlpm.mw/1000),6)&amp;" BIO-"&amp;mets2415[[#This Row],[name]]))</f>
        <v>MET-ttcosa_c --&gt; 0.367628 BIO-ttcosa_c</v>
      </c>
      <c r="M93" s="149" cm="1">
        <f t="array" ref="M93">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-8.0660119444987677E-4</v>
      </c>
      <c r="N93" s="149"/>
      <c r="O93" s="149"/>
      <c r="P93" s="149"/>
      <c r="Q93" s="149"/>
      <c r="R93" s="149"/>
      <c r="S93" s="149"/>
      <c r="T93" s="149"/>
      <c r="U93" s="149"/>
      <c r="V93" s="149"/>
    </row>
    <row r="94" spans="1:22" ht="16" x14ac:dyDescent="0.2">
      <c r="A94" s="144" t="s">
        <v>1120</v>
      </c>
      <c r="B94" t="str">
        <f>SUBSTITUTE(_xlfn.TEXTBEFORE(mets2415[[#This Row],[pasted JSON metabolite keys and values from GSM biomass rxn]],":"),CHAR(34),"")</f>
        <v>tyrtrna_c</v>
      </c>
      <c r="C94" t="str">
        <f>_xlfn.TEXTBEFORE(mets2415[[#This Row],[name]],"_",-1)</f>
        <v>tyrtrna</v>
      </c>
      <c r="D94" t="str">
        <f>_xlfn.XLOOKUP(mets2415[[#This Row],[name w/o location]],metaboliteInfo[name w/o location],metaboliteInfo[suggested category],"")</f>
        <v>PROT</v>
      </c>
      <c r="E94" s="21">
        <f>_xlfn.XLOOKUP(mets2415[[#This Row],[name w/o location]],metaboliteInfo[name w/o location],metaboliteInfo[MW for biomass normalization (g/mol)],0)</f>
        <v>164.18119999999999</v>
      </c>
      <c r="F94" s="21">
        <f>_xlfn.NUMBERVALUE(SUBSTITUTE(_xlfn.TEXTAFTER(mets2415[[#This Row],[pasted JSON metabolite keys and values from GSM biomass rxn]],":"),",",""))</f>
        <v>-5.4937E-2</v>
      </c>
      <c r="G94" s="21" cm="1">
        <f t="array" ref="G94">_xlfn.LET(_xlpm.id,mets2415[[#This Row],[name w/o location]],IF(IsElementOfSet_DIY(_xlpm.id,{"atp","adp","h","pi","h2o"}),SIGN(mets2415[[#This Row],[raw (GSM) coefficient]])*(ABS(mets2415[[#This Row],[raw (GSM) coefficient]])-$J$2),mets2415[[#This Row],[raw (GSM) coefficient]]))</f>
        <v>-5.4937E-2</v>
      </c>
      <c r="H94" s="21">
        <f>mets2415[[#This Row],[coeff. w/o GAM]]</f>
        <v>-5.4937E-2</v>
      </c>
      <c r="I94" s="161">
        <f t="shared" si="2"/>
        <v>-5.5399502218226128E-2</v>
      </c>
      <c r="J94" s="21" cm="1">
        <f t="array" ref="J94">_xlfn.LET(_xlpm.id,mets2415[[#This Row],[name w/o location]],_xlpm.oldcoeff,mets2415[[#This Row],[normalized coeffs]],_xlpm.gam,$J$2-$G$2,_xlfn.IFS(IFERROR(MATCH(_xlpm.id,{"atp","h2o"},0),0)&gt;0,_xlpm.oldcoeff-_xlpm.gam,IFERROR(MATCH(_xlpm.id,{"adp","h","pi"},0),0)&gt;0,_xlpm.oldcoeff+_xlpm.gam,TRUE,_xlpm.oldcoeff))</f>
        <v>-5.5399502218226128E-2</v>
      </c>
      <c r="K94" t="str" cm="1">
        <f t="array" ref="K94">"BIOSYN-"&amp;_xlfn.IFS(IFERROR(MATCH(mets2415[[#This Row],[category]],{0,"0",""},0),0)&gt;0,mets2415[[#This Row],[name]],TRUE,mets2415[[#This Row],[category]]&amp;"-"&amp;mets2415[[#This Row],[name]])</f>
        <v>BIOSYN-PROT-tyrtrna_c</v>
      </c>
      <c r="L94" s="149" t="str" cm="1">
        <f t="array" ref="L94">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94" s="149" cm="1">
        <f t="array" ref="M94">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-2.4380222446239695E-2</v>
      </c>
      <c r="N94" s="149"/>
      <c r="O94" s="149"/>
      <c r="P94" s="149"/>
      <c r="Q94" s="149"/>
      <c r="R94" s="149"/>
      <c r="S94" s="149"/>
      <c r="T94" s="149"/>
      <c r="U94" s="149"/>
      <c r="V94" s="149"/>
    </row>
    <row r="95" spans="1:22" ht="16" x14ac:dyDescent="0.2">
      <c r="A95" s="144" t="s">
        <v>1121</v>
      </c>
      <c r="B95" t="str">
        <f>SUBSTITUTE(_xlfn.TEXTBEFORE(mets2415[[#This Row],[pasted JSON metabolite keys and values from GSM biomass rxn]],":"),CHAR(34),"")</f>
        <v>utp_c</v>
      </c>
      <c r="C95" t="str">
        <f>_xlfn.TEXTBEFORE(mets2415[[#This Row],[name]],"_",-1)</f>
        <v>utp</v>
      </c>
      <c r="D95" t="str">
        <f>_xlfn.XLOOKUP(mets2415[[#This Row],[name w/o location]],metaboliteInfo[name w/o location],metaboliteInfo[suggested category],"")</f>
        <v>RNA</v>
      </c>
      <c r="E95" s="21">
        <f>_xlfn.XLOOKUP(mets2415[[#This Row],[name w/o location]],metaboliteInfo[name w/o location],metaboliteInfo[MW for biomass normalization (g/mol)],0)</f>
        <v>305.15806099999998</v>
      </c>
      <c r="F95" s="21">
        <f>_xlfn.NUMBERVALUE(SUBSTITUTE(_xlfn.TEXTAFTER(mets2415[[#This Row],[pasted JSON metabolite keys and values from GSM biomass rxn]],":"),",",""))</f>
        <v>-2.5756999999999999E-2</v>
      </c>
      <c r="G95" s="21" cm="1">
        <f t="array" ref="G95">_xlfn.LET(_xlpm.id,mets2415[[#This Row],[name w/o location]],IF(IsElementOfSet_DIY(_xlpm.id,{"atp","adp","h","pi","h2o"}),SIGN(mets2415[[#This Row],[raw (GSM) coefficient]])*(ABS(mets2415[[#This Row],[raw (GSM) coefficient]])-$J$2),mets2415[[#This Row],[raw (GSM) coefficient]]))</f>
        <v>-2.5756999999999999E-2</v>
      </c>
      <c r="H95" s="21">
        <f>mets2415[[#This Row],[coeff. w/o GAM]]</f>
        <v>-2.5756999999999999E-2</v>
      </c>
      <c r="I95" s="161">
        <f t="shared" si="2"/>
        <v>-2.5973842376446662E-2</v>
      </c>
      <c r="J95" s="21" cm="1">
        <f t="array" ref="J95">_xlfn.LET(_xlpm.id,mets2415[[#This Row],[name w/o location]],_xlpm.oldcoeff,mets2415[[#This Row],[normalized coeffs]],_xlpm.gam,$J$2-$G$2,_xlfn.IFS(IFERROR(MATCH(_xlpm.id,{"atp","h2o"},0),0)&gt;0,_xlpm.oldcoeff-_xlpm.gam,IFERROR(MATCH(_xlpm.id,{"adp","h","pi"},0),0)&gt;0,_xlpm.oldcoeff+_xlpm.gam,TRUE,_xlpm.oldcoeff))</f>
        <v>-2.5973842376446662E-2</v>
      </c>
      <c r="K95" t="str" cm="1">
        <f t="array" ref="K95">"BIOSYN-"&amp;_xlfn.IFS(IFERROR(MATCH(mets2415[[#This Row],[category]],{0,"0",""},0),0)&gt;0,mets2415[[#This Row],[name]],TRUE,mets2415[[#This Row],[category]]&amp;"-"&amp;mets2415[[#This Row],[name]])</f>
        <v>BIOSYN-RNA-utp_c</v>
      </c>
      <c r="L95" s="149" t="str" cm="1">
        <f t="array" ref="L95">IF(IsElementOfSet_DIY(mets2415[[#This Row],[category]],{"ignore","PROT"}),"",_xlfn.LET(_xlpm.mw,mets2415[[#This Row],[MW for biomass normalization (g/mol)]],"MET-"&amp;mets2415[[#This Row],[name]]&amp;" --&gt; "&amp;IF((mets2415[[#This Row],[category]]="DNA")+(mets2415[[#This Row],[category]]="RNA"),"MET-ppi_c + ","")&amp;ROUND(ABS(_xlpm.mw/1000),6)&amp;" BIO-"&amp;mets2415[[#This Row],[name]]))</f>
        <v>MET-utp_c --&gt; MET-ppi_c + 0.305158 BIO-utp_c</v>
      </c>
      <c r="M95" s="149" cm="1">
        <f t="array" ref="M95">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-1.360542469314904E-2</v>
      </c>
      <c r="N95" s="149"/>
      <c r="O95" s="149"/>
      <c r="P95" s="149"/>
      <c r="Q95" s="149"/>
      <c r="R95" s="149"/>
      <c r="S95" s="149"/>
      <c r="T95" s="149"/>
      <c r="U95" s="149"/>
      <c r="V95" s="149"/>
    </row>
    <row r="96" spans="1:22" ht="16" x14ac:dyDescent="0.2">
      <c r="A96" s="144" t="s">
        <v>1122</v>
      </c>
      <c r="B96" t="str">
        <f>SUBSTITUTE(_xlfn.TEXTBEFORE(mets2415[[#This Row],[pasted JSON metabolite keys and values from GSM biomass rxn]],":"),CHAR(34),"")</f>
        <v>valtrna_c</v>
      </c>
      <c r="C96" t="str">
        <f>_xlfn.TEXTBEFORE(mets2415[[#This Row],[name]],"_",-1)</f>
        <v>valtrna</v>
      </c>
      <c r="D96" t="str">
        <f>_xlfn.XLOOKUP(mets2415[[#This Row],[name w/o location]],metaboliteInfo[name w/o location],metaboliteInfo[suggested category],"")</f>
        <v>PROT</v>
      </c>
      <c r="E96" s="21">
        <f>_xlfn.XLOOKUP(mets2415[[#This Row],[name w/o location]],metaboliteInfo[name w/o location],metaboliteInfo[MW for biomass normalization (g/mol)],0)</f>
        <v>100.139</v>
      </c>
      <c r="F96" s="21">
        <f>_xlfn.NUMBERVALUE(SUBSTITUTE(_xlfn.TEXTAFTER(mets2415[[#This Row],[pasted JSON metabolite keys and values from GSM biomass rxn]],":"),",",""))</f>
        <v>-0.205454</v>
      </c>
      <c r="G96" s="21" cm="1">
        <f t="array" ref="G96">_xlfn.LET(_xlpm.id,mets2415[[#This Row],[name w/o location]],IF(IsElementOfSet_DIY(_xlpm.id,{"atp","adp","h","pi","h2o"}),SIGN(mets2415[[#This Row],[raw (GSM) coefficient]])*(ABS(mets2415[[#This Row],[raw (GSM) coefficient]])-$J$2),mets2415[[#This Row],[raw (GSM) coefficient]]))</f>
        <v>-0.205454</v>
      </c>
      <c r="H96" s="21">
        <f>mets2415[[#This Row],[coeff. w/o GAM]]</f>
        <v>-0.205454</v>
      </c>
      <c r="I96" s="161">
        <f t="shared" si="2"/>
        <v>-0.20718367090928572</v>
      </c>
      <c r="J96" s="21" cm="1">
        <f t="array" ref="J96">_xlfn.LET(_xlpm.id,mets2415[[#This Row],[name w/o location]],_xlpm.oldcoeff,mets2415[[#This Row],[normalized coeffs]],_xlpm.gam,$J$2-$G$2,_xlfn.IFS(IFERROR(MATCH(_xlpm.id,{"atp","h2o"},0),0)&gt;0,_xlpm.oldcoeff-_xlpm.gam,IFERROR(MATCH(_xlpm.id,{"adp","h","pi"},0),0)&gt;0,_xlpm.oldcoeff+_xlpm.gam,TRUE,_xlpm.oldcoeff))</f>
        <v>-0.20718367090928572</v>
      </c>
      <c r="K96" t="str" cm="1">
        <f t="array" ref="K96">"BIOSYN-"&amp;_xlfn.IFS(IFERROR(MATCH(mets2415[[#This Row],[category]],{0,"0",""},0),0)&gt;0,mets2415[[#This Row],[name]],TRUE,mets2415[[#This Row],[category]]&amp;"-"&amp;mets2415[[#This Row],[name]])</f>
        <v>BIOSYN-PROT-valtrna_c</v>
      </c>
      <c r="L96" s="149" t="str" cm="1">
        <f t="array" ref="L96">IF(IsElementOfSet_DIY(mets2415[[#This Row],[category]],{"ignore","PROT"}),"",_xlfn.LET(_xlpm.mw,mets2415[[#This Row],[MW for biomass normalization (g/mol)]],"MET-"&amp;mets2415[[#This Row],[name]]&amp;" --&gt; "&amp;IF((mets2415[[#This Row],[category]]="DNA")+(mets2415[[#This Row],[category]]="RNA"),"MET-ppi_c + ","")&amp;ROUND(ABS(_xlpm.mw/1000),6)&amp;" BIO-"&amp;mets2415[[#This Row],[name]]))</f>
        <v/>
      </c>
      <c r="M96" s="149" cm="1">
        <f t="array" ref="M96">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-9.1177425459521455E-2</v>
      </c>
      <c r="N96" s="149"/>
      <c r="O96" s="149"/>
      <c r="P96" s="149"/>
      <c r="Q96" s="149"/>
      <c r="R96" s="149"/>
      <c r="S96" s="149"/>
      <c r="T96" s="149"/>
      <c r="U96" s="149"/>
      <c r="V96" s="149"/>
    </row>
    <row r="97" spans="1:22" ht="16" x14ac:dyDescent="0.2">
      <c r="A97" s="144" t="s">
        <v>1037</v>
      </c>
      <c r="B97" t="str">
        <f>SUBSTITUTE(_xlfn.TEXTBEFORE(mets2415[[#This Row],[pasted JSON metabolite keys and values from GSM biomass rxn]],":"),CHAR(34),"")</f>
        <v>zn2_c</v>
      </c>
      <c r="C97" t="str">
        <f>_xlfn.TEXTBEFORE(mets2415[[#This Row],[name]],"_",-1)</f>
        <v>zn2</v>
      </c>
      <c r="D97" t="str">
        <f>_xlfn.XLOOKUP(mets2415[[#This Row],[name w/o location]],metaboliteInfo[name w/o location],metaboliteInfo[suggested category],"")</f>
        <v>METAL</v>
      </c>
      <c r="E97" s="21">
        <f>_xlfn.XLOOKUP(mets2415[[#This Row],[name w/o location]],metaboliteInfo[name w/o location],metaboliteInfo[MW for biomass normalization (g/mol)],0)</f>
        <v>65.38</v>
      </c>
      <c r="F97" s="21">
        <f>_xlfn.NUMBERVALUE(SUBSTITUTE(_xlfn.TEXTAFTER(mets2415[[#This Row],[pasted JSON metabolite keys and values from GSM biomass rxn]],":"),",",""))</f>
        <v>-1.5759999999999999E-3</v>
      </c>
      <c r="G97" s="21" cm="1">
        <f t="array" ref="G97">_xlfn.LET(_xlpm.id,mets2415[[#This Row],[name w/o location]],IF(IsElementOfSet_DIY(_xlpm.id,{"atp","adp","h","pi","h2o"}),SIGN(mets2415[[#This Row],[raw (GSM) coefficient]])*(ABS(mets2415[[#This Row],[raw (GSM) coefficient]])-$J$2),mets2415[[#This Row],[raw (GSM) coefficient]]))</f>
        <v>-1.5759999999999999E-3</v>
      </c>
      <c r="H97" s="21">
        <f>mets2415[[#This Row],[coeff. w/o GAM]]</f>
        <v>-1.5759999999999999E-3</v>
      </c>
      <c r="I97" s="161">
        <f t="shared" si="2"/>
        <v>-1.5892679887129688E-3</v>
      </c>
      <c r="J97" s="21" cm="1">
        <f t="array" ref="J97">_xlfn.LET(_xlpm.id,mets2415[[#This Row],[name w/o location]],_xlpm.oldcoeff,mets2415[[#This Row],[normalized coeffs]],_xlpm.gam,$J$2-$G$2,_xlfn.IFS(IFERROR(MATCH(_xlpm.id,{"atp","h2o"},0),0)&gt;0,_xlpm.oldcoeff-_xlpm.gam,IFERROR(MATCH(_xlpm.id,{"adp","h","pi"},0),0)&gt;0,_xlpm.oldcoeff+_xlpm.gam,TRUE,_xlpm.oldcoeff))</f>
        <v>-1.5892679887129688E-3</v>
      </c>
      <c r="K97" t="str" cm="1">
        <f t="array" ref="K97">"BIOSYN-"&amp;_xlfn.IFS(IFERROR(MATCH(mets2415[[#This Row],[category]],{0,"0",""},0),0)&gt;0,mets2415[[#This Row],[name]],TRUE,mets2415[[#This Row],[category]]&amp;"-"&amp;mets2415[[#This Row],[name]])</f>
        <v>BIOSYN-METAL-zn2_c</v>
      </c>
      <c r="L97" s="149" t="str" cm="1">
        <f t="array" ref="L97">IF(IsElementOfSet_DIY(mets2415[[#This Row],[category]],{"ignore","PROT"}),"",_xlfn.LET(_xlpm.mw,mets2415[[#This Row],[MW for biomass normalization (g/mol)]],"MET-"&amp;mets2415[[#This Row],[name]]&amp;" --&gt; "&amp;IF((mets2415[[#This Row],[category]]="DNA")+(mets2415[[#This Row],[category]]="RNA"),"MET-ppi_c + ","")&amp;ROUND(ABS(_xlpm.mw/1000),6)&amp;" BIO-"&amp;mets2415[[#This Row],[name]]))</f>
        <v>MET-zn2_c --&gt; 0.06538 BIO-zn2_c</v>
      </c>
      <c r="M97" s="149" cm="1">
        <f t="array" ref="M97">_xlfn.LET(_xlpm.gam,$J$2,_xlpm.cat,IF(LEFT(mets2415[[#This Row],[name w/o location]],4)="trna","PROT",mets2415[[#This Row],[category]]),_xlpm.multipliers,_xlfn._xlws.FILTER(_xlfn.HSTACK(biomassComponents2314[normalized coeffs],biomassComponents2314[original coeffs from input]),(biomassComponents2314[rxn name]="BIOSYN-"&amp;_xlpm.cat)+IF(mets2415[[#This Row],[name w/o location]]="ppi",((biomassComponents2314[rxn name]="BIOSYN-DNA"))+((biomassComponents2314[rxn name]="BIOSYN-RNA"))&gt;0,FALSE),{1,1}),mets2415[[#This Row],[normalized coeffs]]*(SUM(_xlfn.CHOOSECOLS(_xlpm.multipliers,1))/SUM(_xlfn.CHOOSECOLS(_xlpm.multipliers,2)))+_xlfn.IFS(OR(mets2415[[#This Row],[name w/o location]]={"atp","h2o"}),-_xlpm.gam,OR(mets2415[[#This Row],[name w/o location]]={"adp","h","pi"}),_xlpm.gam,TRUE,0))</f>
        <v>-1.5892679887129688E-3</v>
      </c>
      <c r="N97" s="149"/>
      <c r="O97" s="149"/>
      <c r="P97" s="149"/>
      <c r="Q97" s="149"/>
      <c r="R97" s="149"/>
      <c r="S97" s="149"/>
      <c r="T97" s="149"/>
      <c r="U97" s="149"/>
      <c r="V97" s="149"/>
    </row>
  </sheetData>
  <mergeCells count="3">
    <mergeCell ref="A1:F1"/>
    <mergeCell ref="A2:F2"/>
    <mergeCell ref="D4:E4"/>
  </mergeCells>
  <conditionalFormatting sqref="S6:S14">
    <cfRule type="expression" dxfId="33" priority="1" stopIfTrue="1">
      <formula>NOT(_xlfn.ISFORMULA(S6))</formula>
    </cfRule>
  </conditionalFormatting>
  <conditionalFormatting sqref="T6:T14">
    <cfRule type="expression" dxfId="32" priority="2"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D9F6E-522E-694E-A440-4F5276ADCBCC}">
  <dimension ref="A1:AG82"/>
  <sheetViews>
    <sheetView zoomScale="110" zoomScaleNormal="110" workbookViewId="0">
      <selection activeCell="E29" sqref="E29"/>
    </sheetView>
  </sheetViews>
  <sheetFormatPr baseColWidth="10" defaultColWidth="8.6640625" defaultRowHeight="13" x14ac:dyDescent="0.15"/>
  <cols>
    <col min="1" max="1" width="28.1640625" customWidth="1"/>
    <col min="3" max="3" width="12" customWidth="1"/>
    <col min="4" max="4" width="10.83203125" bestFit="1" customWidth="1"/>
    <col min="5" max="5" width="14.1640625" customWidth="1"/>
    <col min="6" max="6" width="10" customWidth="1"/>
    <col min="7" max="7" width="11.33203125" customWidth="1"/>
    <col min="8" max="8" width="11.83203125" customWidth="1"/>
    <col min="9" max="9" width="10.1640625" customWidth="1"/>
    <col min="10" max="10" width="13.83203125" customWidth="1"/>
    <col min="11" max="11" width="10.33203125" customWidth="1"/>
    <col min="12" max="13" width="26.5" customWidth="1"/>
    <col min="14" max="14" width="1.1640625" customWidth="1"/>
    <col min="15" max="15" width="13.33203125" customWidth="1"/>
    <col min="16" max="16" width="17.6640625" bestFit="1" customWidth="1"/>
    <col min="17" max="17" width="10.5" customWidth="1"/>
    <col min="18" max="18" width="24" customWidth="1"/>
    <col min="19" max="19" width="10.5" hidden="1" customWidth="1"/>
    <col min="20" max="20" width="10.5" customWidth="1"/>
    <col min="21" max="21" width="35.6640625" customWidth="1"/>
    <col min="22" max="22" width="30.6640625" customWidth="1"/>
    <col min="24" max="24" width="10.1640625" customWidth="1"/>
    <col min="25" max="25" width="24.83203125" customWidth="1"/>
    <col min="26" max="26" width="23.6640625" customWidth="1"/>
    <col min="27" max="27" width="14.1640625" customWidth="1"/>
    <col min="28" max="28" width="28" customWidth="1"/>
    <col min="29" max="29" width="50.33203125" customWidth="1"/>
    <col min="30" max="31" width="36.5" customWidth="1"/>
    <col min="32" max="32" width="29.5" bestFit="1" customWidth="1"/>
    <col min="1030" max="1039" width="11.5" customWidth="1"/>
  </cols>
  <sheetData>
    <row r="1" spans="1:33" ht="58" customHeight="1" x14ac:dyDescent="0.15">
      <c r="A1" s="182" t="s">
        <v>731</v>
      </c>
      <c r="B1" s="182"/>
      <c r="C1" s="182"/>
      <c r="D1" s="182"/>
      <c r="E1" s="182"/>
      <c r="F1" s="182"/>
      <c r="G1" s="148" t="s">
        <v>744</v>
      </c>
      <c r="I1" s="148"/>
      <c r="J1" s="148" t="s">
        <v>743</v>
      </c>
      <c r="K1" s="148" t="s">
        <v>758</v>
      </c>
      <c r="L1" s="164" t="s">
        <v>1301</v>
      </c>
      <c r="M1" s="148"/>
      <c r="N1" s="148"/>
      <c r="O1" s="148"/>
      <c r="P1" s="148"/>
      <c r="Q1" s="148"/>
      <c r="R1" s="148"/>
      <c r="S1" s="148"/>
      <c r="T1" s="148"/>
      <c r="U1" s="148"/>
      <c r="V1" s="148"/>
      <c r="W1" s="148"/>
    </row>
    <row r="2" spans="1:33" ht="13" customHeight="1" x14ac:dyDescent="0.15">
      <c r="A2" s="182"/>
      <c r="B2" s="182"/>
      <c r="C2" s="182"/>
      <c r="D2" s="182"/>
      <c r="E2" s="182"/>
      <c r="F2" s="182"/>
      <c r="G2" s="140">
        <v>6.69</v>
      </c>
      <c r="J2" s="145">
        <f>_xlfn.XLOOKUP("adp",mets2418[name w/o location],mets2418[raw (GSM) coefficient],0)</f>
        <v>139.639453</v>
      </c>
      <c r="K2" t="str" cm="1">
        <f t="array" ref="K2">_xlfn.LET(_xlpm.array,_xlfn._xlws.SORT(_xlfn._xlws.FILTER(_xlfn.HSTACK(mets2418[normalized coeff. w/ updated GAM]-mets2418[normalized coeffs],"MET-"&amp;mets2418[name]),(mets2418[category]="GAM")+(mets2418[name w/o location]="atp")+(mets2418[name w/o location]="pi"))),SUBSTITUTE(_xlfn.TEXTJOIN(" + ",TRUE,ABS(_xlfn.CHOOSECOLS(_xlpm.array,1))&amp;" "&amp;_xlfn.CHOOSECOLS(_xlpm.array,2))," + "," --&gt; ",2))</f>
        <v>132.949453 MET-atp_c + 132.949453 MET-h2o_c --&gt; 132.949453 MET-adp_c + 132.949453 MET-h_c + 132.949453 MET-pi_c</v>
      </c>
      <c r="L2" s="148" t="s">
        <v>1303</v>
      </c>
      <c r="M2" s="164" t="s">
        <v>1302</v>
      </c>
      <c r="N2" s="145"/>
      <c r="O2" s="145"/>
      <c r="P2" s="145"/>
      <c r="Q2" s="145"/>
      <c r="R2" s="145"/>
      <c r="S2" s="145"/>
      <c r="T2" s="145"/>
      <c r="U2" s="145"/>
      <c r="V2" s="164" t="s">
        <v>1049</v>
      </c>
      <c r="W2" s="143"/>
      <c r="X2" s="143"/>
      <c r="Y2" s="143"/>
    </row>
    <row r="3" spans="1:33" ht="13" customHeight="1" x14ac:dyDescent="0.15">
      <c r="A3" s="143"/>
      <c r="B3" s="143"/>
      <c r="C3" s="143"/>
      <c r="D3" s="143"/>
      <c r="E3" s="143"/>
      <c r="F3" s="165" t="s">
        <v>1044</v>
      </c>
      <c r="G3" cm="1">
        <f t="array" ref="G3">_xlfn.LET(_xlpm.coeffs,mets2418[coeff. w/o GAM],-SUM(_xlfn._xlws.FILTER(_xlpm.coeffs*mets2418[MW for biomass normalization (g/mol)],(IFERROR(_xlfn.NUMBERVALUE(_xlpm.coeffs),0)&lt;0)*(_xlfn.IFNA(mets2418[category],"ignore")&lt;&gt;"ignore")))/1000)</f>
        <v>0.92586684748636694</v>
      </c>
      <c r="H3" s="145" cm="1">
        <f t="array" ref="H3">_xlfn.LET(_xlpm.coeffs,mets2418[coeffs after extra operations],-SUM(_xlfn._xlws.FILTER(_xlpm.coeffs*mets2418[MW for biomass normalization (g/mol)],(IFERROR(_xlfn.NUMBERVALUE(_xlpm.coeffs),0)&lt;0)*(_xlfn.IFNA(mets2418[category],"ignore")&lt;&gt;"ignore")))/1000)</f>
        <v>0.92586684748636694</v>
      </c>
      <c r="I3" s="143" cm="1">
        <f t="array" ref="I3">_xlfn.LET(_xlpm.coeffs,mets2418[normalized coeffs],-SUM(_xlfn._xlws.FILTER(_xlpm.coeffs*mets2418[MW for biomass normalization (g/mol)],(IFERROR(_xlfn.NUMBERVALUE(_xlpm.coeffs),0)&lt;0)*(_xlfn.IFNA(mets2418[category],"ignore")&lt;&gt;"ignore")))/1000)</f>
        <v>0.99999999999999944</v>
      </c>
      <c r="J3" s="145"/>
      <c r="L3" s="145" t="str" cm="1">
        <f t="array" ref="L3:M3">_xlfn.LET(_xlpm.data,_xlfn.HSTACK(mets2418[new GSM coeffs],mets2418[name]),_xlpm.data_with_uncharged_tRNAs,_xlfn.VSTACK(_xlfn._xlws.FILTER(_xlpm.data,LEFT(_xlfn.CHOOSECOLS(_xlpm.data,2),4)&lt;&gt;"trna",NA),IFERROR(_xlfn._xlws.FILTER(_xlpm.data,LEFT(_xlfn.CHOOSECOLS(_xlpm.data,2),4)="trna",NA),_xlfn._xlws.FILTER(_xlfn.HSTACK(-_xlfn.CHOOSECOLS(_xlpm.data,1),"trna"&amp;SUBSTITUTE(_xlfn.CHOOSECOLS(_xlpm.data,2),"trna","")),ISNUMBER(FIND("trna",_xlfn.CHOOSECOLS(_xlpm.data,2))),{"",""}))),_xlpm.names,_xlfn.CHOOSECOLS(_xlpm.data_with_uncharged_tRNAs,2),_xlpm.coeffs,_xlfn.CHOOSECOLS(_xlpm.data_with_uncharged_tRNAs,1),_xlfn.HSTACK(SUBSTITUTE(_xlfn.TEXTJOIN(" + ",FALSE,_xlfn._xlws.FILTER(ABS(_xlpm.coeffs)&amp;" "&amp;_xlpm.names,_xlpm.coeffs &lt; 0,""),"--&gt;",_xlfn._xlws.FILTER(ABS(_xlpm.coeffs)&amp;" "&amp;_xlpm.names,_xlpm.coeffs &gt; 0,""))," + --&gt; + "," --&gt; "),_xlfn.TEXTJOIN(","&amp;CHAR(10),TRUE,CHAR(34)&amp;_xlpm.names&amp;CHAR(34)&amp;":"&amp;_xlpm.coeffs)))</f>
        <v>1.03416814480346 13BDglucan_c + 0.191512419395286 16BDglucan_en + 0.00138572841600627 5mthf_c + 0.623819722639442 alatrna_c + 0.158419107885985 argtrna_c + 0.116615040589397 asntrna_c + 0.213093276355707 asptrna_c + 139.692643153783 atp_c + 0.00261160663281618 btn_m + 0.000898617336022771 ca2_c + 0.00193548349297212 camp_c + 0.0334875366627236 chtn_c + 1.94412404428003E-05 clpn_mm + 0.000831653063386458 coa_c + 0.0484745729062956 ctp_c + 0.000567036179581676 cu2_c + 0.0370128815963514 cystrna_c + 0.00264724890696131 datp_c + 0.00462809529429997 dctp_c + 0.00406429932145876 dgtp_c + 0.00272501386873251 dttp_c + 0.00435375779027378 ergst_r + 1.72811026158225E-05 ergstest_rm + 0.000811131754030169 fad_c + 0.000644801141352878 fe2_c + 0.000644801141352878 fe3_c + 0.127337964762515 glntrna_c + 0.225381220384471 glutrna_c + 0.559550221942285 glycogen_c + 0.554312967780777 glytrna_c + 0.0020737323138987 gthrd_c + 0.0551753204455808 gtp_c + 135.405783751941 h2o_c + 0.000746327619220835 hemeA_m + 0.066064575231376 histrna_c + 0.171265447543023 iletrna_c + 0.632599602837193 k_c + 0.345843466443715 leutrna_c + 0.186132596137197 lystrna_c + 0.872631958033141 mannan_r + 0.0616179315145421 mettrna_c + 0.0666575330648814 mg2_c + 0.00139544903622767 mlthf_c + 0.000655601830487767 mn2_c + 0.028188718573147 na1_c + 0.00095910119517815 nad_c + 0.000858654786223681 nadp_c + 1.51209647888447E-05 pa_rm + 0.000185771853120092 pc_rm + 0.000140408958753558 pe_rm + 0.102783678083258 phetrna_c + 0.254785016485293 protrna_c + 2.16013782697781E-05 ps_rm + 0.00432675606743656 psphings_r + 5.07632389339786E-05 pail_rm + 0.00704636959160163 ptrc_c + 0.00259216539237338 pydx5p_c + 0.000799250995981791 q9_m + 0.00106926822435402 ribflv_c + 0.363842814887008 sertrna_c + 0.00428463337981049 spmd_c + 0.00143325144819978 thf_c + 0.00150453599649005 thmpp_c + 0.235595432099335 thrtrna_c + 0.0252433706460627 tre_c + 0.000466589770627208 tag_rm + 0.0251861269936478 trptrna_c + 0.0673563376519087 tyrtrna_c + 0.0552228434777743 utp_c + 0.297200402786916 valtrna_c + 0.000550835145879343 zn2_c + 0.0044887664044599 zymst_rm + 1.83611715293114E-05 zymstest_RT_rm --&gt; 139.639453 adp_c + 139.639453 h_c + 139.639453 pi_c + 0.226127548003692 ppi_c + 0.623819722639442 trnaala_c + 0.158419107885985 trnaarg_c + 0.116615040589397 trnaasn_c + 0.213093276355707 trnaasp_c + 0.0370128815963514 trnacys_c + 0.127337964762515 trnagln_c + 0.225381220384471 trnaglu_c + 0.554312967780777 trnagly_c + 0.066064575231376 trnahis_c + 0.171265447543023 trnaile_c + 0.345843466443715 trnaleu_c + 0.186132596137197 trnalys_c + 0.0616179315145421 trnamet_c + 0.102783678083258 trnaphe_c + 0.254785016485293 trnapro_c + 0.363842814887008 trnaser_c + 0.235595432099335 trnathr_c + 0.0251861269936478 trnatrp_c + 0.0673563376519087 trnatyr_c + 0.297200402786916 trnaval_c</v>
      </c>
      <c r="M3" t="str">
        <v>"13BDglucan_c":-1.03416814480346,
"16BDglucan_en":-0.191512419395286,
"5mthf_c":-0.00138572841600627,
"adp_c":139.639453,
"alatrna_c":-0.623819722639442,
"argtrna_c":-0.158419107885985,
"asntrna_c":-0.116615040589397,
"asptrna_c":-0.213093276355707,
"atp_c":-139.692643153783,
"btn_m":-0.00261160663281618,
"ca2_c":-0.000898617336022771,
"camp_c":-0.00193548349297212,
"chtn_c":-0.0334875366627236,
"clpn_mm":-1.94412404428003E-05,
"coa_c":-0.000831653063386458,
"ctp_c":-0.0484745729062956,
"cu2_c":-0.000567036179581676,
"cystrna_c":-0.0370128815963514,
"datp_c":-0.00264724890696131,
"dctp_c":-0.00462809529429997,
"dgtp_c":-0.00406429932145876,
"dttp_c":-0.00272501386873251,
"ergst_r":-0.00435375779027378,
"ergstest_rm":-1.72811026158225E-05,
"fad_c":-0.000811131754030169,
"fe2_c":-0.000644801141352878,
"fe3_c":-0.000644801141352878,
"glntrna_c":-0.127337964762515,
"glutrna_c":-0.225381220384471,
"glycogen_c":-0.559550221942285,
"glytrna_c":-0.554312967780777,
"gthrd_c":-0.0020737323138987,
"gtp_c":-0.0551753204455808,
"h2o_c":-135.405783751941,
"h_c":139.639453,
"hemeA_m":-0.000746327619220835,
"histrna_c":-0.066064575231376,
"iletrna_c":-0.171265447543023,
"k_c":-0.632599602837193,
"leutrna_c":-0.345843466443715,
"lystrna_c":-0.186132596137197,
"mannan_r":-0.872631958033141,
"mettrna_c":-0.0616179315145421,
"mg2_c":-0.0666575330648814,
"mlthf_c":-0.00139544903622767,
"mn2_c":-0.000655601830487767,
"na1_c":-0.028188718573147,
"nad_c":-0.00095910119517815,
"nadp_c":-0.000858654786223681,
"pa_rm":-1.51209647888447E-05,
"pc_rm":-0.000185771853120092,
"pe_rm":-0.000140408958753558,
"phetrna_c":-0.102783678083258,
"pi_c":139.639453,
"ppi_c":0.226127548003692,
"protrna_c":-0.254785016485293,
"ps_rm":-2.16013782697781E-05,
"psphings_r":-0.00432675606743656,
"pail_rm":-5.07632389339786E-05,
"ptrc_c":-0.00704636959160163,
"pydx5p_c":-0.00259216539237338,
"q9_m":-0.000799250995981791,
"ribflv_c":-0.00106926822435402,
"sertrna_c":-0.363842814887008,
"spmd_c":-0.00428463337981049,
"thf_c":-0.00143325144819978,
"thmpp_c":-0.00150453599649005,
"thrtrna_c":-0.235595432099335,
"tre_c":-0.0252433706460627,
"tag_rm":-0.000466589770627208,
"trptrna_c":-0.0251861269936478,
"tyrtrna_c":-0.0673563376519087,
"utp_c":-0.0552228434777743,
"valtrna_c":-0.297200402786916,
"zn2_c":-0.000550835145879343,
"zymst_rm":-0.0044887664044599,
"zymstest_RT_rm":-1.83611715293114E-05,
"trnaala_c":0.623819722639442,
"trnaarg_c":0.158419107885985,
"trnaasn_c":0.116615040589397,
"trnaasp_c":0.213093276355707,
"trnacys_c":0.0370128815963514,
"trnagln_c":0.127337964762515,
"trnaglu_c":0.225381220384471,
"trnagly_c":0.554312967780777,
"trnahis_c":0.066064575231376,
"trnaile_c":0.171265447543023,
"trnaleu_c":0.345843466443715,
"trnalys_c":0.186132596137197,
"trnamet_c":0.0616179315145421,
"trnaphe_c":0.102783678083258,
"trnapro_c":0.254785016485293,
"trnaser_c":0.363842814887008,
"trnathr_c":0.235595432099335,
"trnatrp_c":0.0251861269936478,
"trnatyr_c":0.0673563376519087,
"trnaval_c":0.297200402786916</v>
      </c>
      <c r="N3" s="145"/>
      <c r="O3" s="145"/>
      <c r="P3" s="145"/>
      <c r="Q3" s="145"/>
      <c r="R3" s="145"/>
      <c r="S3" s="170"/>
      <c r="T3" s="171">
        <f>T9</f>
        <v>6.402727923982842E-3</v>
      </c>
      <c r="U3" s="145"/>
      <c r="V3" s="145" t="e" cm="1">
        <f t="array" ref="V3">_xlfn.LET(_xlpm.eqn,_xlfn.TEXTJOIN(" + ",TRUE,biomassComponents2317[new GSM coeffs])&amp;" + "&amp;K2,_xlpm.reactants,"-"&amp;SUBSTITUTE(_xlfn.TEXTBEFORE(_xlpm.eqn," --&gt; ")," + "," + -"),_xlpm.products,_xlfn.TEXTAFTER(_xlpm.eqn," --&gt; "),_xlpm.rxnarray,_xlfn.TEXTSPLIT(_xlpm.reactants&amp;" + "&amp;_xlpm.products,," + "),_xlfn.TEXTJOIN(","&amp;CHAR(10),TRUE,_xlfn.UNIQUE(_xlfn.BYROW(_xlfn.TEXTAFTER(_xlfn.TEXTAFTER(_xlpm.rxnarray," "),"-"),_xlfn.LAMBDA(_xlpm.r,CHAR(34)&amp;_xlpm.r&amp;CHAR(34)&amp;":"&amp;SUM(_xlfn._xlws.FILTER(_xlfn.NUMBERVALUE(_xlfn.TEXTBEFORE(_xlpm.rxnarray," ")),_xlfn.TEXTAFTER(_xlfn.TEXTAFTER(_xlpm.rxnarray," "),"-")=_xlpm.r)))))))</f>
        <v>#DIV/0!</v>
      </c>
      <c r="X3" s="143"/>
      <c r="Y3" s="143"/>
    </row>
    <row r="4" spans="1:33" ht="28" customHeight="1" x14ac:dyDescent="0.15">
      <c r="A4" s="143"/>
      <c r="B4" s="143"/>
      <c r="C4" s="143"/>
      <c r="D4" s="183" t="str">
        <f>HYPERLINK("[BIOMASS_RBA.xlsx]metaboliteInfo!A1","click here to add new metabolite MWs and categories")</f>
        <v>click here to add new metabolite MWs and categories</v>
      </c>
      <c r="E4" s="183"/>
      <c r="F4" s="147"/>
      <c r="H4" s="95" t="s">
        <v>732</v>
      </c>
      <c r="I4" s="95"/>
      <c r="J4" s="143"/>
      <c r="K4" s="143"/>
      <c r="L4" s="143"/>
      <c r="M4" s="143"/>
      <c r="N4" s="143"/>
      <c r="O4" s="143"/>
      <c r="P4" s="143"/>
      <c r="Q4" s="143"/>
      <c r="R4" s="143"/>
      <c r="S4" s="143"/>
      <c r="T4" s="143"/>
      <c r="U4" s="143"/>
      <c r="V4" s="143"/>
      <c r="W4" s="143"/>
      <c r="X4" s="150" t="s">
        <v>751</v>
      </c>
      <c r="Y4" s="151"/>
      <c r="Z4" s="140"/>
      <c r="AB4" t="s">
        <v>752</v>
      </c>
    </row>
    <row r="5" spans="1:33" s="157" customFormat="1" ht="56" x14ac:dyDescent="0.15">
      <c r="A5" s="155" t="s">
        <v>750</v>
      </c>
      <c r="B5" s="156" t="s">
        <v>432</v>
      </c>
      <c r="C5" s="156" t="s">
        <v>633</v>
      </c>
      <c r="D5" s="156" t="s">
        <v>545</v>
      </c>
      <c r="E5" s="156" t="s">
        <v>730</v>
      </c>
      <c r="F5" s="156" t="s">
        <v>727</v>
      </c>
      <c r="G5" s="156" t="s">
        <v>741</v>
      </c>
      <c r="H5" s="155" t="s">
        <v>745</v>
      </c>
      <c r="I5" s="156" t="s">
        <v>627</v>
      </c>
      <c r="J5" s="156" t="s">
        <v>746</v>
      </c>
      <c r="K5" s="156" t="s">
        <v>748</v>
      </c>
      <c r="L5" s="156" t="s">
        <v>749</v>
      </c>
      <c r="M5" s="156" t="s">
        <v>1048</v>
      </c>
      <c r="N5" s="156"/>
      <c r="O5" s="156" t="s">
        <v>754</v>
      </c>
      <c r="P5" s="156" t="s">
        <v>762</v>
      </c>
      <c r="Q5" s="156" t="s">
        <v>753</v>
      </c>
      <c r="R5" s="156" t="s">
        <v>1046</v>
      </c>
      <c r="S5" s="156" t="s">
        <v>1045</v>
      </c>
      <c r="T5" s="156" t="s">
        <v>627</v>
      </c>
      <c r="U5" s="156" t="s">
        <v>767</v>
      </c>
      <c r="V5" s="156" t="s">
        <v>1048</v>
      </c>
      <c r="W5" s="156"/>
      <c r="X5" s="156" t="s">
        <v>766</v>
      </c>
      <c r="Y5" s="159" t="s">
        <v>432</v>
      </c>
      <c r="Z5" s="159" t="s">
        <v>742</v>
      </c>
      <c r="AA5" s="159"/>
      <c r="AB5" s="1" t="s">
        <v>0</v>
      </c>
      <c r="AC5" s="1" t="s">
        <v>1</v>
      </c>
      <c r="AD5"/>
      <c r="AE5"/>
      <c r="AF5"/>
      <c r="AG5"/>
    </row>
    <row r="6" spans="1:33" ht="16" x14ac:dyDescent="0.2">
      <c r="A6" s="142" t="s">
        <v>826</v>
      </c>
      <c r="B6" t="str">
        <f>SUBSTITUTE(_xlfn.TEXTBEFORE(mets2418[[#This Row],[pasted JSON metabolite keys and values from GSM biomass rxn]],":"),CHAR(34),"")</f>
        <v>13BDglucan_c</v>
      </c>
      <c r="C6" t="str">
        <f>_xlfn.TEXTBEFORE(mets2418[[#This Row],[name]],"_",-1)</f>
        <v>13BDglucan</v>
      </c>
      <c r="D6" t="str">
        <f>_xlfn.XLOOKUP(mets2418[[#This Row],[name w/o location]],metaboliteInfo[name w/o location],metaboliteInfo[suggested category],"")</f>
        <v>CARB</v>
      </c>
      <c r="E6" s="21">
        <f>_xlfn.XLOOKUP(mets2418[[#This Row],[name w/o location]],metaboliteInfo[name w/o location],metaboliteInfo[MW for biomass normalization (g/mol)],0)</f>
        <v>162.14060000000001</v>
      </c>
      <c r="F6" s="21">
        <f>_xlfn.NUMBERVALUE(SUBSTITUTE(_xlfn.TEXTAFTER(mets2418[[#This Row],[pasted JSON metabolite keys and values from GSM biomass rxn]],":"),",",""))</f>
        <v>-0.95750199999999996</v>
      </c>
      <c r="G6" s="21" cm="1">
        <f t="array" ref="G6">_xlfn.LET(_xlpm.id,mets2418[[#This Row],[name w/o location]],IF(IsElementOfSet_DIY(_xlpm.id,{"atp","adp","h","pi","h2o"}),SIGN(mets2418[[#This Row],[raw (GSM) coefficient]])*(ABS(mets2418[[#This Row],[raw (GSM) coefficient]])-$J$2),mets2418[[#This Row],[raw (GSM) coefficient]]))</f>
        <v>-0.95750199999999996</v>
      </c>
      <c r="H6" s="21">
        <f>mets2418[[#This Row],[coeff. w/o GAM]]</f>
        <v>-0.95750199999999996</v>
      </c>
      <c r="I6" s="161">
        <f t="shared" ref="I6:I69" si="0">H6/($H$3)</f>
        <v>-1.0341681448034554</v>
      </c>
      <c r="J6" s="21" cm="1">
        <f t="array" ref="J6">_xlfn.LET(_xlpm.id,mets2418[[#This Row],[name w/o location]],_xlpm.oldcoeff,mets2418[[#This Row],[normalized coeffs]],_xlpm.gam,$J$2-$G$2,_xlfn.IFS(IFERROR(MATCH(_xlpm.id,{"atp","h2o"},0),0)&gt;0,_xlpm.oldcoeff-_xlpm.gam,IFERROR(MATCH(_xlpm.id,{"adp","h","pi"},0),0)&gt;0,_xlpm.oldcoeff+_xlpm.gam,TRUE,_xlpm.oldcoeff))</f>
        <v>-1.0341681448034554</v>
      </c>
      <c r="K6" t="str" cm="1">
        <f t="array" ref="K6">"BIOSYN-"&amp;_xlfn.IFS(IFERROR(MATCH(mets2418[[#This Row],[category]],{0,"0",""},0),0)&gt;0,mets2418[[#This Row],[name]],TRUE,mets2418[[#This Row],[category]]&amp;"-"&amp;mets2418[[#This Row],[name]])</f>
        <v>BIOSYN-CARB-13BDglucan_c</v>
      </c>
      <c r="L6" s="149" t="str" cm="1">
        <f t="array" ref="L6">IF(IsElementOfSet_DIY(mets2418[[#This Row],[category]],{"ignore","PROT"}),"",_xlfn.LET(_xlpm.mw,mets2418[[#This Row],[MW for biomass normalization (g/mol)]],"MET-"&amp;mets2418[[#This Row],[name]]&amp;" --&gt; "&amp;IF((mets2418[[#This Row],[category]]="DNA")+(mets2418[[#This Row],[category]]="RNA"),"MET-ppi_c + ","")&amp;ROUND(ABS(_xlpm.mw/1000),6)&amp;" BIO-"&amp;mets2418[[#This Row],[name]]))</f>
        <v>MET-13BDglucan_c --&gt; 0.162141 BIO-13BDglucan_c</v>
      </c>
      <c r="M6" s="149" cm="1">
        <f t="array" ref="M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-1.0341681448034554</v>
      </c>
      <c r="N6" s="149"/>
      <c r="O6" s="162" t="str" cm="1">
        <f t="array" ref="O6:O14">"BIOSYN-"&amp;_xlfn._xlws.SORT(_xlfn.UNIQUE(_xlfn._xlws.FILTER(mets2418[category],(mets2418[category]&lt;&gt;0)*(mets2418[category]&lt;&gt;"GAM")*(mets2418[category]&lt;&gt;"ignore"))))</f>
        <v>BIOSYN-CARB</v>
      </c>
      <c r="P6" s="158" t="str">
        <f t="shared" ref="P6:P14" si="1">O6</f>
        <v>BIOSYN-CARB</v>
      </c>
      <c r="Q6" s="158" t="str">
        <f>SUBSTITUTE(LOWER(biomassComponents2317[[#This Row],[rxn name]]),"biosyn-","BIO-")</f>
        <v>BIO-carb</v>
      </c>
      <c r="R6" s="160" cm="1">
        <f t="array" ref="R6">SUM(_xlfn._xlws.FILTER(-mets2418[MW for biomass normalization (g/mol)]*mets2418[normalized coeffs]/1000,mets2418[category]=_xlfn.TEXTAFTER(O6,"BIOSYN-"),""))</f>
        <v>0.44639259393661967</v>
      </c>
      <c r="S6" s="160"/>
      <c r="T6" s="160" cm="1">
        <f t="array" ref="T6">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0.44639259393661967</v>
      </c>
      <c r="U6" s="158" t="str" cm="1">
        <f t="array" ref="U6">_xlfn.TEXTJOIN(" + ",TRUE,_xlfn._xlws.FILTER(ROUND(-mets2418[MW for biomass normalization (g/mol)]*mets2418[normalized coeffs]*(biomassComponents2317[[#This Row],[normalized coeffs]]/biomassComponents2317[[#This Row],[original coeffs from input]])/(1000*biomassComponents2317[[#This Row],[normalized coeffs]]),6)&amp;" BIO-"&amp;mets2418[name],mets2418[category]=_xlfn.TEXTAFTER(O6,"BIOSYN-"),""))&amp;" --&gt; "&amp;biomassComponents2317[[#This Row],[product name]]</f>
        <v>0.375635 BIO-13BDglucan_c + 0.069562 BIO-16BDglucan_en + 0.015243 BIO-chtn_c + 0.203242 BIO-glycogen_c + 0.316961 BIO-mannan_r + 0.019357 BIO-tre_c --&gt; BIO-carb</v>
      </c>
      <c r="V6" s="158" t="str" cm="1">
        <f t="array" ref="V6">_xlfn.TEXTJOIN(" + ",TRUE,_xlfn._xlws.FILTER((-mets2418[normalized coeffs]*biomassComponents2317[[#This Row],[normalized coeffs]]/biomassComponents2317[[#This Row],[original coeffs from input]])&amp;" BIO-"&amp;mets2418[name],mets2418[category]=_xlfn.TEXTAFTER(P6,"BIOSYN-"),""))</f>
        <v>1.03416814480346 BIO-13BDglucan_c + 0.191512419395286 BIO-16BDglucan_en + 0.0334875366627236 BIO-chtn_c + 0.559550221942285 BIO-glycogen_c + 0.872631958033141 BIO-mannan_r + 0.0252433706460627 BIO-tre_c</v>
      </c>
      <c r="Y6" s="152" t="s">
        <v>17</v>
      </c>
      <c r="Z6" t="str">
        <f>SUBSTITUTE(Z7," --&gt; "," + "&amp;K2)</f>
        <v>0.44639259393662 BIO-carb + 0.00738936293646667 BIO-cofactor + 0.00432024257969869 BIO-dna + 0.00640272792398284 BIO-lipid + 0.0265697769829373 BIO-metal + 0.0091634924718772 BIO-other + 0.431717332433318 BIO-protmodeled + 0.0680444707350993 BIO-rna + 132.949453 MET-atp_c + 132.949453 MET-h2o_c --&gt; 132.949453 MET-adp_c + 132.949453 MET-h_c + 132.949453 MET-pi_c</v>
      </c>
      <c r="AB6" t="str" cm="1">
        <f t="array" ref="AB6:AC77">_xlfn.LET(_xlpm.macros,_xlfn._xlws.FILTER(_xlfn.HSTACK(_xlfn.ANCHORARRAY(O6),biomassComponents2317[stoichiometry (if needed)]),biomassComponents2317[stoichiometry (if needed)]&lt;&gt;""),_xlfn.VSTACK(ExtraRxns2216[[name]:[stoichiometry]],_xlpm.macros,_xlfn._xlws.SORT(_xlfn._xlws.FILTER(mets2418[[biomass equation name]:[biomass equation]],ISNUMBER(MATCH(mets2418[category],_xlfn.TEXTAFTER(biomassComponents2317[rxn name],"BIOSYN-"),0))*(mets2418[biomass equation]&lt;&gt;"")))))</f>
        <v>BIOSYN-BIODILAERO</v>
      </c>
      <c r="AC6" t="str">
        <v>0.44639259393662 BIO-carb + 0.00738936293646667 BIO-cofactor + 0.00432024257969869 BIO-dna + 0.00640272792398284 BIO-lipid + 0.0265697769829373 BIO-metal + 0.0091634924718772 BIO-other + 0.431717332433318 BIO-protmodeled + 0.0680444707350993 BIO-rna + 132.949453 MET-atp_c + 132.949453 MET-h2o_c --&gt; 132.949453 MET-adp_c + 132.949453 MET-h_c + 132.949453 MET-pi_c</v>
      </c>
    </row>
    <row r="7" spans="1:33" ht="16" x14ac:dyDescent="0.2">
      <c r="A7" s="142" t="s">
        <v>827</v>
      </c>
      <c r="B7" t="str">
        <f>SUBSTITUTE(_xlfn.TEXTBEFORE(mets2418[[#This Row],[pasted JSON metabolite keys and values from GSM biomass rxn]],":"),CHAR(34),"")</f>
        <v>16BDglucan_en</v>
      </c>
      <c r="C7" t="str">
        <f>_xlfn.TEXTBEFORE(mets2418[[#This Row],[name]],"_",-1)</f>
        <v>16BDglucan</v>
      </c>
      <c r="D7" t="str">
        <f>_xlfn.XLOOKUP(mets2418[[#This Row],[name w/o location]],metaboliteInfo[name w/o location],metaboliteInfo[suggested category],"")</f>
        <v>CARB</v>
      </c>
      <c r="E7" s="21">
        <f>_xlfn.XLOOKUP(mets2418[[#This Row],[name w/o location]],metaboliteInfo[name w/o location],metaboliteInfo[MW for biomass normalization (g/mol)],0)</f>
        <v>162.14060000000001</v>
      </c>
      <c r="F7" s="21">
        <f>_xlfn.NUMBERVALUE(SUBSTITUTE(_xlfn.TEXTAFTER(mets2418[[#This Row],[pasted JSON metabolite keys and values from GSM biomass rxn]],":"),",",""))</f>
        <v>-0.177315</v>
      </c>
      <c r="G7" s="21" cm="1">
        <f t="array" ref="G7">_xlfn.LET(_xlpm.id,mets2418[[#This Row],[name w/o location]],IF(IsElementOfSet_DIY(_xlpm.id,{"atp","adp","h","pi","h2o"}),SIGN(mets2418[[#This Row],[raw (GSM) coefficient]])*(ABS(mets2418[[#This Row],[raw (GSM) coefficient]])-$J$2),mets2418[[#This Row],[raw (GSM) coefficient]]))</f>
        <v>-0.177315</v>
      </c>
      <c r="H7" s="161">
        <f>mets2418[[#This Row],[coeff. w/o GAM]]</f>
        <v>-0.177315</v>
      </c>
      <c r="I7" s="161">
        <f t="shared" si="0"/>
        <v>-0.19151241939528557</v>
      </c>
      <c r="J7" s="21" cm="1">
        <f t="array" ref="J7">_xlfn.LET(_xlpm.id,mets2418[[#This Row],[name w/o location]],_xlpm.oldcoeff,mets2418[[#This Row],[normalized coeffs]],_xlpm.gam,$J$2-$G$2,_xlfn.IFS(IFERROR(MATCH(_xlpm.id,{"atp","h2o"},0),0)&gt;0,_xlpm.oldcoeff-_xlpm.gam,IFERROR(MATCH(_xlpm.id,{"adp","h","pi"},0),0)&gt;0,_xlpm.oldcoeff+_xlpm.gam,TRUE,_xlpm.oldcoeff))</f>
        <v>-0.19151241939528557</v>
      </c>
      <c r="K7" t="str" cm="1">
        <f t="array" ref="K7">"BIOSYN-"&amp;_xlfn.IFS(IFERROR(MATCH(mets2418[[#This Row],[category]],{0,"0",""},0),0)&gt;0,mets2418[[#This Row],[name]],TRUE,mets2418[[#This Row],[category]]&amp;"-"&amp;mets2418[[#This Row],[name]])</f>
        <v>BIOSYN-CARB-16BDglucan_en</v>
      </c>
      <c r="L7" s="149" t="str" cm="1">
        <f t="array" ref="L7">IF(IsElementOfSet_DIY(mets2418[[#This Row],[category]],{"ignore","PROT"}),"",_xlfn.LET(_xlpm.mw,mets2418[[#This Row],[MW for biomass normalization (g/mol)]],"MET-"&amp;mets2418[[#This Row],[name]]&amp;" --&gt; "&amp;IF((mets2418[[#This Row],[category]]="DNA")+(mets2418[[#This Row],[category]]="RNA"),"MET-ppi_c + ","")&amp;ROUND(ABS(_xlpm.mw/1000),6)&amp;" BIO-"&amp;mets2418[[#This Row],[name]]))</f>
        <v>MET-16BDglucan_en --&gt; 0.162141 BIO-16BDglucan_en</v>
      </c>
      <c r="M7" s="149" cm="1">
        <f t="array" ref="M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-0.19151241939528557</v>
      </c>
      <c r="N7" s="149"/>
      <c r="O7" s="162" t="str">
        <v>BIOSYN-COFACTOR</v>
      </c>
      <c r="P7" s="158" t="str">
        <f t="shared" si="1"/>
        <v>BIOSYN-COFACTOR</v>
      </c>
      <c r="Q7" s="158" t="str">
        <f>SUBSTITUTE(LOWER(biomassComponents2317[[#This Row],[rxn name]]),"biosyn-","BIO-")</f>
        <v>BIO-cofactor</v>
      </c>
      <c r="R7" s="160" cm="1">
        <f t="array" ref="R7">SUM(_xlfn._xlws.FILTER(-mets2418[MW for biomass normalization (g/mol)]*mets2418[normalized coeffs]/1000,mets2418[category]=_xlfn.TEXTAFTER(O7,"BIOSYN-"),""))</f>
        <v>7.3893629364666698E-3</v>
      </c>
      <c r="S7" s="160"/>
      <c r="T7" s="160" cm="1">
        <f t="array" ref="T7">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7.3893629364666698E-3</v>
      </c>
      <c r="U7" s="158" t="str" cm="1">
        <f t="array" ref="U7">_xlfn.TEXTJOIN(" + ",TRUE,_xlfn._xlws.FILTER(ROUND(-mets2418[MW for biomass normalization (g/mol)]*mets2418[normalized coeffs]*(biomassComponents2317[[#This Row],[normalized coeffs]]/biomassComponents2317[[#This Row],[original coeffs from input]])/(1000*biomassComponents2317[[#This Row],[normalized coeffs]]),6)&amp;" BIO-"&amp;mets2418[name],mets2418[category]=_xlfn.TEXTAFTER(O7,"BIOSYN-"),""))&amp;" --&gt; "&amp;biomassComponents2317[[#This Row],[product name]]</f>
        <v>0.085973 BIO-5mthf_c + 0.08599 BIO-btn_m + 0.08593 BIO-coa_c + 0.085898 BIO-fad_c + 0.085933 BIO-hemeA_m + 0.085978 BIO-nad_c + 0.086033 BIO-nadp_c + 0.085989 BIO-pydx5p_c + 0.054315 BIO-ribflv_c + 0.085972 BIO-spmd_c + 0.086005 BIO-thf_c + 0.085982 BIO-thmpp_c --&gt; BIO-cofactor</v>
      </c>
      <c r="V7" s="158" t="str" cm="1">
        <f t="array" ref="V7">_xlfn.TEXTJOIN(" + ",TRUE,_xlfn._xlws.FILTER((-mets2418[normalized coeffs]*biomassComponents2317[[#This Row],[normalized coeffs]]/biomassComponents2317[[#This Row],[original coeffs from input]])&amp;" BIO-"&amp;mets2418[name],mets2418[category]=_xlfn.TEXTAFTER(P7,"BIOSYN-"),""))</f>
        <v>0.00138572841600627 BIO-5mthf_c + 0.00261160663281618 BIO-btn_m + 0.000831653063386459 BIO-coa_c + 0.000811131754030169 BIO-fad_c + 0.000746327619220835 BIO-hemeA_m + 0.00095910119517815 BIO-nad_c + 0.000858654786223681 BIO-nadp_c + 0.00259216539237338 BIO-pydx5p_c + 0.00106926822435402 BIO-ribflv_c + 0.00428463337981049 BIO-spmd_c + 0.00143325144819978 BIO-thf_c + 0.00150453599649005 BIO-thmpp_c</v>
      </c>
      <c r="Y7" s="152" t="str">
        <f>Y6&amp;"-NOGAM"</f>
        <v>BIOSYN-BIODILAERO-NOGAM</v>
      </c>
      <c r="Z7" t="str" cm="1">
        <f t="array" ref="Z7">_xlfn.TEXTJOIN(" + ",TRUE,_xlfn._xlws.FILTER(biomassComponents2317[normalized coeffs]&amp;" "&amp;biomassComponents2317[product name],biomassComponents2317[normalized coeffs]&lt;&gt;0))&amp;" --&gt; "</f>
        <v xml:space="preserve">0.44639259393662 BIO-carb + 0.00738936293646667 BIO-cofactor + 0.00432024257969869 BIO-dna + 0.00640272792398284 BIO-lipid + 0.0265697769829373 BIO-metal + 0.0091634924718772 BIO-other + 0.431717332433318 BIO-protmodeled + 0.0680444707350993 BIO-rna --&gt; </v>
      </c>
      <c r="AB7" t="str">
        <v>BIOSYN-BIODILAERO-NOGAM</v>
      </c>
      <c r="AC7" t="str">
        <v xml:space="preserve">0.44639259393662 BIO-carb + 0.00738936293646667 BIO-cofactor + 0.00432024257969869 BIO-dna + 0.00640272792398284 BIO-lipid + 0.0265697769829373 BIO-metal + 0.0091634924718772 BIO-other + 0.431717332433318 BIO-protmodeled + 0.0680444707350993 BIO-rna --&gt; </v>
      </c>
    </row>
    <row r="8" spans="1:33" ht="16" x14ac:dyDescent="0.2">
      <c r="A8" s="142" t="s">
        <v>828</v>
      </c>
      <c r="B8" t="str">
        <f>SUBSTITUTE(_xlfn.TEXTBEFORE(mets2418[[#This Row],[pasted JSON metabolite keys and values from GSM biomass rxn]],":"),CHAR(34),"")</f>
        <v>5mthf_c</v>
      </c>
      <c r="C8" t="str">
        <f>_xlfn.TEXTBEFORE(mets2418[[#This Row],[name]],"_",-1)</f>
        <v>5mthf</v>
      </c>
      <c r="D8" t="str">
        <f>_xlfn.XLOOKUP(mets2418[[#This Row],[name w/o location]],metaboliteInfo[name w/o location],metaboliteInfo[suggested category],"")</f>
        <v>COFACTOR</v>
      </c>
      <c r="E8" s="21">
        <f>_xlfn.XLOOKUP(mets2418[[#This Row],[name w/o location]],metaboliteInfo[name w/o location],metaboliteInfo[MW for biomass normalization (g/mol)],0)</f>
        <v>458.44785999999999</v>
      </c>
      <c r="F8" s="21">
        <f>_xlfn.NUMBERVALUE(SUBSTITUTE(_xlfn.TEXTAFTER(mets2418[[#This Row],[pasted JSON metabolite keys and values from GSM biomass rxn]],":"),",",""))</f>
        <v>-1.2830000000000001E-3</v>
      </c>
      <c r="G8" s="21" cm="1">
        <f t="array" ref="G8">_xlfn.LET(_xlpm.id,mets2418[[#This Row],[name w/o location]],IF(IsElementOfSet_DIY(_xlpm.id,{"atp","adp","h","pi","h2o"}),SIGN(mets2418[[#This Row],[raw (GSM) coefficient]])*(ABS(mets2418[[#This Row],[raw (GSM) coefficient]])-$J$2),mets2418[[#This Row],[raw (GSM) coefficient]]))</f>
        <v>-1.2830000000000001E-3</v>
      </c>
      <c r="H8" s="21">
        <f>mets2418[[#This Row],[coeff. w/o GAM]]</f>
        <v>-1.2830000000000001E-3</v>
      </c>
      <c r="I8" s="161">
        <f t="shared" si="0"/>
        <v>-1.385728416006268E-3</v>
      </c>
      <c r="J8" s="21" cm="1">
        <f t="array" ref="J8">_xlfn.LET(_xlpm.id,mets2418[[#This Row],[name w/o location]],_xlpm.oldcoeff,mets2418[[#This Row],[normalized coeffs]],_xlpm.gam,$J$2-$G$2,_xlfn.IFS(IFERROR(MATCH(_xlpm.id,{"atp","h2o"},0),0)&gt;0,_xlpm.oldcoeff-_xlpm.gam,IFERROR(MATCH(_xlpm.id,{"adp","h","pi"},0),0)&gt;0,_xlpm.oldcoeff+_xlpm.gam,TRUE,_xlpm.oldcoeff))</f>
        <v>-1.385728416006268E-3</v>
      </c>
      <c r="K8" t="str" cm="1">
        <f t="array" ref="K8">"BIOSYN-"&amp;_xlfn.IFS(IFERROR(MATCH(mets2418[[#This Row],[category]],{0,"0",""},0),0)&gt;0,mets2418[[#This Row],[name]],TRUE,mets2418[[#This Row],[category]]&amp;"-"&amp;mets2418[[#This Row],[name]])</f>
        <v>BIOSYN-COFACTOR-5mthf_c</v>
      </c>
      <c r="L8" s="149" t="str" cm="1">
        <f t="array" ref="L8">IF(IsElementOfSet_DIY(mets2418[[#This Row],[category]],{"ignore","PROT"}),"",_xlfn.LET(_xlpm.mw,mets2418[[#This Row],[MW for biomass normalization (g/mol)]],"MET-"&amp;mets2418[[#This Row],[name]]&amp;" --&gt; "&amp;IF((mets2418[[#This Row],[category]]="DNA")+(mets2418[[#This Row],[category]]="RNA"),"MET-ppi_c + ","")&amp;ROUND(ABS(_xlpm.mw/1000),6)&amp;" BIO-"&amp;mets2418[[#This Row],[name]]))</f>
        <v>MET-5mthf_c --&gt; 0.458448 BIO-5mthf_c</v>
      </c>
      <c r="M8" s="149" cm="1">
        <f t="array" ref="M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-1.385728416006268E-3</v>
      </c>
      <c r="N8" s="149"/>
      <c r="O8" s="162" t="str">
        <v>BIOSYN-DNA</v>
      </c>
      <c r="P8" s="158" t="str">
        <f t="shared" si="1"/>
        <v>BIOSYN-DNA</v>
      </c>
      <c r="Q8" s="158" t="str">
        <f>SUBSTITUTE(LOWER(biomassComponents2317[[#This Row],[rxn name]]),"biosyn-","BIO-")</f>
        <v>BIO-dna</v>
      </c>
      <c r="R8" s="160" cm="1">
        <f t="array" ref="R8">SUM(_xlfn._xlws.FILTER(-mets2418[MW for biomass normalization (g/mol)]*mets2418[normalized coeffs]/1000,mets2418[category]=_xlfn.TEXTAFTER(O8,"BIOSYN-"),""))</f>
        <v>4.3202425796986946E-3</v>
      </c>
      <c r="S8" s="160"/>
      <c r="T8" s="160" cm="1">
        <f t="array" ref="T8">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4.3202425796986946E-3</v>
      </c>
      <c r="U8" s="158" t="str" cm="1">
        <f t="array" ref="U8">_xlfn.TEXTJOIN(" + ",TRUE,_xlfn._xlws.FILTER(ROUND(-mets2418[MW for biomass normalization (g/mol)]*mets2418[normalized coeffs]*(biomassComponents2317[[#This Row],[normalized coeffs]]/biomassComponents2317[[#This Row],[original coeffs from input]])/(1000*biomassComponents2317[[#This Row],[normalized coeffs]]),6)&amp;" BIO-"&amp;mets2418[name],mets2418[category]=_xlfn.TEXTAFTER(O8,"BIOSYN-"),""))&amp;" --&gt; "&amp;biomassComponents2317[[#This Row],[product name]]</f>
        <v>0.191301 BIO-datp_c + 0.308709 BIO-dctp_c + 0.308755 BIO-dgtp_c + 0.191236 BIO-dttp_c --&gt; BIO-dna</v>
      </c>
      <c r="V8" s="158" t="str" cm="1">
        <f t="array" ref="V8">_xlfn.TEXTJOIN(" + ",TRUE,_xlfn._xlws.FILTER((-mets2418[normalized coeffs]*biomassComponents2317[[#This Row],[normalized coeffs]]/biomassComponents2317[[#This Row],[original coeffs from input]])&amp;" BIO-"&amp;mets2418[name],mets2418[category]=_xlfn.TEXTAFTER(P8,"BIOSYN-"),""))</f>
        <v>0.00264724890696131 BIO-datp_c + 0.00462809529429997 BIO-dctp_c + 0.00406429932145876 BIO-dgtp_c + 0.00272501386873251 BIO-dttp_c</v>
      </c>
      <c r="X8" s="153" t="s">
        <v>757</v>
      </c>
      <c r="Y8" t="s">
        <v>49</v>
      </c>
      <c r="Z8" t="s">
        <v>747</v>
      </c>
      <c r="AB8" t="str">
        <v>BIOSYN-PROTTOBIO</v>
      </c>
      <c r="AC8" t="str">
        <v>BIO-prot --&gt; BIO-varbiom</v>
      </c>
    </row>
    <row r="9" spans="1:33" ht="16" x14ac:dyDescent="0.2">
      <c r="A9" s="142" t="s">
        <v>829</v>
      </c>
      <c r="B9" t="str">
        <f>SUBSTITUTE(_xlfn.TEXTBEFORE(mets2418[[#This Row],[pasted JSON metabolite keys and values from GSM biomass rxn]],":"),CHAR(34),"")</f>
        <v>adp_c</v>
      </c>
      <c r="C9" t="str">
        <f>_xlfn.TEXTBEFORE(mets2418[[#This Row],[name]],"_",-1)</f>
        <v>adp</v>
      </c>
      <c r="D9" t="str">
        <f>_xlfn.XLOOKUP(mets2418[[#This Row],[name w/o location]],metaboliteInfo[name w/o location],metaboliteInfo[suggested category],"")</f>
        <v>GAM</v>
      </c>
      <c r="E9" s="21">
        <f>_xlfn.XLOOKUP(mets2418[[#This Row],[name w/o location]],metaboliteInfo[name w/o location],metaboliteInfo[MW for biomass normalization (g/mol)],0)</f>
        <v>424.177302</v>
      </c>
      <c r="F9" s="21">
        <f>_xlfn.NUMBERVALUE(SUBSTITUTE(_xlfn.TEXTAFTER(mets2418[[#This Row],[pasted JSON metabolite keys and values from GSM biomass rxn]],":"),",",""))</f>
        <v>139.639453</v>
      </c>
      <c r="G9" s="21" cm="1">
        <f t="array" ref="G9">_xlfn.LET(_xlpm.id,mets2418[[#This Row],[name w/o location]],IF(IsElementOfSet_DIY(_xlpm.id,{"atp","adp","h","pi","h2o"}),SIGN(mets2418[[#This Row],[raw (GSM) coefficient]])*(ABS(mets2418[[#This Row],[raw (GSM) coefficient]])-$J$2),mets2418[[#This Row],[raw (GSM) coefficient]]))</f>
        <v>0</v>
      </c>
      <c r="H9" s="21">
        <f>mets2418[[#This Row],[coeff. w/o GAM]]</f>
        <v>0</v>
      </c>
      <c r="I9" s="161">
        <f t="shared" si="0"/>
        <v>0</v>
      </c>
      <c r="J9" s="21" cm="1">
        <f t="array" ref="J9">_xlfn.LET(_xlpm.id,mets2418[[#This Row],[name w/o location]],_xlpm.oldcoeff,mets2418[[#This Row],[normalized coeffs]],_xlpm.gam,$J$2-$G$2,_xlfn.IFS(IFERROR(MATCH(_xlpm.id,{"atp","h2o"},0),0)&gt;0,_xlpm.oldcoeff-_xlpm.gam,IFERROR(MATCH(_xlpm.id,{"adp","h","pi"},0),0)&gt;0,_xlpm.oldcoeff+_xlpm.gam,TRUE,_xlpm.oldcoeff))</f>
        <v>132.94945300000001</v>
      </c>
      <c r="K9" t="str" cm="1">
        <f t="array" ref="K9">"BIOSYN-"&amp;_xlfn.IFS(IFERROR(MATCH(mets2418[[#This Row],[category]],{0,"0",""},0),0)&gt;0,mets2418[[#This Row],[name]],TRUE,mets2418[[#This Row],[category]]&amp;"-"&amp;mets2418[[#This Row],[name]])</f>
        <v>BIOSYN-GAM-adp_c</v>
      </c>
      <c r="L9" s="149" t="str" cm="1">
        <f t="array" ref="L9">IF(IsElementOfSet_DIY(mets2418[[#This Row],[category]],{"ignore","PROT"}),"",_xlfn.LET(_xlpm.mw,mets2418[[#This Row],[MW for biomass normalization (g/mol)]],"MET-"&amp;mets2418[[#This Row],[name]]&amp;" --&gt; "&amp;IF((mets2418[[#This Row],[category]]="DNA")+(mets2418[[#This Row],[category]]="RNA"),"MET-ppi_c + ","")&amp;ROUND(ABS(_xlpm.mw/1000),6)&amp;" BIO-"&amp;mets2418[[#This Row],[name]]))</f>
        <v>MET-adp_c --&gt; 0.424177 BIO-adp_c</v>
      </c>
      <c r="M9" s="149" cm="1">
        <f t="array" ref="M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139.639453</v>
      </c>
      <c r="N9" s="149"/>
      <c r="O9" s="162" t="str">
        <v>BIOSYN-LIPID</v>
      </c>
      <c r="P9" s="158" t="str">
        <f t="shared" si="1"/>
        <v>BIOSYN-LIPID</v>
      </c>
      <c r="Q9" s="158" t="str">
        <f>SUBSTITUTE(LOWER(biomassComponents2317[[#This Row],[rxn name]]),"biosyn-","BIO-")</f>
        <v>BIO-lipid</v>
      </c>
      <c r="R9" s="160" cm="1">
        <f t="array" ref="R9">SUM(_xlfn._xlws.FILTER(-mets2418[MW for biomass normalization (g/mol)]*mets2418[normalized coeffs]/1000,mets2418[category]=_xlfn.TEXTAFTER(O9,"BIOSYN-"),""))</f>
        <v>6.402727923982842E-3</v>
      </c>
      <c r="S9" s="160"/>
      <c r="T9" s="160" cm="1">
        <f t="array" ref="T9">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6.402727923982842E-3</v>
      </c>
      <c r="U9" s="158" t="str" cm="1">
        <f t="array" ref="U9">_xlfn.TEXTJOIN(" + ",TRUE,_xlfn._xlws.FILTER(ROUND(-mets2418[MW for biomass normalization (g/mol)]*mets2418[normalized coeffs]*(biomassComponents2317[[#This Row],[normalized coeffs]]/biomassComponents2317[[#This Row],[original coeffs from input]])/(1000*biomassComponents2317[[#This Row],[normalized coeffs]]),6)&amp;" BIO-"&amp;mets2418[name],mets2418[category]=_xlfn.TEXTAFTER(O9,"BIOSYN-"),""))&amp;" --&gt; "&amp;biomassComponents2317[[#This Row],[product name]]</f>
        <v>0.44019 BIO-clpn_mm + 0.269715 BIO-ergst_r + 0.17695 BIO-ergstest_rm + 0.02281 BIO-pc_rm + 0.016317 BIO-pe_rm + 0.002652 BIO-ps_rm + 0.006835 BIO-pail_rm + 0.064531 BIO-tag_rm --&gt; BIO-lipid</v>
      </c>
      <c r="V9" s="158" t="str" cm="1">
        <f t="array" ref="V9">_xlfn.TEXTJOIN(" + ",TRUE,_xlfn._xlws.FILTER((-mets2418[normalized coeffs]*biomassComponents2317[[#This Row],[normalized coeffs]]/biomassComponents2317[[#This Row],[original coeffs from input]])&amp;" BIO-"&amp;mets2418[name],mets2418[category]=_xlfn.TEXTAFTER(P9,"BIOSYN-"),""))</f>
        <v>1.94412404428003E-05 BIO-clpn_mm + 0.00435375779027378 BIO-ergst_r + 1.72811026158225E-05 BIO-ergstest_rm + 0.000185771853120092 BIO-pc_rm + 0.000140408958753558 BIO-pe_rm + 2.16013782697781E-05 BIO-ps_rm + 5.07632389339786E-05 BIO-pail_rm + 0.000466589770627208 BIO-tag_rm</v>
      </c>
      <c r="X9" s="153" t="s">
        <v>757</v>
      </c>
      <c r="Y9" t="s">
        <v>50</v>
      </c>
      <c r="Z9" t="s">
        <v>755</v>
      </c>
      <c r="AB9" t="str">
        <v>BIOSYN-RNATOBIO</v>
      </c>
      <c r="AC9" t="str">
        <v>BIO-rna --&gt; BIO-varbiom</v>
      </c>
    </row>
    <row r="10" spans="1:33" ht="16" x14ac:dyDescent="0.2">
      <c r="A10" s="142" t="s">
        <v>830</v>
      </c>
      <c r="B10" t="str">
        <f>SUBSTITUTE(_xlfn.TEXTBEFORE(mets2418[[#This Row],[pasted JSON metabolite keys and values from GSM biomass rxn]],":"),CHAR(34),"")</f>
        <v>alatrna_c</v>
      </c>
      <c r="C10" t="str">
        <f>_xlfn.TEXTBEFORE(mets2418[[#This Row],[name]],"_",-1)</f>
        <v>alatrna</v>
      </c>
      <c r="D10" t="str">
        <f>_xlfn.XLOOKUP(mets2418[[#This Row],[name w/o location]],metaboliteInfo[name w/o location],metaboliteInfo[suggested category],"")</f>
        <v>PROT</v>
      </c>
      <c r="E10" s="21">
        <f>_xlfn.XLOOKUP(mets2418[[#This Row],[name w/o location]],metaboliteInfo[name w/o location],metaboliteInfo[MW for biomass normalization (g/mol)],0)</f>
        <v>72.085840000000005</v>
      </c>
      <c r="F10" s="21">
        <f>_xlfn.NUMBERVALUE(SUBSTITUTE(_xlfn.TEXTAFTER(mets2418[[#This Row],[pasted JSON metabolite keys and values from GSM biomass rxn]],":"),",",""))</f>
        <v>-0.57757400000000003</v>
      </c>
      <c r="G10" s="21" cm="1">
        <f t="array" ref="G10">_xlfn.LET(_xlpm.id,mets2418[[#This Row],[name w/o location]],IF(IsElementOfSet_DIY(_xlpm.id,{"atp","adp","h","pi","h2o"}),SIGN(mets2418[[#This Row],[raw (GSM) coefficient]])*(ABS(mets2418[[#This Row],[raw (GSM) coefficient]])-$J$2),mets2418[[#This Row],[raw (GSM) coefficient]]))</f>
        <v>-0.57757400000000003</v>
      </c>
      <c r="H10" s="21">
        <f>mets2418[[#This Row],[coeff. w/o GAM]]</f>
        <v>-0.57757400000000003</v>
      </c>
      <c r="I10" s="161">
        <f t="shared" si="0"/>
        <v>-0.62381972263944208</v>
      </c>
      <c r="J10" s="21" cm="1">
        <f t="array" ref="J10">_xlfn.LET(_xlpm.id,mets2418[[#This Row],[name w/o location]],_xlpm.oldcoeff,mets2418[[#This Row],[normalized coeffs]],_xlpm.gam,$J$2-$G$2,_xlfn.IFS(IFERROR(MATCH(_xlpm.id,{"atp","h2o"},0),0)&gt;0,_xlpm.oldcoeff-_xlpm.gam,IFERROR(MATCH(_xlpm.id,{"adp","h","pi"},0),0)&gt;0,_xlpm.oldcoeff+_xlpm.gam,TRUE,_xlpm.oldcoeff))</f>
        <v>-0.62381972263944208</v>
      </c>
      <c r="K10" t="str" cm="1">
        <f t="array" ref="K10">"BIOSYN-"&amp;_xlfn.IFS(IFERROR(MATCH(mets2418[[#This Row],[category]],{0,"0",""},0),0)&gt;0,mets2418[[#This Row],[name]],TRUE,mets2418[[#This Row],[category]]&amp;"-"&amp;mets2418[[#This Row],[name]])</f>
        <v>BIOSYN-PROT-alatrna_c</v>
      </c>
      <c r="L10" s="149" t="str" cm="1">
        <f t="array" ref="L10">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10" s="149" cm="1">
        <f t="array" ref="M1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-0.62381972263944208</v>
      </c>
      <c r="N10" s="149"/>
      <c r="O10" s="162" t="str">
        <v>BIOSYN-METAL</v>
      </c>
      <c r="P10" s="158" t="str">
        <f t="shared" si="1"/>
        <v>BIOSYN-METAL</v>
      </c>
      <c r="Q10" s="158" t="str">
        <f>SUBSTITUTE(LOWER(biomassComponents2317[[#This Row],[rxn name]]),"biosyn-","BIO-")</f>
        <v>BIO-metal</v>
      </c>
      <c r="R10" s="160" cm="1">
        <f t="array" ref="R10">SUM(_xlfn._xlws.FILTER(-mets2418[MW for biomass normalization (g/mol)]*mets2418[normalized coeffs]/1000,mets2418[category]=_xlfn.TEXTAFTER(O10,"BIOSYN-"),""))</f>
        <v>2.6569776982937308E-2</v>
      </c>
      <c r="S10" s="160"/>
      <c r="T10" s="160" cm="1">
        <f t="array" ref="T10">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2.6569776982937308E-2</v>
      </c>
      <c r="U10" s="158" t="str" cm="1">
        <f t="array" ref="U10">_xlfn.TEXTJOIN(" + ",TRUE,_xlfn._xlws.FILTER(ROUND(-mets2418[MW for biomass normalization (g/mol)]*mets2418[normalized coeffs]*(biomassComponents2317[[#This Row],[normalized coeffs]]/biomassComponents2317[[#This Row],[original coeffs from input]])/(1000*biomassComponents2317[[#This Row],[normalized coeffs]]),6)&amp;" BIO-"&amp;mets2418[name],mets2418[category]=_xlfn.TEXTAFTER(O10,"BIOSYN-"),""))&amp;" --&gt; "&amp;biomassComponents2317[[#This Row],[product name]]</f>
        <v>0.001355 BIO-ca2_c + 0.001356 BIO-cu2_c + 0.001355 BIO-fe2_c + 0.001355 BIO-fe3_c + 0.930891 BIO-k_c + 0.060976 BIO-mg2_c + 0.001356 BIO-mn2_c + 0.001355 BIO-zn2_c --&gt; BIO-metal</v>
      </c>
      <c r="V10" s="158" t="str" cm="1">
        <f t="array" ref="V10">_xlfn.TEXTJOIN(" + ",TRUE,_xlfn._xlws.FILTER((-mets2418[normalized coeffs]*biomassComponents2317[[#This Row],[normalized coeffs]]/biomassComponents2317[[#This Row],[original coeffs from input]])&amp;" BIO-"&amp;mets2418[name],mets2418[category]=_xlfn.TEXTAFTER(P10,"BIOSYN-"),""))</f>
        <v>0.000898617336022771 BIO-ca2_c + 0.000567036179581676 BIO-cu2_c + 0.000644801141352878 BIO-fe2_c + 0.000644801141352878 BIO-fe3_c + 0.632599602837193 BIO-k_c + 0.0666575330648814 BIO-mg2_c + 0.000655601830487767 BIO-mn2_c + 0.000550835145879343 BIO-zn2_c</v>
      </c>
      <c r="X10" s="153" t="s">
        <v>757</v>
      </c>
      <c r="Y10" t="s">
        <v>51</v>
      </c>
      <c r="Z10" t="s">
        <v>756</v>
      </c>
      <c r="AB10" t="str">
        <v>BIOSYN-CARBTOBIO</v>
      </c>
      <c r="AC10" t="str">
        <v>BIO-carb --&gt; BIO-varbiom</v>
      </c>
    </row>
    <row r="11" spans="1:33" ht="16" x14ac:dyDescent="0.2">
      <c r="A11" s="142" t="s">
        <v>831</v>
      </c>
      <c r="B11" t="str">
        <f>SUBSTITUTE(_xlfn.TEXTBEFORE(mets2418[[#This Row],[pasted JSON metabolite keys and values from GSM biomass rxn]],":"),CHAR(34),"")</f>
        <v>argtrna_c</v>
      </c>
      <c r="C11" t="str">
        <f>_xlfn.TEXTBEFORE(mets2418[[#This Row],[name]],"_",-1)</f>
        <v>argtrna</v>
      </c>
      <c r="D11" t="str">
        <f>_xlfn.XLOOKUP(mets2418[[#This Row],[name w/o location]],metaboliteInfo[name w/o location],metaboliteInfo[suggested category],"")</f>
        <v>PROT</v>
      </c>
      <c r="E11" s="21">
        <f>_xlfn.XLOOKUP(mets2418[[#This Row],[name w/o location]],metaboliteInfo[name w/o location],metaboliteInfo[MW for biomass normalization (g/mol)],0)</f>
        <v>158.20156</v>
      </c>
      <c r="F11" s="21">
        <f>_xlfn.NUMBERVALUE(SUBSTITUTE(_xlfn.TEXTAFTER(mets2418[[#This Row],[pasted JSON metabolite keys and values from GSM biomass rxn]],":"),",",""))</f>
        <v>-0.146675</v>
      </c>
      <c r="G11" s="21" cm="1">
        <f t="array" ref="G11">_xlfn.LET(_xlpm.id,mets2418[[#This Row],[name w/o location]],IF(IsElementOfSet_DIY(_xlpm.id,{"atp","adp","h","pi","h2o"}),SIGN(mets2418[[#This Row],[raw (GSM) coefficient]])*(ABS(mets2418[[#This Row],[raw (GSM) coefficient]])-$J$2),mets2418[[#This Row],[raw (GSM) coefficient]]))</f>
        <v>-0.146675</v>
      </c>
      <c r="H11" s="21">
        <f>mets2418[[#This Row],[coeff. w/o GAM]]</f>
        <v>-0.146675</v>
      </c>
      <c r="I11" s="161">
        <f t="shared" si="0"/>
        <v>-0.15841910788598546</v>
      </c>
      <c r="J11" s="21" cm="1">
        <f t="array" ref="J11">_xlfn.LET(_xlpm.id,mets2418[[#This Row],[name w/o location]],_xlpm.oldcoeff,mets2418[[#This Row],[normalized coeffs]],_xlpm.gam,$J$2-$G$2,_xlfn.IFS(IFERROR(MATCH(_xlpm.id,{"atp","h2o"},0),0)&gt;0,_xlpm.oldcoeff-_xlpm.gam,IFERROR(MATCH(_xlpm.id,{"adp","h","pi"},0),0)&gt;0,_xlpm.oldcoeff+_xlpm.gam,TRUE,_xlpm.oldcoeff))</f>
        <v>-0.15841910788598546</v>
      </c>
      <c r="K11" t="str" cm="1">
        <f t="array" ref="K11">"BIOSYN-"&amp;_xlfn.IFS(IFERROR(MATCH(mets2418[[#This Row],[category]],{0,"0",""},0),0)&gt;0,mets2418[[#This Row],[name]],TRUE,mets2418[[#This Row],[category]]&amp;"-"&amp;mets2418[[#This Row],[name]])</f>
        <v>BIOSYN-PROT-argtrna_c</v>
      </c>
      <c r="L11" s="149" t="str" cm="1">
        <f t="array" ref="L11">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11" s="149" cm="1">
        <f t="array" ref="M1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-0.15841910788598546</v>
      </c>
      <c r="N11" s="149"/>
      <c r="O11" s="162" t="str">
        <v>BIOSYN-other</v>
      </c>
      <c r="P11" s="158" t="str">
        <f t="shared" si="1"/>
        <v>BIOSYN-other</v>
      </c>
      <c r="Q11" s="158" t="str">
        <f>SUBSTITUTE(LOWER(biomassComponents2317[[#This Row],[rxn name]]),"biosyn-","BIO-")</f>
        <v>BIO-other</v>
      </c>
      <c r="R11" s="160" cm="1">
        <f t="array" ref="R11">SUM(_xlfn._xlws.FILTER(-mets2418[MW for biomass normalization (g/mol)]*mets2418[normalized coeffs]/1000,mets2418[category]=_xlfn.TEXTAFTER(O11,"BIOSYN-"),""))</f>
        <v>9.163492471877201E-3</v>
      </c>
      <c r="S11" s="160"/>
      <c r="T11" s="160" cm="1">
        <f t="array" ref="T11">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9.163492471877201E-3</v>
      </c>
      <c r="U11" s="158"/>
      <c r="V11" s="158" t="str" cm="1">
        <f t="array" ref="V11">_xlfn.TEXTJOIN(" + ",TRUE,_xlfn._xlws.FILTER((-mets2418[normalized coeffs]*biomassComponents2317[[#This Row],[normalized coeffs]]/biomassComponents2317[[#This Row],[original coeffs from input]])&amp;" BIO-"&amp;mets2418[name],mets2418[category]=_xlfn.TEXTAFTER(P11,"BIOSYN-"),""))</f>
        <v>0.00193548349297212 BIO-camp_c + 0.0020737323138987 BIO-gthrd_c + 0.00139544903622767 BIO-mlthf_c + 0.028188718573147 BIO-na1_c + 1.51209647888447E-05 BIO-pa_rm + 0.00432675606743656 BIO-psphings_r + 0.00704636959160163 BIO-ptrc_c + 0.000799250995981791 BIO-q9_m + 0.0044887664044599 BIO-zymst_rm + 1.83611715293114E-05 BIO-zymstest_RT_rm</v>
      </c>
      <c r="X11" s="154" t="s">
        <v>52</v>
      </c>
      <c r="Y11" s="152" t="s">
        <v>53</v>
      </c>
      <c r="Z11" s="152" t="s">
        <v>54</v>
      </c>
      <c r="AB11" t="str">
        <v>BIOSYN-PROTMODELED</v>
      </c>
      <c r="AC11" t="str">
        <v>BIO-protmodeled --&gt; BIO-prot</v>
      </c>
    </row>
    <row r="12" spans="1:33" ht="16" x14ac:dyDescent="0.2">
      <c r="A12" s="142" t="s">
        <v>832</v>
      </c>
      <c r="B12" t="str">
        <f>SUBSTITUTE(_xlfn.TEXTBEFORE(mets2418[[#This Row],[pasted JSON metabolite keys and values from GSM biomass rxn]],":"),CHAR(34),"")</f>
        <v>asntrna_c</v>
      </c>
      <c r="C12" t="str">
        <f>_xlfn.TEXTBEFORE(mets2418[[#This Row],[name]],"_",-1)</f>
        <v>asntrna</v>
      </c>
      <c r="D12" t="str">
        <f>_xlfn.XLOOKUP(mets2418[[#This Row],[name w/o location]],metaboliteInfo[name w/o location],metaboliteInfo[suggested category],"")</f>
        <v>PROT</v>
      </c>
      <c r="E12" s="21">
        <f>_xlfn.XLOOKUP(mets2418[[#This Row],[name w/o location]],metaboliteInfo[name w/o location],metaboliteInfo[MW for biomass normalization (g/mol)],0)</f>
        <v>115.11058</v>
      </c>
      <c r="F12" s="21">
        <f>_xlfn.NUMBERVALUE(SUBSTITUTE(_xlfn.TEXTAFTER(mets2418[[#This Row],[pasted JSON metabolite keys and values from GSM biomass rxn]],":"),",",""))</f>
        <v>-0.10797</v>
      </c>
      <c r="G12" s="21" cm="1">
        <f t="array" ref="G12">_xlfn.LET(_xlpm.id,mets2418[[#This Row],[name w/o location]],IF(IsElementOfSet_DIY(_xlpm.id,{"atp","adp","h","pi","h2o"}),SIGN(mets2418[[#This Row],[raw (GSM) coefficient]])*(ABS(mets2418[[#This Row],[raw (GSM) coefficient]])-$J$2),mets2418[[#This Row],[raw (GSM) coefficient]]))</f>
        <v>-0.10797</v>
      </c>
      <c r="H12" s="21">
        <f>mets2418[[#This Row],[coeff. w/o GAM]]</f>
        <v>-0.10797</v>
      </c>
      <c r="I12" s="161">
        <f t="shared" si="0"/>
        <v>-0.1166150405893973</v>
      </c>
      <c r="J12" s="21" cm="1">
        <f t="array" ref="J12">_xlfn.LET(_xlpm.id,mets2418[[#This Row],[name w/o location]],_xlpm.oldcoeff,mets2418[[#This Row],[normalized coeffs]],_xlpm.gam,$J$2-$G$2,_xlfn.IFS(IFERROR(MATCH(_xlpm.id,{"atp","h2o"},0),0)&gt;0,_xlpm.oldcoeff-_xlpm.gam,IFERROR(MATCH(_xlpm.id,{"adp","h","pi"},0),0)&gt;0,_xlpm.oldcoeff+_xlpm.gam,TRUE,_xlpm.oldcoeff))</f>
        <v>-0.1166150405893973</v>
      </c>
      <c r="K12" t="str" cm="1">
        <f t="array" ref="K12">"BIOSYN-"&amp;_xlfn.IFS(IFERROR(MATCH(mets2418[[#This Row],[category]],{0,"0",""},0),0)&gt;0,mets2418[[#This Row],[name]],TRUE,mets2418[[#This Row],[category]]&amp;"-"&amp;mets2418[[#This Row],[name]])</f>
        <v>BIOSYN-PROT-asntrna_c</v>
      </c>
      <c r="L12" s="149" t="str" cm="1">
        <f t="array" ref="L12">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12" s="149" cm="1">
        <f t="array" ref="M1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-0.1166150405893973</v>
      </c>
      <c r="N12" s="149"/>
      <c r="O12" s="162" t="str">
        <v>BIOSYN-PI</v>
      </c>
      <c r="P12" s="158" t="str">
        <f t="shared" si="1"/>
        <v>BIOSYN-PI</v>
      </c>
      <c r="Q12" s="158" t="str">
        <f>SUBSTITUTE(LOWER(biomassComponents2317[[#This Row],[rxn name]]),"biosyn-","BIO-")</f>
        <v>BIO-pi</v>
      </c>
      <c r="R12" s="160" cm="1">
        <f t="array" ref="R12">SUM(_xlfn._xlws.FILTER(-mets2418[MW for biomass normalization (g/mol)]*mets2418[normalized coeffs]/1000,mets2418[category]=_xlfn.TEXTAFTER(O12,"BIOSYN-"),""))</f>
        <v>0</v>
      </c>
      <c r="S12" s="160"/>
      <c r="T12" s="160" cm="1">
        <f t="array" ref="T12">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0</v>
      </c>
      <c r="U12" s="158"/>
      <c r="V12" s="158" t="e" cm="1">
        <f t="array" ref="V12">_xlfn.TEXTJOIN(" + ",TRUE,_xlfn._xlws.FILTER((-mets2418[normalized coeffs]*biomassComponents2317[[#This Row],[normalized coeffs]]/biomassComponents2317[[#This Row],[original coeffs from input]])&amp;" BIO-"&amp;mets2418[name],mets2418[category]=_xlfn.TEXTAFTER(P12,"BIOSYN-"),""))</f>
        <v>#DIV/0!</v>
      </c>
      <c r="X12" s="154" t="s">
        <v>52</v>
      </c>
      <c r="Y12" s="152" t="s">
        <v>55</v>
      </c>
      <c r="Z12" s="152" t="s">
        <v>56</v>
      </c>
      <c r="AB12" t="str">
        <v>BIOSYN-PROTDUMMY</v>
      </c>
      <c r="AC12" t="str">
        <v>BIO-protdummy --&gt; BIO-prot</v>
      </c>
    </row>
    <row r="13" spans="1:33" ht="16" x14ac:dyDescent="0.2">
      <c r="A13" s="142" t="s">
        <v>833</v>
      </c>
      <c r="B13" t="str">
        <f>SUBSTITUTE(_xlfn.TEXTBEFORE(mets2418[[#This Row],[pasted JSON metabolite keys and values from GSM biomass rxn]],":"),CHAR(34),"")</f>
        <v>asptrna_c</v>
      </c>
      <c r="C13" t="str">
        <f>_xlfn.TEXTBEFORE(mets2418[[#This Row],[name]],"_",-1)</f>
        <v>asptrna</v>
      </c>
      <c r="D13" t="str">
        <f>_xlfn.XLOOKUP(mets2418[[#This Row],[name w/o location]],metaboliteInfo[name w/o location],metaboliteInfo[suggested category],"")</f>
        <v>PROT</v>
      </c>
      <c r="E13" s="21">
        <f>_xlfn.XLOOKUP(mets2418[[#This Row],[name w/o location]],metaboliteInfo[name w/o location],metaboliteInfo[MW for biomass normalization (g/mol)],0)</f>
        <v>115.0874</v>
      </c>
      <c r="F13" s="21">
        <f>_xlfn.NUMBERVALUE(SUBSTITUTE(_xlfn.TEXTAFTER(mets2418[[#This Row],[pasted JSON metabolite keys and values from GSM biomass rxn]],":"),",",""))</f>
        <v>-0.197296</v>
      </c>
      <c r="G13" s="21" cm="1">
        <f t="array" ref="G13">_xlfn.LET(_xlpm.id,mets2418[[#This Row],[name w/o location]],IF(IsElementOfSet_DIY(_xlpm.id,{"atp","adp","h","pi","h2o"}),SIGN(mets2418[[#This Row],[raw (GSM) coefficient]])*(ABS(mets2418[[#This Row],[raw (GSM) coefficient]])-$J$2),mets2418[[#This Row],[raw (GSM) coefficient]]))</f>
        <v>-0.197296</v>
      </c>
      <c r="H13" s="21">
        <f>mets2418[[#This Row],[coeff. w/o GAM]]</f>
        <v>-0.197296</v>
      </c>
      <c r="I13" s="161">
        <f t="shared" si="0"/>
        <v>-0.21309327635570741</v>
      </c>
      <c r="J13" s="21" cm="1">
        <f t="array" ref="J13">_xlfn.LET(_xlpm.id,mets2418[[#This Row],[name w/o location]],_xlpm.oldcoeff,mets2418[[#This Row],[normalized coeffs]],_xlpm.gam,$J$2-$G$2,_xlfn.IFS(IFERROR(MATCH(_xlpm.id,{"atp","h2o"},0),0)&gt;0,_xlpm.oldcoeff-_xlpm.gam,IFERROR(MATCH(_xlpm.id,{"adp","h","pi"},0),0)&gt;0,_xlpm.oldcoeff+_xlpm.gam,TRUE,_xlpm.oldcoeff))</f>
        <v>-0.21309327635570741</v>
      </c>
      <c r="K13" t="str" cm="1">
        <f t="array" ref="K13">"BIOSYN-"&amp;_xlfn.IFS(IFERROR(MATCH(mets2418[[#This Row],[category]],{0,"0",""},0),0)&gt;0,mets2418[[#This Row],[name]],TRUE,mets2418[[#This Row],[category]]&amp;"-"&amp;mets2418[[#This Row],[name]])</f>
        <v>BIOSYN-PROT-asptrna_c</v>
      </c>
      <c r="L13" s="149" t="str" cm="1">
        <f t="array" ref="L13">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13" s="149" cm="1">
        <f t="array" ref="M13">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-0.21309327635570741</v>
      </c>
      <c r="N13" s="149"/>
      <c r="O13" s="162" t="str">
        <v>BIOSYN-PROT</v>
      </c>
      <c r="P13" s="158" t="str">
        <f t="shared" si="1"/>
        <v>BIOSYN-PROT</v>
      </c>
      <c r="Q13" s="158" t="s">
        <v>768</v>
      </c>
      <c r="R13" s="160" cm="1">
        <f t="array" ref="R13">SUM(_xlfn._xlws.FILTER(-mets2418[MW for biomass normalization (g/mol)]*mets2418[normalized coeffs]/1000,mets2418[category]=_xlfn.TEXTAFTER(O13,"BIOSYN-"),""))</f>
        <v>0.431717332433318</v>
      </c>
      <c r="S13" s="160"/>
      <c r="T13" s="160" cm="1">
        <f t="array" ref="T13">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0.431717332433318</v>
      </c>
      <c r="U13" s="158" t="str" cm="1">
        <f t="array" ref="U13">_xlfn.TEXTJOIN(" + ",TRUE,_xlfn._xlws.FILTER(ROUND(-mets2418[MW for biomass normalization (g/mol)]*mets2418[normalized coeffs]*(biomassComponents2317[[#This Row],[normalized coeffs]]/biomassComponents2317[[#This Row],[original coeffs from input]])/(1000*biomassComponents2317[[#This Row],[normalized coeffs]]),6)&amp;" BIO-"&amp;mets2418[name],mets2418[category]=_xlfn.TEXTAFTER(O13,"BIOSYN-"),""))&amp;" --&gt; "&amp;biomassComponents2317[[#This Row],[product name]]</f>
        <v>0.104162 BIO-alatrna_c + 0.058052 BIO-argtrna_c + 0.031094 BIO-asntrna_c + 0.056807 BIO-asptrna_c + 0.008929 BIO-cystrna_c + 0.03809 BIO-glntrna_c + 0.067405 BIO-glutrna_c + 0.074546 BIO-glytrna_c + 0.02114 BIO-histrna_c + 0.04529 BIO-iletrna_c + 0.091457 BIO-leutrna_c + 0.05613 BIO-lystrna_c + 0.018869 BIO-mettrna_c + 0.035279 BIO-phetrna_c + 0.057314 BIO-protrna_c + 0.074236 BIO-sertrna_c + 0.055724 BIO-thrtrna_c + 0.010922 BIO-trptrna_c + 0.025615 BIO-tyrtrna_c + 0.068937 BIO-valtrna_c --&gt; BIO-protmodeled</v>
      </c>
      <c r="V13" s="158" t="str" cm="1">
        <f t="array" ref="V13">_xlfn.TEXTJOIN(" + ",TRUE,_xlfn._xlws.FILTER((-mets2418[normalized coeffs]*biomassComponents2317[[#This Row],[normalized coeffs]]/biomassComponents2317[[#This Row],[original coeffs from input]])&amp;" BIO-"&amp;mets2418[name],mets2418[category]=_xlfn.TEXTAFTER(P13,"BIOSYN-"),""))</f>
        <v>0.623819722639442 BIO-alatrna_c + 0.158419107885985 BIO-argtrna_c + 0.116615040589397 BIO-asntrna_c + 0.213093276355707 BIO-asptrna_c + 0.0370128815963514 BIO-cystrna_c + 0.127337964762515 BIO-glntrna_c + 0.225381220384471 BIO-glutrna_c + 0.554312967780777 BIO-glytrna_c + 0.066064575231376 BIO-histrna_c + 0.171265447543023 BIO-iletrna_c + 0.345843466443715 BIO-leutrna_c + 0.186132596137197 BIO-lystrna_c + 0.0616179315145421 BIO-mettrna_c + 0.102783678083258 BIO-phetrna_c + 0.254785016485293 BIO-protrna_c + 0.363842814887008 BIO-sertrna_c + 0.235595432099335 BIO-thrtrna_c + 0.0251861269936478 BIO-trptrna_c + 0.0673563376519087 BIO-tyrtrna_c + 0.297200402786916 BIO-valtrna_c</v>
      </c>
      <c r="X13" s="154" t="s">
        <v>52</v>
      </c>
      <c r="Y13" s="152" t="s">
        <v>59</v>
      </c>
      <c r="Z13" s="152" t="s">
        <v>60</v>
      </c>
      <c r="AB13" t="str">
        <v>BIOSYN-PROTCYT</v>
      </c>
      <c r="AC13" t="str">
        <v>BIO-protcyt --&gt; BIO-protmodeled</v>
      </c>
    </row>
    <row r="14" spans="1:33" ht="16" x14ac:dyDescent="0.2">
      <c r="A14" s="142" t="s">
        <v>834</v>
      </c>
      <c r="B14" t="str">
        <f>SUBSTITUTE(_xlfn.TEXTBEFORE(mets2418[[#This Row],[pasted JSON metabolite keys and values from GSM biomass rxn]],":"),CHAR(34),"")</f>
        <v>atp_c</v>
      </c>
      <c r="C14" t="str">
        <f>_xlfn.TEXTBEFORE(mets2418[[#This Row],[name]],"_",-1)</f>
        <v>atp</v>
      </c>
      <c r="D14" t="str">
        <f>_xlfn.XLOOKUP(mets2418[[#This Row],[name w/o location]],metaboliteInfo[name w/o location],metaboliteInfo[suggested category],"")</f>
        <v>RNA</v>
      </c>
      <c r="E14" s="21">
        <f>_xlfn.XLOOKUP(mets2418[[#This Row],[name w/o location]],metaboliteInfo[name w/o location],metaboliteInfo[MW for biomass normalization (g/mol)],0)</f>
        <v>328.19800099999998</v>
      </c>
      <c r="F14" s="21">
        <f>_xlfn.NUMBERVALUE(SUBSTITUTE(_xlfn.TEXTAFTER(mets2418[[#This Row],[pasted JSON metabolite keys and values from GSM biomass rxn]],":"),",",""))</f>
        <v>-139.68870000000001</v>
      </c>
      <c r="G14" s="21" cm="1">
        <f t="array" ref="G14">_xlfn.LET(_xlpm.id,mets2418[[#This Row],[name w/o location]],IF(IsElementOfSet_DIY(_xlpm.id,{"atp","adp","h","pi","h2o"}),SIGN(mets2418[[#This Row],[raw (GSM) coefficient]])*(ABS(mets2418[[#This Row],[raw (GSM) coefficient]])-$J$2),mets2418[[#This Row],[raw (GSM) coefficient]]))</f>
        <v>-4.9247000000008256E-2</v>
      </c>
      <c r="H14" s="21">
        <f>mets2418[[#This Row],[coeff. w/o GAM]]</f>
        <v>-4.9247000000008256E-2</v>
      </c>
      <c r="I14" s="161">
        <f t="shared" si="0"/>
        <v>-5.3190153782597123E-2</v>
      </c>
      <c r="J14" s="21" cm="1">
        <f t="array" ref="J14">_xlfn.LET(_xlpm.id,mets2418[[#This Row],[name w/o location]],_xlpm.oldcoeff,mets2418[[#This Row],[normalized coeffs]],_xlpm.gam,$J$2-$G$2,_xlfn.IFS(IFERROR(MATCH(_xlpm.id,{"atp","h2o"},0),0)&gt;0,_xlpm.oldcoeff-_xlpm.gam,IFERROR(MATCH(_xlpm.id,{"adp","h","pi"},0),0)&gt;0,_xlpm.oldcoeff+_xlpm.gam,TRUE,_xlpm.oldcoeff))</f>
        <v>-133.0026431537826</v>
      </c>
      <c r="K14" t="str" cm="1">
        <f t="array" ref="K14">"BIOSYN-"&amp;_xlfn.IFS(IFERROR(MATCH(mets2418[[#This Row],[category]],{0,"0",""},0),0)&gt;0,mets2418[[#This Row],[name]],TRUE,mets2418[[#This Row],[category]]&amp;"-"&amp;mets2418[[#This Row],[name]])</f>
        <v>BIOSYN-RNA-atp_c</v>
      </c>
      <c r="L14" s="149" t="str" cm="1">
        <f t="array" ref="L14">IF(IsElementOfSet_DIY(mets2418[[#This Row],[category]],{"ignore","PROT"}),"",_xlfn.LET(_xlpm.mw,mets2418[[#This Row],[MW for biomass normalization (g/mol)]],"MET-"&amp;mets2418[[#This Row],[name]]&amp;" --&gt; "&amp;IF((mets2418[[#This Row],[category]]="DNA")+(mets2418[[#This Row],[category]]="RNA"),"MET-ppi_c + ","")&amp;ROUND(ABS(_xlpm.mw/1000),6)&amp;" BIO-"&amp;mets2418[[#This Row],[name]]))</f>
        <v>MET-atp_c --&gt; MET-ppi_c + 0.328198 BIO-atp_c</v>
      </c>
      <c r="M14" s="149" cm="1">
        <f t="array" ref="M14">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-139.6926431537826</v>
      </c>
      <c r="N14" s="149"/>
      <c r="O14" s="162" t="str">
        <v>BIOSYN-RNA</v>
      </c>
      <c r="P14" s="158" t="str">
        <f t="shared" si="1"/>
        <v>BIOSYN-RNA</v>
      </c>
      <c r="Q14" s="158" t="str">
        <f>SUBSTITUTE(LOWER(biomassComponents2317[[#This Row],[rxn name]]),"biosyn-","BIO-")</f>
        <v>BIO-rna</v>
      </c>
      <c r="R14" s="160" cm="1">
        <f t="array" ref="R14">SUM(_xlfn._xlws.FILTER(-mets2418[MW for biomass normalization (g/mol)]*mets2418[normalized coeffs]/1000,mets2418[category]=_xlfn.TEXTAFTER(O14,"BIOSYN-"),""))</f>
        <v>6.8044470735099255E-2</v>
      </c>
      <c r="S14" s="160"/>
      <c r="T14" s="160" cm="1">
        <f t="array" ref="T14">IF(biomassComponents2317[[#This Row],[pre-determined coeffs]]&lt;&gt;"",biomassComponents2317[[#This Row],[pre-determined coeffs]]*IF(SUM(biomassComponents2317[pre-determined coeffs])&gt;1,1/SUM(biomassComponents2317[pre-determined coeffs]),1)*(1-SUM(_xlfn._xlws.FILTER(biomassComponents2317[original coeffs from input],biomassComponents2317[pre-determined coeffs]=""))),biomassComponents2317[[#This Row],[original coeffs from input]])</f>
        <v>6.8044470735099255E-2</v>
      </c>
      <c r="U14" s="163" t="s">
        <v>81</v>
      </c>
      <c r="V14" s="158" t="str" cm="1">
        <f t="array" ref="V14">_xlfn.TEXTJOIN(" + ",TRUE,_xlfn._xlws.FILTER((-mets2418[normalized coeffs]*biomassComponents2317[[#This Row],[normalized coeffs]]/biomassComponents2317[[#This Row],[original coeffs from input]])&amp;" BIO-"&amp;mets2418[name],mets2418[category]=_xlfn.TEXTAFTER(P14,"BIOSYN-"),""))</f>
        <v>0.0531901537825971 BIO-atp_c + 0.0484745729062956 BIO-ctp_c + 0.0551753204455808 BIO-gtp_c + 0.0552228434777743 BIO-utp_c</v>
      </c>
      <c r="X14" s="154" t="s">
        <v>52</v>
      </c>
      <c r="Y14" s="152" t="s">
        <v>61</v>
      </c>
      <c r="Z14" s="152" t="s">
        <v>62</v>
      </c>
      <c r="AB14" t="str">
        <v>BIOSYN-PROTMITO</v>
      </c>
      <c r="AC14" t="str">
        <v>BIO-protmito --&gt; BIO-protmodeled</v>
      </c>
    </row>
    <row r="15" spans="1:33" ht="16" x14ac:dyDescent="0.2">
      <c r="A15" s="142" t="s">
        <v>835</v>
      </c>
      <c r="B15" t="str">
        <f>SUBSTITUTE(_xlfn.TEXTBEFORE(mets2418[[#This Row],[pasted JSON metabolite keys and values from GSM biomass rxn]],":"),CHAR(34),"")</f>
        <v>btn_m</v>
      </c>
      <c r="C15" t="str">
        <f>_xlfn.TEXTBEFORE(mets2418[[#This Row],[name]],"_",-1)</f>
        <v>btn</v>
      </c>
      <c r="D15" t="str">
        <f>_xlfn.XLOOKUP(mets2418[[#This Row],[name w/o location]],metaboliteInfo[name w/o location],metaboliteInfo[suggested category],"")</f>
        <v>COFACTOR</v>
      </c>
      <c r="E15" s="21">
        <f>_xlfn.XLOOKUP(mets2418[[#This Row],[name w/o location]],metaboliteInfo[name w/o location],metaboliteInfo[MW for biomass normalization (g/mol)],0)</f>
        <v>243.30269999999999</v>
      </c>
      <c r="F15" s="21">
        <f>_xlfn.NUMBERVALUE(SUBSTITUTE(_xlfn.TEXTAFTER(mets2418[[#This Row],[pasted JSON metabolite keys and values from GSM biomass rxn]],":"),",",""))</f>
        <v>-2.418E-3</v>
      </c>
      <c r="G15" s="21" cm="1">
        <f t="array" ref="G15">_xlfn.LET(_xlpm.id,mets2418[[#This Row],[name w/o location]],IF(IsElementOfSet_DIY(_xlpm.id,{"atp","adp","h","pi","h2o"}),SIGN(mets2418[[#This Row],[raw (GSM) coefficient]])*(ABS(mets2418[[#This Row],[raw (GSM) coefficient]])-$J$2),mets2418[[#This Row],[raw (GSM) coefficient]]))</f>
        <v>-2.418E-3</v>
      </c>
      <c r="H15" s="21">
        <f>mets2418[[#This Row],[coeff. w/o GAM]]</f>
        <v>-2.418E-3</v>
      </c>
      <c r="I15" s="161">
        <f t="shared" si="0"/>
        <v>-2.6116066328161773E-3</v>
      </c>
      <c r="J15" s="21" cm="1">
        <f t="array" ref="J15">_xlfn.LET(_xlpm.id,mets2418[[#This Row],[name w/o location]],_xlpm.oldcoeff,mets2418[[#This Row],[normalized coeffs]],_xlpm.gam,$J$2-$G$2,_xlfn.IFS(IFERROR(MATCH(_xlpm.id,{"atp","h2o"},0),0)&gt;0,_xlpm.oldcoeff-_xlpm.gam,IFERROR(MATCH(_xlpm.id,{"adp","h","pi"},0),0)&gt;0,_xlpm.oldcoeff+_xlpm.gam,TRUE,_xlpm.oldcoeff))</f>
        <v>-2.6116066328161773E-3</v>
      </c>
      <c r="K15" t="str" cm="1">
        <f t="array" ref="K15">"BIOSYN-"&amp;_xlfn.IFS(IFERROR(MATCH(mets2418[[#This Row],[category]],{0,"0",""},0),0)&gt;0,mets2418[[#This Row],[name]],TRUE,mets2418[[#This Row],[category]]&amp;"-"&amp;mets2418[[#This Row],[name]])</f>
        <v>BIOSYN-COFACTOR-btn_m</v>
      </c>
      <c r="L15" s="149" t="str" cm="1">
        <f t="array" ref="L15">IF(IsElementOfSet_DIY(mets2418[[#This Row],[category]],{"ignore","PROT"}),"",_xlfn.LET(_xlpm.mw,mets2418[[#This Row],[MW for biomass normalization (g/mol)]],"MET-"&amp;mets2418[[#This Row],[name]]&amp;" --&gt; "&amp;IF((mets2418[[#This Row],[category]]="DNA")+(mets2418[[#This Row],[category]]="RNA"),"MET-ppi_c + ","")&amp;ROUND(ABS(_xlpm.mw/1000),6)&amp;" BIO-"&amp;mets2418[[#This Row],[name]]))</f>
        <v>MET-btn_m --&gt; 0.243303 BIO-btn_m</v>
      </c>
      <c r="M15" s="149" cm="1">
        <f t="array" ref="M15">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-2.6116066328161773E-3</v>
      </c>
      <c r="N15" s="149"/>
      <c r="O15" s="149"/>
      <c r="P15" s="149"/>
      <c r="Q15" s="149"/>
      <c r="R15" s="149"/>
      <c r="S15" s="149"/>
      <c r="T15" s="149"/>
      <c r="U15" s="149"/>
      <c r="V15" s="149"/>
      <c r="X15" s="154"/>
      <c r="Y15" s="152" t="s">
        <v>763</v>
      </c>
      <c r="Z15" s="152" t="str" cm="1">
        <f t="array" ref="Z15">_xlfn.LET(_xlpm.RNAmass,_xlfn.XLOOKUP("BIOSYN-RNA",biomassComponents2317[rxn name],biomassComponents2317[normalized coeffs],0),_xlpm.coeff,1/_xlpm.RNAmass,_xlfn.TEXTJOIN(" + ",TRUE,_xlfn._xlws.FILTER(ROUND(-mets2418[MW for biomass normalization (g/mol)]*mets2418[normalized coeffs]/(1000),6)*_xlpm.coeff&amp;" BIO-"&amp;mets2418[name],mets2418[category]="RNA",""))&amp;" --&gt; "&amp;SUBSTITUTE(LOWER(ExtraRxns2216[[#This Row],[name]]),"biosyn-","BIO-"))</f>
        <v>0.25655280747147 BIO-atp_c + 0.216696519801044 BIO-ctp_c + 0.279096887591836 BIO-gtp_c + 0.247661563356202 BIO-utp_c --&gt; BIO-trna</v>
      </c>
      <c r="AB15" t="str">
        <v>BIOSYN-TRNA</v>
      </c>
      <c r="AC15" t="str">
        <v>0.25655280747147 BIO-atp_c + 0.216696519801044 BIO-ctp_c + 0.279096887591836 BIO-gtp_c + 0.247661563356202 BIO-utp_c --&gt; BIO-trna</v>
      </c>
    </row>
    <row r="16" spans="1:33" ht="16" x14ac:dyDescent="0.2">
      <c r="A16" s="142" t="s">
        <v>836</v>
      </c>
      <c r="B16" t="str">
        <f>SUBSTITUTE(_xlfn.TEXTBEFORE(mets2418[[#This Row],[pasted JSON metabolite keys and values from GSM biomass rxn]],":"),CHAR(34),"")</f>
        <v>ca2_c</v>
      </c>
      <c r="C16" t="str">
        <f>_xlfn.TEXTBEFORE(mets2418[[#This Row],[name]],"_",-1)</f>
        <v>ca2</v>
      </c>
      <c r="D16" t="str">
        <f>_xlfn.XLOOKUP(mets2418[[#This Row],[name w/o location]],metaboliteInfo[name w/o location],metaboliteInfo[suggested category],"")</f>
        <v>METAL</v>
      </c>
      <c r="E16" s="21">
        <f>_xlfn.XLOOKUP(mets2418[[#This Row],[name w/o location]],metaboliteInfo[name w/o location],metaboliteInfo[MW for biomass normalization (g/mol)],0)</f>
        <v>40.078000000000003</v>
      </c>
      <c r="F16" s="21">
        <f>_xlfn.NUMBERVALUE(SUBSTITUTE(_xlfn.TEXTAFTER(mets2418[[#This Row],[pasted JSON metabolite keys and values from GSM biomass rxn]],":"),",",""))</f>
        <v>-8.3199999999999995E-4</v>
      </c>
      <c r="G16" s="21" cm="1">
        <f t="array" ref="G16">_xlfn.LET(_xlpm.id,mets2418[[#This Row],[name w/o location]],IF(IsElementOfSet_DIY(_xlpm.id,{"atp","adp","h","pi","h2o"}),SIGN(mets2418[[#This Row],[raw (GSM) coefficient]])*(ABS(mets2418[[#This Row],[raw (GSM) coefficient]])-$J$2),mets2418[[#This Row],[raw (GSM) coefficient]]))</f>
        <v>-8.3199999999999995E-4</v>
      </c>
      <c r="H16" s="21">
        <f>mets2418[[#This Row],[coeff. w/o GAM]]</f>
        <v>-8.3199999999999995E-4</v>
      </c>
      <c r="I16" s="161">
        <f t="shared" si="0"/>
        <v>-8.9861733602277069E-4</v>
      </c>
      <c r="J16" s="21" cm="1">
        <f t="array" ref="J16">_xlfn.LET(_xlpm.id,mets2418[[#This Row],[name w/o location]],_xlpm.oldcoeff,mets2418[[#This Row],[normalized coeffs]],_xlpm.gam,$J$2-$G$2,_xlfn.IFS(IFERROR(MATCH(_xlpm.id,{"atp","h2o"},0),0)&gt;0,_xlpm.oldcoeff-_xlpm.gam,IFERROR(MATCH(_xlpm.id,{"adp","h","pi"},0),0)&gt;0,_xlpm.oldcoeff+_xlpm.gam,TRUE,_xlpm.oldcoeff))</f>
        <v>-8.9861733602277069E-4</v>
      </c>
      <c r="K16" t="str" cm="1">
        <f t="array" ref="K16">"BIOSYN-"&amp;_xlfn.IFS(IFERROR(MATCH(mets2418[[#This Row],[category]],{0,"0",""},0),0)&gt;0,mets2418[[#This Row],[name]],TRUE,mets2418[[#This Row],[category]]&amp;"-"&amp;mets2418[[#This Row],[name]])</f>
        <v>BIOSYN-METAL-ca2_c</v>
      </c>
      <c r="L16" s="149" t="str" cm="1">
        <f t="array" ref="L16">IF(IsElementOfSet_DIY(mets2418[[#This Row],[category]],{"ignore","PROT"}),"",_xlfn.LET(_xlpm.mw,mets2418[[#This Row],[MW for biomass normalization (g/mol)]],"MET-"&amp;mets2418[[#This Row],[name]]&amp;" --&gt; "&amp;IF((mets2418[[#This Row],[category]]="DNA")+(mets2418[[#This Row],[category]]="RNA"),"MET-ppi_c + ","")&amp;ROUND(ABS(_xlpm.mw/1000),6)&amp;" BIO-"&amp;mets2418[[#This Row],[name]]))</f>
        <v>MET-ca2_c --&gt; 0.040078 BIO-ca2_c</v>
      </c>
      <c r="M16" s="149" cm="1">
        <f t="array" ref="M1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-8.9861733602277069E-4</v>
      </c>
      <c r="N16" s="149"/>
      <c r="O16" s="149"/>
      <c r="P16" s="145"/>
      <c r="Q16" s="166"/>
      <c r="R16" s="95"/>
      <c r="S16" s="149"/>
      <c r="T16" s="149"/>
      <c r="U16" s="149"/>
      <c r="V16" s="149"/>
      <c r="X16" s="154"/>
      <c r="Y16" s="152" t="s">
        <v>765</v>
      </c>
      <c r="Z16" s="152" t="str" cm="1">
        <f t="array" ref="Z16">_xlfn.LET(_xlpm.RNAmass,_xlfn.XLOOKUP("BIOSYN-RNA",biomassComponents2317[rxn name],biomassComponents2317[normalized coeffs],0),_xlpm.coeff,1/_xlpm.RNAmass,_xlfn.TEXTJOIN(" + ",TRUE,_xlfn._xlws.FILTER(ROUND(-mets2418[MW for biomass normalization (g/mol)]*mets2418[normalized coeffs]/(1000),6)*_xlpm.coeff&amp;" BIO-"&amp;mets2418[name],mets2418[category]="RNA",""))&amp;" --&gt; "&amp;SUBSTITUTE(LOWER(ExtraRxns2216[[#This Row],[name]]),"biosyn-","BIO-"))</f>
        <v>0.25655280747147 BIO-atp_c + 0.216696519801044 BIO-ctp_c + 0.279096887591836 BIO-gtp_c + 0.247661563356202 BIO-utp_c --&gt; BIO-rrna</v>
      </c>
      <c r="AB16" t="str">
        <v>BIOSYN-RRNA</v>
      </c>
      <c r="AC16" t="str">
        <v>0.25655280747147 BIO-atp_c + 0.216696519801044 BIO-ctp_c + 0.279096887591836 BIO-gtp_c + 0.247661563356202 BIO-utp_c --&gt; BIO-rrna</v>
      </c>
    </row>
    <row r="17" spans="1:29" ht="16" x14ac:dyDescent="0.2">
      <c r="A17" s="142" t="s">
        <v>837</v>
      </c>
      <c r="B17" t="str">
        <f>SUBSTITUTE(_xlfn.TEXTBEFORE(mets2418[[#This Row],[pasted JSON metabolite keys and values from GSM biomass rxn]],":"),CHAR(34),"")</f>
        <v>camp_c</v>
      </c>
      <c r="C17" t="str">
        <f>_xlfn.TEXTBEFORE(mets2418[[#This Row],[name]],"_",-1)</f>
        <v>camp</v>
      </c>
      <c r="D17" t="str">
        <f>_xlfn.XLOOKUP(mets2418[[#This Row],[name w/o location]],metaboliteInfo[name w/o location],metaboliteInfo[suggested category],"")</f>
        <v>other</v>
      </c>
      <c r="E17" s="21">
        <f>_xlfn.XLOOKUP(mets2418[[#This Row],[name w/o location]],metaboliteInfo[name w/o location],metaboliteInfo[MW for biomass normalization (g/mol)],0)</f>
        <v>328.19800099999998</v>
      </c>
      <c r="F17" s="21">
        <f>_xlfn.NUMBERVALUE(SUBSTITUTE(_xlfn.TEXTAFTER(mets2418[[#This Row],[pasted JSON metabolite keys and values from GSM biomass rxn]],":"),",",""))</f>
        <v>-1.792E-3</v>
      </c>
      <c r="G17" s="21" cm="1">
        <f t="array" ref="G17">_xlfn.LET(_xlpm.id,mets2418[[#This Row],[name w/o location]],IF(IsElementOfSet_DIY(_xlpm.id,{"atp","adp","h","pi","h2o"}),SIGN(mets2418[[#This Row],[raw (GSM) coefficient]])*(ABS(mets2418[[#This Row],[raw (GSM) coefficient]])-$J$2),mets2418[[#This Row],[raw (GSM) coefficient]]))</f>
        <v>-1.792E-3</v>
      </c>
      <c r="H17" s="21">
        <f>mets2418[[#This Row],[coeff. w/o GAM]]</f>
        <v>-1.792E-3</v>
      </c>
      <c r="I17" s="161">
        <f t="shared" si="0"/>
        <v>-1.9354834929721215E-3</v>
      </c>
      <c r="J17" s="21" cm="1">
        <f t="array" ref="J17">_xlfn.LET(_xlpm.id,mets2418[[#This Row],[name w/o location]],_xlpm.oldcoeff,mets2418[[#This Row],[normalized coeffs]],_xlpm.gam,$J$2-$G$2,_xlfn.IFS(IFERROR(MATCH(_xlpm.id,{"atp","h2o"},0),0)&gt;0,_xlpm.oldcoeff-_xlpm.gam,IFERROR(MATCH(_xlpm.id,{"adp","h","pi"},0),0)&gt;0,_xlpm.oldcoeff+_xlpm.gam,TRUE,_xlpm.oldcoeff))</f>
        <v>-1.9354834929721215E-3</v>
      </c>
      <c r="K17" t="str" cm="1">
        <f t="array" ref="K17">"BIOSYN-"&amp;_xlfn.IFS(IFERROR(MATCH(mets2418[[#This Row],[category]],{0,"0",""},0),0)&gt;0,mets2418[[#This Row],[name]],TRUE,mets2418[[#This Row],[category]]&amp;"-"&amp;mets2418[[#This Row],[name]])</f>
        <v>BIOSYN-other-camp_c</v>
      </c>
      <c r="L17" s="149" t="str" cm="1">
        <f t="array" ref="L17">IF(IsElementOfSet_DIY(mets2418[[#This Row],[category]],{"ignore","PROT"}),"",_xlfn.LET(_xlpm.mw,mets2418[[#This Row],[MW for biomass normalization (g/mol)]],"MET-"&amp;mets2418[[#This Row],[name]]&amp;" --&gt; "&amp;IF((mets2418[[#This Row],[category]]="DNA")+(mets2418[[#This Row],[category]]="RNA"),"MET-ppi_c + ","")&amp;ROUND(ABS(_xlpm.mw/1000),6)&amp;" BIO-"&amp;mets2418[[#This Row],[name]]))</f>
        <v>MET-camp_c --&gt; 0.328198 BIO-camp_c</v>
      </c>
      <c r="M17" s="149" cm="1">
        <f t="array" ref="M1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-1.9354834929721215E-3</v>
      </c>
      <c r="N17" s="149"/>
      <c r="O17" s="149"/>
      <c r="P17" s="169"/>
      <c r="Q17" s="169"/>
      <c r="S17" s="169"/>
      <c r="T17" s="169"/>
      <c r="U17" s="169"/>
      <c r="V17" s="149"/>
      <c r="X17" s="154"/>
      <c r="Y17" s="152" t="s">
        <v>764</v>
      </c>
      <c r="Z17" s="152" t="str" cm="1">
        <f t="array" ref="Z17">_xlfn.LET(_xlpm.RNAmass,_xlfn.XLOOKUP("BIOSYN-RNA",biomassComponents2317[rxn name],biomassComponents2317[normalized coeffs],0),_xlpm.coeff,1/_xlpm.RNAmass,_xlfn.TEXTJOIN(" + ",TRUE,_xlfn._xlws.FILTER(ROUND(-mets2418[MW for biomass normalization (g/mol)]*mets2418[normalized coeffs]/(1000),6)*_xlpm.coeff&amp;" BIO-"&amp;mets2418[name],mets2418[category]="RNA",""))&amp;" --&gt; "&amp;SUBSTITUTE(LOWER(ExtraRxns2216[[#This Row],[name]]),"biosyn-","BIO-"))</f>
        <v>0.25655280747147 BIO-atp_c + 0.216696519801044 BIO-ctp_c + 0.279096887591836 BIO-gtp_c + 0.247661563356202 BIO-utp_c --&gt; BIO-mrna</v>
      </c>
      <c r="AB17" t="str">
        <v>BIOSYN-MRNA</v>
      </c>
      <c r="AC17" t="str">
        <v>0.25655280747147 BIO-atp_c + 0.216696519801044 BIO-ctp_c + 0.279096887591836 BIO-gtp_c + 0.247661563356202 BIO-utp_c --&gt; BIO-mrna</v>
      </c>
    </row>
    <row r="18" spans="1:29" ht="16" x14ac:dyDescent="0.2">
      <c r="A18" s="142" t="s">
        <v>838</v>
      </c>
      <c r="B18" t="str">
        <f>SUBSTITUTE(_xlfn.TEXTBEFORE(mets2418[[#This Row],[pasted JSON metabolite keys and values from GSM biomass rxn]],":"),CHAR(34),"")</f>
        <v>chtn_c</v>
      </c>
      <c r="C18" t="str">
        <f>_xlfn.TEXTBEFORE(mets2418[[#This Row],[name]],"_",-1)</f>
        <v>chtn</v>
      </c>
      <c r="D18" t="str">
        <f>_xlfn.XLOOKUP(mets2418[[#This Row],[name w/o location]],metaboliteInfo[name w/o location],metaboliteInfo[suggested category],"")</f>
        <v>CARB</v>
      </c>
      <c r="E18" s="21">
        <f>_xlfn.XLOOKUP(mets2418[[#This Row],[name w/o location]],metaboliteInfo[name w/o location],metaboliteInfo[MW for biomass normalization (g/mol)],0)</f>
        <v>203.19252</v>
      </c>
      <c r="F18" s="21">
        <f>_xlfn.NUMBERVALUE(SUBSTITUTE(_xlfn.TEXTAFTER(mets2418[[#This Row],[pasted JSON metabolite keys and values from GSM biomass rxn]],":"),",",""))</f>
        <v>-3.1005000000000001E-2</v>
      </c>
      <c r="G18" s="21" cm="1">
        <f t="array" ref="G18">_xlfn.LET(_xlpm.id,mets2418[[#This Row],[name w/o location]],IF(IsElementOfSet_DIY(_xlpm.id,{"atp","adp","h","pi","h2o"}),SIGN(mets2418[[#This Row],[raw (GSM) coefficient]])*(ABS(mets2418[[#This Row],[raw (GSM) coefficient]])-$J$2),mets2418[[#This Row],[raw (GSM) coefficient]]))</f>
        <v>-3.1005000000000001E-2</v>
      </c>
      <c r="H18" s="21">
        <f>mets2418[[#This Row],[coeff. w/o GAM]]</f>
        <v>-3.1005000000000001E-2</v>
      </c>
      <c r="I18" s="161">
        <f t="shared" si="0"/>
        <v>-3.3487536662723569E-2</v>
      </c>
      <c r="J18" s="21" cm="1">
        <f t="array" ref="J18">_xlfn.LET(_xlpm.id,mets2418[[#This Row],[name w/o location]],_xlpm.oldcoeff,mets2418[[#This Row],[normalized coeffs]],_xlpm.gam,$J$2-$G$2,_xlfn.IFS(IFERROR(MATCH(_xlpm.id,{"atp","h2o"},0),0)&gt;0,_xlpm.oldcoeff-_xlpm.gam,IFERROR(MATCH(_xlpm.id,{"adp","h","pi"},0),0)&gt;0,_xlpm.oldcoeff+_xlpm.gam,TRUE,_xlpm.oldcoeff))</f>
        <v>-3.3487536662723569E-2</v>
      </c>
      <c r="K18" t="str" cm="1">
        <f t="array" ref="K18">"BIOSYN-"&amp;_xlfn.IFS(IFERROR(MATCH(mets2418[[#This Row],[category]],{0,"0",""},0),0)&gt;0,mets2418[[#This Row],[name]],TRUE,mets2418[[#This Row],[category]]&amp;"-"&amp;mets2418[[#This Row],[name]])</f>
        <v>BIOSYN-CARB-chtn_c</v>
      </c>
      <c r="L18" s="149" t="str" cm="1">
        <f t="array" ref="L18">IF(IsElementOfSet_DIY(mets2418[[#This Row],[category]],{"ignore","PROT"}),"",_xlfn.LET(_xlpm.mw,mets2418[[#This Row],[MW for biomass normalization (g/mol)]],"MET-"&amp;mets2418[[#This Row],[name]]&amp;" --&gt; "&amp;IF((mets2418[[#This Row],[category]]="DNA")+(mets2418[[#This Row],[category]]="RNA"),"MET-ppi_c + ","")&amp;ROUND(ABS(_xlpm.mw/1000),6)&amp;" BIO-"&amp;mets2418[[#This Row],[name]]))</f>
        <v>MET-chtn_c --&gt; 0.203193 BIO-chtn_c</v>
      </c>
      <c r="M18" s="149" cm="1">
        <f t="array" ref="M1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-3.3487536662723569E-2</v>
      </c>
      <c r="N18" s="149"/>
      <c r="O18" s="149"/>
      <c r="P18" s="168"/>
      <c r="Q18" s="168"/>
      <c r="R18" s="168"/>
      <c r="S18" s="168"/>
      <c r="T18" s="168"/>
      <c r="U18" s="149"/>
      <c r="V18" s="149"/>
      <c r="AB18" t="str">
        <v>BIOSYN-CARB</v>
      </c>
      <c r="AC18" t="str">
        <v>0.375635 BIO-13BDglucan_c + 0.069562 BIO-16BDglucan_en + 0.015243 BIO-chtn_c + 0.203242 BIO-glycogen_c + 0.316961 BIO-mannan_r + 0.019357 BIO-tre_c --&gt; BIO-carb</v>
      </c>
    </row>
    <row r="19" spans="1:29" ht="16" x14ac:dyDescent="0.2">
      <c r="A19" s="142" t="s">
        <v>839</v>
      </c>
      <c r="B19" t="str">
        <f>SUBSTITUTE(_xlfn.TEXTBEFORE(mets2418[[#This Row],[pasted JSON metabolite keys and values from GSM biomass rxn]],":"),CHAR(34),"")</f>
        <v>clpn_mm</v>
      </c>
      <c r="C19" t="str">
        <f>_xlfn.TEXTBEFORE(mets2418[[#This Row],[name]],"_",-1)</f>
        <v>clpn</v>
      </c>
      <c r="D19" t="str">
        <f>_xlfn.XLOOKUP(mets2418[[#This Row],[name w/o location]],metaboliteInfo[name w/o location],metaboliteInfo[suggested category],"")</f>
        <v>LIPID</v>
      </c>
      <c r="E19" s="21">
        <f>_xlfn.XLOOKUP(mets2418[[#This Row],[name w/o location]],metaboliteInfo[name w/o location],metaboliteInfo[MW for biomass normalization (g/mol)],0)</f>
        <v>144970.98955999999</v>
      </c>
      <c r="F19" s="21">
        <f>_xlfn.NUMBERVALUE(SUBSTITUTE(_xlfn.TEXTAFTER(mets2418[[#This Row],[pasted JSON metabolite keys and values from GSM biomass rxn]],":"),",",""))</f>
        <v>-1.8E-5</v>
      </c>
      <c r="G19" s="21" cm="1">
        <f t="array" ref="G19">_xlfn.LET(_xlpm.id,mets2418[[#This Row],[name w/o location]],IF(IsElementOfSet_DIY(_xlpm.id,{"atp","adp","h","pi","h2o"}),SIGN(mets2418[[#This Row],[raw (GSM) coefficient]])*(ABS(mets2418[[#This Row],[raw (GSM) coefficient]])-$J$2),mets2418[[#This Row],[raw (GSM) coefficient]]))</f>
        <v>-1.8E-5</v>
      </c>
      <c r="H19" s="21">
        <f>mets2418[[#This Row],[coeff. w/o GAM]]</f>
        <v>-1.8E-5</v>
      </c>
      <c r="I19" s="161">
        <f t="shared" si="0"/>
        <v>-1.944124044280033E-5</v>
      </c>
      <c r="J19" s="21" cm="1">
        <f t="array" ref="J19">_xlfn.LET(_xlpm.id,mets2418[[#This Row],[name w/o location]],_xlpm.oldcoeff,mets2418[[#This Row],[normalized coeffs]],_xlpm.gam,$J$2-$G$2,_xlfn.IFS(IFERROR(MATCH(_xlpm.id,{"atp","h2o"},0),0)&gt;0,_xlpm.oldcoeff-_xlpm.gam,IFERROR(MATCH(_xlpm.id,{"adp","h","pi"},0),0)&gt;0,_xlpm.oldcoeff+_xlpm.gam,TRUE,_xlpm.oldcoeff))</f>
        <v>-1.944124044280033E-5</v>
      </c>
      <c r="K19" t="str" cm="1">
        <f t="array" ref="K19">"BIOSYN-"&amp;_xlfn.IFS(IFERROR(MATCH(mets2418[[#This Row],[category]],{0,"0",""},0),0)&gt;0,mets2418[[#This Row],[name]],TRUE,mets2418[[#This Row],[category]]&amp;"-"&amp;mets2418[[#This Row],[name]])</f>
        <v>BIOSYN-LIPID-clpn_mm</v>
      </c>
      <c r="L19" s="149" t="str" cm="1">
        <f t="array" ref="L19">IF(IsElementOfSet_DIY(mets2418[[#This Row],[category]],{"ignore","PROT"}),"",_xlfn.LET(_xlpm.mw,mets2418[[#This Row],[MW for biomass normalization (g/mol)]],"MET-"&amp;mets2418[[#This Row],[name]]&amp;" --&gt; "&amp;IF((mets2418[[#This Row],[category]]="DNA")+(mets2418[[#This Row],[category]]="RNA"),"MET-ppi_c + ","")&amp;ROUND(ABS(_xlpm.mw/1000),6)&amp;" BIO-"&amp;mets2418[[#This Row],[name]]))</f>
        <v>MET-clpn_mm --&gt; 144.97099 BIO-clpn_mm</v>
      </c>
      <c r="M19" s="149" cm="1">
        <f t="array" ref="M1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-1.944124044280033E-5</v>
      </c>
      <c r="N19" s="149"/>
      <c r="O19" s="149"/>
      <c r="P19" s="149"/>
      <c r="Q19" s="149"/>
      <c r="R19" s="149"/>
      <c r="S19" s="149"/>
      <c r="T19" s="149"/>
      <c r="U19" s="149"/>
      <c r="V19" s="149"/>
      <c r="AB19" t="str">
        <v>BIOSYN-COFACTOR</v>
      </c>
      <c r="AC19" t="str">
        <v>0.085973 BIO-5mthf_c + 0.08599 BIO-btn_m + 0.08593 BIO-coa_c + 0.085898 BIO-fad_c + 0.085933 BIO-hemeA_m + 0.085978 BIO-nad_c + 0.086033 BIO-nadp_c + 0.085989 BIO-pydx5p_c + 0.054315 BIO-ribflv_c + 0.085972 BIO-spmd_c + 0.086005 BIO-thf_c + 0.085982 BIO-thmpp_c --&gt; BIO-cofactor</v>
      </c>
    </row>
    <row r="20" spans="1:29" ht="16" x14ac:dyDescent="0.2">
      <c r="A20" s="142" t="s">
        <v>840</v>
      </c>
      <c r="B20" t="str">
        <f>SUBSTITUTE(_xlfn.TEXTBEFORE(mets2418[[#This Row],[pasted JSON metabolite keys and values from GSM biomass rxn]],":"),CHAR(34),"")</f>
        <v>coa_c</v>
      </c>
      <c r="C20" t="str">
        <f>_xlfn.TEXTBEFORE(mets2418[[#This Row],[name]],"_",-1)</f>
        <v>coa</v>
      </c>
      <c r="D20" t="str">
        <f>_xlfn.XLOOKUP(mets2418[[#This Row],[name w/o location]],metaboliteInfo[name w/o location],metaboliteInfo[suggested category],"")</f>
        <v>COFACTOR</v>
      </c>
      <c r="E20" s="21">
        <f>_xlfn.XLOOKUP(mets2418[[#This Row],[name w/o location]],metaboliteInfo[name w/o location],metaboliteInfo[MW for biomass normalization (g/mol)],0)</f>
        <v>763.50236299999995</v>
      </c>
      <c r="F20" s="21">
        <f>_xlfn.NUMBERVALUE(SUBSTITUTE(_xlfn.TEXTAFTER(mets2418[[#This Row],[pasted JSON metabolite keys and values from GSM biomass rxn]],":"),",",""))</f>
        <v>-7.6999999999999996E-4</v>
      </c>
      <c r="G20" s="21" cm="1">
        <f t="array" ref="G20">_xlfn.LET(_xlpm.id,mets2418[[#This Row],[name w/o location]],IF(IsElementOfSet_DIY(_xlpm.id,{"atp","adp","h","pi","h2o"}),SIGN(mets2418[[#This Row],[raw (GSM) coefficient]])*(ABS(mets2418[[#This Row],[raw (GSM) coefficient]])-$J$2),mets2418[[#This Row],[raw (GSM) coefficient]]))</f>
        <v>-7.6999999999999996E-4</v>
      </c>
      <c r="H20" s="21">
        <f>mets2418[[#This Row],[coeff. w/o GAM]]</f>
        <v>-7.6999999999999996E-4</v>
      </c>
      <c r="I20" s="161">
        <f t="shared" si="0"/>
        <v>-8.3165306338645842E-4</v>
      </c>
      <c r="J20" s="21" cm="1">
        <f t="array" ref="J20">_xlfn.LET(_xlpm.id,mets2418[[#This Row],[name w/o location]],_xlpm.oldcoeff,mets2418[[#This Row],[normalized coeffs]],_xlpm.gam,$J$2-$G$2,_xlfn.IFS(IFERROR(MATCH(_xlpm.id,{"atp","h2o"},0),0)&gt;0,_xlpm.oldcoeff-_xlpm.gam,IFERROR(MATCH(_xlpm.id,{"adp","h","pi"},0),0)&gt;0,_xlpm.oldcoeff+_xlpm.gam,TRUE,_xlpm.oldcoeff))</f>
        <v>-8.3165306338645842E-4</v>
      </c>
      <c r="K20" t="str" cm="1">
        <f t="array" ref="K20">"BIOSYN-"&amp;_xlfn.IFS(IFERROR(MATCH(mets2418[[#This Row],[category]],{0,"0",""},0),0)&gt;0,mets2418[[#This Row],[name]],TRUE,mets2418[[#This Row],[category]]&amp;"-"&amp;mets2418[[#This Row],[name]])</f>
        <v>BIOSYN-COFACTOR-coa_c</v>
      </c>
      <c r="L20" s="149" t="str" cm="1">
        <f t="array" ref="L20">IF(IsElementOfSet_DIY(mets2418[[#This Row],[category]],{"ignore","PROT"}),"",_xlfn.LET(_xlpm.mw,mets2418[[#This Row],[MW for biomass normalization (g/mol)]],"MET-"&amp;mets2418[[#This Row],[name]]&amp;" --&gt; "&amp;IF((mets2418[[#This Row],[category]]="DNA")+(mets2418[[#This Row],[category]]="RNA"),"MET-ppi_c + ","")&amp;ROUND(ABS(_xlpm.mw/1000),6)&amp;" BIO-"&amp;mets2418[[#This Row],[name]]))</f>
        <v>MET-coa_c --&gt; 0.763502 BIO-coa_c</v>
      </c>
      <c r="M20" s="149" cm="1">
        <f t="array" ref="M2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-8.3165306338645842E-4</v>
      </c>
      <c r="N20" s="149"/>
      <c r="O20" s="149"/>
      <c r="P20" s="149"/>
      <c r="Q20" s="149"/>
      <c r="R20" s="149"/>
      <c r="S20" s="149"/>
      <c r="T20" s="149"/>
      <c r="U20" s="149"/>
      <c r="V20" s="149"/>
      <c r="AB20" t="str">
        <v>BIOSYN-DNA</v>
      </c>
      <c r="AC20" t="str">
        <v>0.191301 BIO-datp_c + 0.308709 BIO-dctp_c + 0.308755 BIO-dgtp_c + 0.191236 BIO-dttp_c --&gt; BIO-dna</v>
      </c>
    </row>
    <row r="21" spans="1:29" ht="16" x14ac:dyDescent="0.2">
      <c r="A21" s="142" t="s">
        <v>841</v>
      </c>
      <c r="B21" t="str">
        <f>SUBSTITUTE(_xlfn.TEXTBEFORE(mets2418[[#This Row],[pasted JSON metabolite keys and values from GSM biomass rxn]],":"),CHAR(34),"")</f>
        <v>ctp_c</v>
      </c>
      <c r="C21" t="str">
        <f>_xlfn.TEXTBEFORE(mets2418[[#This Row],[name]],"_",-1)</f>
        <v>ctp</v>
      </c>
      <c r="D21" t="str">
        <f>_xlfn.XLOOKUP(mets2418[[#This Row],[name w/o location]],metaboliteInfo[name w/o location],metaboliteInfo[suggested category],"")</f>
        <v>RNA</v>
      </c>
      <c r="E21" s="21">
        <f>_xlfn.XLOOKUP(mets2418[[#This Row],[name w/o location]],metaboliteInfo[name w/o location],metaboliteInfo[MW for biomass normalization (g/mol)],0)</f>
        <v>304.17330100000004</v>
      </c>
      <c r="F21" s="21">
        <f>_xlfn.NUMBERVALUE(SUBSTITUTE(_xlfn.TEXTAFTER(mets2418[[#This Row],[pasted JSON metabolite keys and values from GSM biomass rxn]],":"),",",""))</f>
        <v>-4.4880999999999997E-2</v>
      </c>
      <c r="G21" s="21" cm="1">
        <f t="array" ref="G21">_xlfn.LET(_xlpm.id,mets2418[[#This Row],[name w/o location]],IF(IsElementOfSet_DIY(_xlpm.id,{"atp","adp","h","pi","h2o"}),SIGN(mets2418[[#This Row],[raw (GSM) coefficient]])*(ABS(mets2418[[#This Row],[raw (GSM) coefficient]])-$J$2),mets2418[[#This Row],[raw (GSM) coefficient]]))</f>
        <v>-4.4880999999999997E-2</v>
      </c>
      <c r="H21" s="21">
        <f>mets2418[[#This Row],[coeff. w/o GAM]]</f>
        <v>-4.4880999999999997E-2</v>
      </c>
      <c r="I21" s="161">
        <f t="shared" si="0"/>
        <v>-4.8474572906295636E-2</v>
      </c>
      <c r="J21" s="21" cm="1">
        <f t="array" ref="J21">_xlfn.LET(_xlpm.id,mets2418[[#This Row],[name w/o location]],_xlpm.oldcoeff,mets2418[[#This Row],[normalized coeffs]],_xlpm.gam,$J$2-$G$2,_xlfn.IFS(IFERROR(MATCH(_xlpm.id,{"atp","h2o"},0),0)&gt;0,_xlpm.oldcoeff-_xlpm.gam,IFERROR(MATCH(_xlpm.id,{"adp","h","pi"},0),0)&gt;0,_xlpm.oldcoeff+_xlpm.gam,TRUE,_xlpm.oldcoeff))</f>
        <v>-4.8474572906295636E-2</v>
      </c>
      <c r="K21" t="str" cm="1">
        <f t="array" ref="K21">"BIOSYN-"&amp;_xlfn.IFS(IFERROR(MATCH(mets2418[[#This Row],[category]],{0,"0",""},0),0)&gt;0,mets2418[[#This Row],[name]],TRUE,mets2418[[#This Row],[category]]&amp;"-"&amp;mets2418[[#This Row],[name]])</f>
        <v>BIOSYN-RNA-ctp_c</v>
      </c>
      <c r="L21" s="149" t="str" cm="1">
        <f t="array" ref="L21">IF(IsElementOfSet_DIY(mets2418[[#This Row],[category]],{"ignore","PROT"}),"",_xlfn.LET(_xlpm.mw,mets2418[[#This Row],[MW for biomass normalization (g/mol)]],"MET-"&amp;mets2418[[#This Row],[name]]&amp;" --&gt; "&amp;IF((mets2418[[#This Row],[category]]="DNA")+(mets2418[[#This Row],[category]]="RNA"),"MET-ppi_c + ","")&amp;ROUND(ABS(_xlpm.mw/1000),6)&amp;" BIO-"&amp;mets2418[[#This Row],[name]]))</f>
        <v>MET-ctp_c --&gt; MET-ppi_c + 0.304173 BIO-ctp_c</v>
      </c>
      <c r="M21" s="149" cm="1">
        <f t="array" ref="M2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-4.8474572906295636E-2</v>
      </c>
      <c r="N21" s="149"/>
      <c r="O21" s="149"/>
      <c r="P21" s="149"/>
      <c r="Q21" s="149"/>
      <c r="R21" s="149"/>
      <c r="S21" s="149"/>
      <c r="T21" s="149"/>
      <c r="U21" s="149"/>
      <c r="V21" s="149"/>
      <c r="AB21" t="str">
        <v>BIOSYN-LIPID</v>
      </c>
      <c r="AC21" t="str">
        <v>0.44019 BIO-clpn_mm + 0.269715 BIO-ergst_r + 0.17695 BIO-ergstest_rm + 0.02281 BIO-pc_rm + 0.016317 BIO-pe_rm + 0.002652 BIO-ps_rm + 0.006835 BIO-pail_rm + 0.064531 BIO-tag_rm --&gt; BIO-lipid</v>
      </c>
    </row>
    <row r="22" spans="1:29" ht="16" x14ac:dyDescent="0.2">
      <c r="A22" s="142" t="s">
        <v>842</v>
      </c>
      <c r="B22" t="str">
        <f>SUBSTITUTE(_xlfn.TEXTBEFORE(mets2418[[#This Row],[pasted JSON metabolite keys and values from GSM biomass rxn]],":"),CHAR(34),"")</f>
        <v>cu2_c</v>
      </c>
      <c r="C22" t="str">
        <f>_xlfn.TEXTBEFORE(mets2418[[#This Row],[name]],"_",-1)</f>
        <v>cu2</v>
      </c>
      <c r="D22" t="str">
        <f>_xlfn.XLOOKUP(mets2418[[#This Row],[name w/o location]],metaboliteInfo[name w/o location],metaboliteInfo[suggested category],"")</f>
        <v>METAL</v>
      </c>
      <c r="E22" s="21">
        <f>_xlfn.XLOOKUP(mets2418[[#This Row],[name w/o location]],metaboliteInfo[name w/o location],metaboliteInfo[MW for biomass normalization (g/mol)],0)</f>
        <v>63.545999999999999</v>
      </c>
      <c r="F22" s="21">
        <f>_xlfn.NUMBERVALUE(SUBSTITUTE(_xlfn.TEXTAFTER(mets2418[[#This Row],[pasted JSON metabolite keys and values from GSM biomass rxn]],":"),",",""))</f>
        <v>-5.2499999999999997E-4</v>
      </c>
      <c r="G22" s="21" cm="1">
        <f t="array" ref="G22">_xlfn.LET(_xlpm.id,mets2418[[#This Row],[name w/o location]],IF(IsElementOfSet_DIY(_xlpm.id,{"atp","adp","h","pi","h2o"}),SIGN(mets2418[[#This Row],[raw (GSM) coefficient]])*(ABS(mets2418[[#This Row],[raw (GSM) coefficient]])-$J$2),mets2418[[#This Row],[raw (GSM) coefficient]]))</f>
        <v>-5.2499999999999997E-4</v>
      </c>
      <c r="H22" s="21">
        <f>mets2418[[#This Row],[coeff. w/o GAM]]</f>
        <v>-5.2499999999999997E-4</v>
      </c>
      <c r="I22" s="161">
        <f t="shared" si="0"/>
        <v>-5.6703617958167617E-4</v>
      </c>
      <c r="J22" s="21" cm="1">
        <f t="array" ref="J22">_xlfn.LET(_xlpm.id,mets2418[[#This Row],[name w/o location]],_xlpm.oldcoeff,mets2418[[#This Row],[normalized coeffs]],_xlpm.gam,$J$2-$G$2,_xlfn.IFS(IFERROR(MATCH(_xlpm.id,{"atp","h2o"},0),0)&gt;0,_xlpm.oldcoeff-_xlpm.gam,IFERROR(MATCH(_xlpm.id,{"adp","h","pi"},0),0)&gt;0,_xlpm.oldcoeff+_xlpm.gam,TRUE,_xlpm.oldcoeff))</f>
        <v>-5.6703617958167617E-4</v>
      </c>
      <c r="K22" t="str" cm="1">
        <f t="array" ref="K22">"BIOSYN-"&amp;_xlfn.IFS(IFERROR(MATCH(mets2418[[#This Row],[category]],{0,"0",""},0),0)&gt;0,mets2418[[#This Row],[name]],TRUE,mets2418[[#This Row],[category]]&amp;"-"&amp;mets2418[[#This Row],[name]])</f>
        <v>BIOSYN-METAL-cu2_c</v>
      </c>
      <c r="L22" s="149" t="str" cm="1">
        <f t="array" ref="L22">IF(IsElementOfSet_DIY(mets2418[[#This Row],[category]],{"ignore","PROT"}),"",_xlfn.LET(_xlpm.mw,mets2418[[#This Row],[MW for biomass normalization (g/mol)]],"MET-"&amp;mets2418[[#This Row],[name]]&amp;" --&gt; "&amp;IF((mets2418[[#This Row],[category]]="DNA")+(mets2418[[#This Row],[category]]="RNA"),"MET-ppi_c + ","")&amp;ROUND(ABS(_xlpm.mw/1000),6)&amp;" BIO-"&amp;mets2418[[#This Row],[name]]))</f>
        <v>MET-cu2_c --&gt; 0.063546 BIO-cu2_c</v>
      </c>
      <c r="M22" s="149" cm="1">
        <f t="array" ref="M2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-5.6703617958167617E-4</v>
      </c>
      <c r="N22" s="149"/>
      <c r="O22" s="149"/>
      <c r="P22" s="149"/>
      <c r="Q22" s="149"/>
      <c r="R22" s="149"/>
      <c r="S22" s="149"/>
      <c r="T22" s="149"/>
      <c r="U22" s="149"/>
      <c r="V22" s="149"/>
      <c r="AB22" t="str">
        <v>BIOSYN-METAL</v>
      </c>
      <c r="AC22" t="str">
        <v>0.001355 BIO-ca2_c + 0.001356 BIO-cu2_c + 0.001355 BIO-fe2_c + 0.001355 BIO-fe3_c + 0.930891 BIO-k_c + 0.060976 BIO-mg2_c + 0.001356 BIO-mn2_c + 0.001355 BIO-zn2_c --&gt; BIO-metal</v>
      </c>
    </row>
    <row r="23" spans="1:29" ht="16" x14ac:dyDescent="0.2">
      <c r="A23" s="142" t="s">
        <v>843</v>
      </c>
      <c r="B23" t="str">
        <f>SUBSTITUTE(_xlfn.TEXTBEFORE(mets2418[[#This Row],[pasted JSON metabolite keys and values from GSM biomass rxn]],":"),CHAR(34),"")</f>
        <v>cystrna_c</v>
      </c>
      <c r="C23" t="str">
        <f>_xlfn.TEXTBEFORE(mets2418[[#This Row],[name]],"_",-1)</f>
        <v>cystrna</v>
      </c>
      <c r="D23" t="str">
        <f>_xlfn.XLOOKUP(mets2418[[#This Row],[name w/o location]],metaboliteInfo[name w/o location],metaboliteInfo[suggested category],"")</f>
        <v>PROT</v>
      </c>
      <c r="E23" s="21">
        <f>_xlfn.XLOOKUP(mets2418[[#This Row],[name w/o location]],metaboliteInfo[name w/o location],metaboliteInfo[MW for biomass normalization (g/mol)],0)</f>
        <v>104.15084</v>
      </c>
      <c r="F23" s="21">
        <f>_xlfn.NUMBERVALUE(SUBSTITUTE(_xlfn.TEXTAFTER(mets2418[[#This Row],[pasted JSON metabolite keys and values from GSM biomass rxn]],":"),",",""))</f>
        <v>-3.4269000000000001E-2</v>
      </c>
      <c r="G23" s="21" cm="1">
        <f t="array" ref="G23">_xlfn.LET(_xlpm.id,mets2418[[#This Row],[name w/o location]],IF(IsElementOfSet_DIY(_xlpm.id,{"atp","adp","h","pi","h2o"}),SIGN(mets2418[[#This Row],[raw (GSM) coefficient]])*(ABS(mets2418[[#This Row],[raw (GSM) coefficient]])-$J$2),mets2418[[#This Row],[raw (GSM) coefficient]]))</f>
        <v>-3.4269000000000001E-2</v>
      </c>
      <c r="H23" s="21">
        <f>mets2418[[#This Row],[coeff. w/o GAM]]</f>
        <v>-3.4269000000000001E-2</v>
      </c>
      <c r="I23" s="161">
        <f t="shared" si="0"/>
        <v>-3.7012881596351362E-2</v>
      </c>
      <c r="J23" s="21" cm="1">
        <f t="array" ref="J23">_xlfn.LET(_xlpm.id,mets2418[[#This Row],[name w/o location]],_xlpm.oldcoeff,mets2418[[#This Row],[normalized coeffs]],_xlpm.gam,$J$2-$G$2,_xlfn.IFS(IFERROR(MATCH(_xlpm.id,{"atp","h2o"},0),0)&gt;0,_xlpm.oldcoeff-_xlpm.gam,IFERROR(MATCH(_xlpm.id,{"adp","h","pi"},0),0)&gt;0,_xlpm.oldcoeff+_xlpm.gam,TRUE,_xlpm.oldcoeff))</f>
        <v>-3.7012881596351362E-2</v>
      </c>
      <c r="K23" t="str" cm="1">
        <f t="array" ref="K23">"BIOSYN-"&amp;_xlfn.IFS(IFERROR(MATCH(mets2418[[#This Row],[category]],{0,"0",""},0),0)&gt;0,mets2418[[#This Row],[name]],TRUE,mets2418[[#This Row],[category]]&amp;"-"&amp;mets2418[[#This Row],[name]])</f>
        <v>BIOSYN-PROT-cystrna_c</v>
      </c>
      <c r="L23" s="149" t="str" cm="1">
        <f t="array" ref="L23">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23" s="149" cm="1">
        <f t="array" ref="M23">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-3.7012881596351362E-2</v>
      </c>
      <c r="N23" s="149"/>
      <c r="O23" s="149"/>
      <c r="P23" s="149"/>
      <c r="Q23" s="149"/>
      <c r="R23" s="149"/>
      <c r="S23" s="149"/>
      <c r="T23" s="149"/>
      <c r="U23" s="149"/>
      <c r="V23" s="149"/>
      <c r="AB23" t="str">
        <v>BIOSYN-PROT</v>
      </c>
      <c r="AC23" t="str">
        <v>0.104162 BIO-alatrna_c + 0.058052 BIO-argtrna_c + 0.031094 BIO-asntrna_c + 0.056807 BIO-asptrna_c + 0.008929 BIO-cystrna_c + 0.03809 BIO-glntrna_c + 0.067405 BIO-glutrna_c + 0.074546 BIO-glytrna_c + 0.02114 BIO-histrna_c + 0.04529 BIO-iletrna_c + 0.091457 BIO-leutrna_c + 0.05613 BIO-lystrna_c + 0.018869 BIO-mettrna_c + 0.035279 BIO-phetrna_c + 0.057314 BIO-protrna_c + 0.074236 BIO-sertrna_c + 0.055724 BIO-thrtrna_c + 0.010922 BIO-trptrna_c + 0.025615 BIO-tyrtrna_c + 0.068937 BIO-valtrna_c --&gt; BIO-protmodeled</v>
      </c>
    </row>
    <row r="24" spans="1:29" ht="16" x14ac:dyDescent="0.2">
      <c r="A24" s="142" t="s">
        <v>844</v>
      </c>
      <c r="B24" t="str">
        <f>SUBSTITUTE(_xlfn.TEXTBEFORE(mets2418[[#This Row],[pasted JSON metabolite keys and values from GSM biomass rxn]],":"),CHAR(34),"")</f>
        <v>datp_c</v>
      </c>
      <c r="C24" t="str">
        <f>_xlfn.TEXTBEFORE(mets2418[[#This Row],[name]],"_",-1)</f>
        <v>datp</v>
      </c>
      <c r="D24" t="str">
        <f>_xlfn.XLOOKUP(mets2418[[#This Row],[name w/o location]],metaboliteInfo[name w/o location],metaboliteInfo[suggested category],"")</f>
        <v>DNA</v>
      </c>
      <c r="E24" s="21">
        <f>_xlfn.XLOOKUP(mets2418[[#This Row],[name w/o location]],metaboliteInfo[name w/o location],metaboliteInfo[MW for biomass normalization (g/mol)],0)</f>
        <v>312.19860099999994</v>
      </c>
      <c r="F24" s="21">
        <f>_xlfn.NUMBERVALUE(SUBSTITUTE(_xlfn.TEXTAFTER(mets2418[[#This Row],[pasted JSON metabolite keys and values from GSM biomass rxn]],":"),",",""))</f>
        <v>-2.4510000000000001E-3</v>
      </c>
      <c r="G24" s="21" cm="1">
        <f t="array" ref="G24">_xlfn.LET(_xlpm.id,mets2418[[#This Row],[name w/o location]],IF(IsElementOfSet_DIY(_xlpm.id,{"atp","adp","h","pi","h2o"}),SIGN(mets2418[[#This Row],[raw (GSM) coefficient]])*(ABS(mets2418[[#This Row],[raw (GSM) coefficient]])-$J$2),mets2418[[#This Row],[raw (GSM) coefficient]]))</f>
        <v>-2.4510000000000001E-3</v>
      </c>
      <c r="H24" s="21">
        <f>mets2418[[#This Row],[coeff. w/o GAM]]</f>
        <v>-2.4510000000000001E-3</v>
      </c>
      <c r="I24" s="161">
        <f t="shared" si="0"/>
        <v>-2.6472489069613112E-3</v>
      </c>
      <c r="J24" s="21" cm="1">
        <f t="array" ref="J24">_xlfn.LET(_xlpm.id,mets2418[[#This Row],[name w/o location]],_xlpm.oldcoeff,mets2418[[#This Row],[normalized coeffs]],_xlpm.gam,$J$2-$G$2,_xlfn.IFS(IFERROR(MATCH(_xlpm.id,{"atp","h2o"},0),0)&gt;0,_xlpm.oldcoeff-_xlpm.gam,IFERROR(MATCH(_xlpm.id,{"adp","h","pi"},0),0)&gt;0,_xlpm.oldcoeff+_xlpm.gam,TRUE,_xlpm.oldcoeff))</f>
        <v>-2.6472489069613112E-3</v>
      </c>
      <c r="K24" t="str" cm="1">
        <f t="array" ref="K24">"BIOSYN-"&amp;_xlfn.IFS(IFERROR(MATCH(mets2418[[#This Row],[category]],{0,"0",""},0),0)&gt;0,mets2418[[#This Row],[name]],TRUE,mets2418[[#This Row],[category]]&amp;"-"&amp;mets2418[[#This Row],[name]])</f>
        <v>BIOSYN-DNA-datp_c</v>
      </c>
      <c r="L24" s="149" t="str" cm="1">
        <f t="array" ref="L24">IF(IsElementOfSet_DIY(mets2418[[#This Row],[category]],{"ignore","PROT"}),"",_xlfn.LET(_xlpm.mw,mets2418[[#This Row],[MW for biomass normalization (g/mol)]],"MET-"&amp;mets2418[[#This Row],[name]]&amp;" --&gt; "&amp;IF((mets2418[[#This Row],[category]]="DNA")+(mets2418[[#This Row],[category]]="RNA"),"MET-ppi_c + ","")&amp;ROUND(ABS(_xlpm.mw/1000),6)&amp;" BIO-"&amp;mets2418[[#This Row],[name]]))</f>
        <v>MET-datp_c --&gt; MET-ppi_c + 0.312199 BIO-datp_c</v>
      </c>
      <c r="M24" s="149" cm="1">
        <f t="array" ref="M24">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-2.6472489069613112E-3</v>
      </c>
      <c r="N24" s="149"/>
      <c r="O24" s="149"/>
      <c r="P24" s="149"/>
      <c r="Q24" s="149"/>
      <c r="R24" s="149"/>
      <c r="S24" s="149"/>
      <c r="T24" s="149"/>
      <c r="U24" s="149"/>
      <c r="V24" s="149"/>
      <c r="AB24" t="str">
        <v>BIOSYN-RNA</v>
      </c>
      <c r="AC24" t="str">
        <v>0.15 BIO-trna + 0.05 BIO-mrna + 0.80 BIO-rrna --&gt; BIO-rna</v>
      </c>
    </row>
    <row r="25" spans="1:29" ht="16" x14ac:dyDescent="0.2">
      <c r="A25" s="142" t="s">
        <v>845</v>
      </c>
      <c r="B25" t="str">
        <f>SUBSTITUTE(_xlfn.TEXTBEFORE(mets2418[[#This Row],[pasted JSON metabolite keys and values from GSM biomass rxn]],":"),CHAR(34),"")</f>
        <v>dctp_c</v>
      </c>
      <c r="C25" t="str">
        <f>_xlfn.TEXTBEFORE(mets2418[[#This Row],[name]],"_",-1)</f>
        <v>dctp</v>
      </c>
      <c r="D25" t="str">
        <f>_xlfn.XLOOKUP(mets2418[[#This Row],[name w/o location]],metaboliteInfo[name w/o location],metaboliteInfo[suggested category],"")</f>
        <v>DNA</v>
      </c>
      <c r="E25" s="21">
        <f>_xlfn.XLOOKUP(mets2418[[#This Row],[name w/o location]],metaboliteInfo[name w/o location],metaboliteInfo[MW for biomass normalization (g/mol)],0)</f>
        <v>288.173901</v>
      </c>
      <c r="F25" s="21">
        <f>_xlfn.NUMBERVALUE(SUBSTITUTE(_xlfn.TEXTAFTER(mets2418[[#This Row],[pasted JSON metabolite keys and values from GSM biomass rxn]],":"),",",""))</f>
        <v>-4.2849999999999997E-3</v>
      </c>
      <c r="G25" s="21" cm="1">
        <f t="array" ref="G25">_xlfn.LET(_xlpm.id,mets2418[[#This Row],[name w/o location]],IF(IsElementOfSet_DIY(_xlpm.id,{"atp","adp","h","pi","h2o"}),SIGN(mets2418[[#This Row],[raw (GSM) coefficient]])*(ABS(mets2418[[#This Row],[raw (GSM) coefficient]])-$J$2),mets2418[[#This Row],[raw (GSM) coefficient]]))</f>
        <v>-4.2849999999999997E-3</v>
      </c>
      <c r="H25" s="21">
        <f>mets2418[[#This Row],[coeff. w/o GAM]]</f>
        <v>-4.2849999999999997E-3</v>
      </c>
      <c r="I25" s="161">
        <f t="shared" si="0"/>
        <v>-4.6280952942999668E-3</v>
      </c>
      <c r="J25" s="21" cm="1">
        <f t="array" ref="J25">_xlfn.LET(_xlpm.id,mets2418[[#This Row],[name w/o location]],_xlpm.oldcoeff,mets2418[[#This Row],[normalized coeffs]],_xlpm.gam,$J$2-$G$2,_xlfn.IFS(IFERROR(MATCH(_xlpm.id,{"atp","h2o"},0),0)&gt;0,_xlpm.oldcoeff-_xlpm.gam,IFERROR(MATCH(_xlpm.id,{"adp","h","pi"},0),0)&gt;0,_xlpm.oldcoeff+_xlpm.gam,TRUE,_xlpm.oldcoeff))</f>
        <v>-4.6280952942999668E-3</v>
      </c>
      <c r="K25" t="str" cm="1">
        <f t="array" ref="K25">"BIOSYN-"&amp;_xlfn.IFS(IFERROR(MATCH(mets2418[[#This Row],[category]],{0,"0",""},0),0)&gt;0,mets2418[[#This Row],[name]],TRUE,mets2418[[#This Row],[category]]&amp;"-"&amp;mets2418[[#This Row],[name]])</f>
        <v>BIOSYN-DNA-dctp_c</v>
      </c>
      <c r="L25" s="149" t="str" cm="1">
        <f t="array" ref="L25">IF(IsElementOfSet_DIY(mets2418[[#This Row],[category]],{"ignore","PROT"}),"",_xlfn.LET(_xlpm.mw,mets2418[[#This Row],[MW for biomass normalization (g/mol)]],"MET-"&amp;mets2418[[#This Row],[name]]&amp;" --&gt; "&amp;IF((mets2418[[#This Row],[category]]="DNA")+(mets2418[[#This Row],[category]]="RNA"),"MET-ppi_c + ","")&amp;ROUND(ABS(_xlpm.mw/1000),6)&amp;" BIO-"&amp;mets2418[[#This Row],[name]]))</f>
        <v>MET-dctp_c --&gt; MET-ppi_c + 0.288174 BIO-dctp_c</v>
      </c>
      <c r="M25" s="149" cm="1">
        <f t="array" ref="M25">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-4.6280952942999668E-3</v>
      </c>
      <c r="N25" s="149"/>
      <c r="O25" s="149"/>
      <c r="P25" s="149"/>
      <c r="Q25" s="149"/>
      <c r="R25" s="149"/>
      <c r="S25" s="149"/>
      <c r="T25" s="149"/>
      <c r="U25" s="149"/>
      <c r="V25" s="149"/>
      <c r="AB25" t="str">
        <v>BIOSYN-CARB-13BDglucan_c</v>
      </c>
      <c r="AC25" t="str">
        <v>MET-13BDglucan_c --&gt; 0.162141 BIO-13BDglucan_c</v>
      </c>
    </row>
    <row r="26" spans="1:29" ht="16" x14ac:dyDescent="0.2">
      <c r="A26" s="142" t="s">
        <v>846</v>
      </c>
      <c r="B26" t="str">
        <f>SUBSTITUTE(_xlfn.TEXTBEFORE(mets2418[[#This Row],[pasted JSON metabolite keys and values from GSM biomass rxn]],":"),CHAR(34),"")</f>
        <v>dgtp_c</v>
      </c>
      <c r="C26" t="str">
        <f>_xlfn.TEXTBEFORE(mets2418[[#This Row],[name]],"_",-1)</f>
        <v>dgtp</v>
      </c>
      <c r="D26" t="str">
        <f>_xlfn.XLOOKUP(mets2418[[#This Row],[name w/o location]],metaboliteInfo[name w/o location],metaboliteInfo[suggested category],"")</f>
        <v>DNA</v>
      </c>
      <c r="E26" s="21">
        <f>_xlfn.XLOOKUP(mets2418[[#This Row],[name w/o location]],metaboliteInfo[name w/o location],metaboliteInfo[MW for biomass normalization (g/mol)],0)</f>
        <v>328.19800099999998</v>
      </c>
      <c r="F26" s="21">
        <f>_xlfn.NUMBERVALUE(SUBSTITUTE(_xlfn.TEXTAFTER(mets2418[[#This Row],[pasted JSON metabolite keys and values from GSM biomass rxn]],":"),",",""))</f>
        <v>-3.7629999999999999E-3</v>
      </c>
      <c r="G26" s="21" cm="1">
        <f t="array" ref="G26">_xlfn.LET(_xlpm.id,mets2418[[#This Row],[name w/o location]],IF(IsElementOfSet_DIY(_xlpm.id,{"atp","adp","h","pi","h2o"}),SIGN(mets2418[[#This Row],[raw (GSM) coefficient]])*(ABS(mets2418[[#This Row],[raw (GSM) coefficient]])-$J$2),mets2418[[#This Row],[raw (GSM) coefficient]]))</f>
        <v>-3.7629999999999999E-3</v>
      </c>
      <c r="H26" s="21">
        <f>mets2418[[#This Row],[coeff. w/o GAM]]</f>
        <v>-3.7629999999999999E-3</v>
      </c>
      <c r="I26" s="161">
        <f t="shared" si="0"/>
        <v>-4.0642993214587576E-3</v>
      </c>
      <c r="J26" s="21" cm="1">
        <f t="array" ref="J26">_xlfn.LET(_xlpm.id,mets2418[[#This Row],[name w/o location]],_xlpm.oldcoeff,mets2418[[#This Row],[normalized coeffs]],_xlpm.gam,$J$2-$G$2,_xlfn.IFS(IFERROR(MATCH(_xlpm.id,{"atp","h2o"},0),0)&gt;0,_xlpm.oldcoeff-_xlpm.gam,IFERROR(MATCH(_xlpm.id,{"adp","h","pi"},0),0)&gt;0,_xlpm.oldcoeff+_xlpm.gam,TRUE,_xlpm.oldcoeff))</f>
        <v>-4.0642993214587576E-3</v>
      </c>
      <c r="K26" t="str" cm="1">
        <f t="array" ref="K26">"BIOSYN-"&amp;_xlfn.IFS(IFERROR(MATCH(mets2418[[#This Row],[category]],{0,"0",""},0),0)&gt;0,mets2418[[#This Row],[name]],TRUE,mets2418[[#This Row],[category]]&amp;"-"&amp;mets2418[[#This Row],[name]])</f>
        <v>BIOSYN-DNA-dgtp_c</v>
      </c>
      <c r="L26" s="149" t="str" cm="1">
        <f t="array" ref="L26">IF(IsElementOfSet_DIY(mets2418[[#This Row],[category]],{"ignore","PROT"}),"",_xlfn.LET(_xlpm.mw,mets2418[[#This Row],[MW for biomass normalization (g/mol)]],"MET-"&amp;mets2418[[#This Row],[name]]&amp;" --&gt; "&amp;IF((mets2418[[#This Row],[category]]="DNA")+(mets2418[[#This Row],[category]]="RNA"),"MET-ppi_c + ","")&amp;ROUND(ABS(_xlpm.mw/1000),6)&amp;" BIO-"&amp;mets2418[[#This Row],[name]]))</f>
        <v>MET-dgtp_c --&gt; MET-ppi_c + 0.328198 BIO-dgtp_c</v>
      </c>
      <c r="M26" s="149" cm="1">
        <f t="array" ref="M2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-4.0642993214587576E-3</v>
      </c>
      <c r="N26" s="149"/>
      <c r="O26" s="149"/>
      <c r="P26" s="149"/>
      <c r="Q26" s="149"/>
      <c r="R26" s="149"/>
      <c r="S26" s="149"/>
      <c r="T26" s="149"/>
      <c r="U26" s="149"/>
      <c r="V26" s="149"/>
      <c r="AB26" t="str">
        <v>BIOSYN-CARB-16BDglucan_en</v>
      </c>
      <c r="AC26" t="str">
        <v>MET-16BDglucan_en --&gt; 0.162141 BIO-16BDglucan_en</v>
      </c>
    </row>
    <row r="27" spans="1:29" ht="16" x14ac:dyDescent="0.2">
      <c r="A27" s="142" t="s">
        <v>847</v>
      </c>
      <c r="B27" t="str">
        <f>SUBSTITUTE(_xlfn.TEXTBEFORE(mets2418[[#This Row],[pasted JSON metabolite keys and values from GSM biomass rxn]],":"),CHAR(34),"")</f>
        <v>dttp_c</v>
      </c>
      <c r="C27" t="str">
        <f>_xlfn.TEXTBEFORE(mets2418[[#This Row],[name]],"_",-1)</f>
        <v>dttp</v>
      </c>
      <c r="D27" t="str">
        <f>_xlfn.XLOOKUP(mets2418[[#This Row],[name w/o location]],metaboliteInfo[name w/o location],metaboliteInfo[suggested category],"")</f>
        <v>DNA</v>
      </c>
      <c r="E27" s="21">
        <f>_xlfn.XLOOKUP(mets2418[[#This Row],[name w/o location]],metaboliteInfo[name w/o location],metaboliteInfo[MW for biomass normalization (g/mol)],0)</f>
        <v>303.18524100000002</v>
      </c>
      <c r="F27" s="21">
        <f>_xlfn.NUMBERVALUE(SUBSTITUTE(_xlfn.TEXTAFTER(mets2418[[#This Row],[pasted JSON metabolite keys and values from GSM biomass rxn]],":"),",",""))</f>
        <v>-2.5230000000000001E-3</v>
      </c>
      <c r="G27" s="21" cm="1">
        <f t="array" ref="G27">_xlfn.LET(_xlpm.id,mets2418[[#This Row],[name w/o location]],IF(IsElementOfSet_DIY(_xlpm.id,{"atp","adp","h","pi","h2o"}),SIGN(mets2418[[#This Row],[raw (GSM) coefficient]])*(ABS(mets2418[[#This Row],[raw (GSM) coefficient]])-$J$2),mets2418[[#This Row],[raw (GSM) coefficient]]))</f>
        <v>-2.5230000000000001E-3</v>
      </c>
      <c r="H27" s="21">
        <f>mets2418[[#This Row],[coeff. w/o GAM]]</f>
        <v>-2.5230000000000001E-3</v>
      </c>
      <c r="I27" s="161">
        <f t="shared" si="0"/>
        <v>-2.7250138687325127E-3</v>
      </c>
      <c r="J27" s="21" cm="1">
        <f t="array" ref="J27">_xlfn.LET(_xlpm.id,mets2418[[#This Row],[name w/o location]],_xlpm.oldcoeff,mets2418[[#This Row],[normalized coeffs]],_xlpm.gam,$J$2-$G$2,_xlfn.IFS(IFERROR(MATCH(_xlpm.id,{"atp","h2o"},0),0)&gt;0,_xlpm.oldcoeff-_xlpm.gam,IFERROR(MATCH(_xlpm.id,{"adp","h","pi"},0),0)&gt;0,_xlpm.oldcoeff+_xlpm.gam,TRUE,_xlpm.oldcoeff))</f>
        <v>-2.7250138687325127E-3</v>
      </c>
      <c r="K27" t="str" cm="1">
        <f t="array" ref="K27">"BIOSYN-"&amp;_xlfn.IFS(IFERROR(MATCH(mets2418[[#This Row],[category]],{0,"0",""},0),0)&gt;0,mets2418[[#This Row],[name]],TRUE,mets2418[[#This Row],[category]]&amp;"-"&amp;mets2418[[#This Row],[name]])</f>
        <v>BIOSYN-DNA-dttp_c</v>
      </c>
      <c r="L27" s="149" t="str" cm="1">
        <f t="array" ref="L27">IF(IsElementOfSet_DIY(mets2418[[#This Row],[category]],{"ignore","PROT"}),"",_xlfn.LET(_xlpm.mw,mets2418[[#This Row],[MW for biomass normalization (g/mol)]],"MET-"&amp;mets2418[[#This Row],[name]]&amp;" --&gt; "&amp;IF((mets2418[[#This Row],[category]]="DNA")+(mets2418[[#This Row],[category]]="RNA"),"MET-ppi_c + ","")&amp;ROUND(ABS(_xlpm.mw/1000),6)&amp;" BIO-"&amp;mets2418[[#This Row],[name]]))</f>
        <v>MET-dttp_c --&gt; MET-ppi_c + 0.303185 BIO-dttp_c</v>
      </c>
      <c r="M27" s="149" cm="1">
        <f t="array" ref="M2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-2.7250138687325127E-3</v>
      </c>
      <c r="N27" s="149"/>
      <c r="O27" s="149"/>
      <c r="P27" s="149"/>
      <c r="Q27" s="149"/>
      <c r="R27" s="149"/>
      <c r="S27" s="149"/>
      <c r="T27" s="149"/>
      <c r="U27" s="149"/>
      <c r="V27" s="149"/>
      <c r="AB27" t="str">
        <v>BIOSYN-CARB-chtn_c</v>
      </c>
      <c r="AC27" t="str">
        <v>MET-chtn_c --&gt; 0.203193 BIO-chtn_c</v>
      </c>
    </row>
    <row r="28" spans="1:29" ht="16" x14ac:dyDescent="0.2">
      <c r="A28" s="142" t="s">
        <v>848</v>
      </c>
      <c r="B28" t="str">
        <f>SUBSTITUTE(_xlfn.TEXTBEFORE(mets2418[[#This Row],[pasted JSON metabolite keys and values from GSM biomass rxn]],":"),CHAR(34),"")</f>
        <v>ergst_r</v>
      </c>
      <c r="C28" t="str">
        <f>_xlfn.TEXTBEFORE(mets2418[[#This Row],[name]],"_",-1)</f>
        <v>ergst</v>
      </c>
      <c r="D28" t="str">
        <f>_xlfn.XLOOKUP(mets2418[[#This Row],[name w/o location]],metaboliteInfo[name w/o location],metaboliteInfo[suggested category],"")</f>
        <v>LIPID</v>
      </c>
      <c r="E28" s="21">
        <f>_xlfn.XLOOKUP(mets2418[[#This Row],[name w/o location]],metaboliteInfo[name w/o location],metaboliteInfo[MW for biomass normalization (g/mol)],0)</f>
        <v>396.648359999999</v>
      </c>
      <c r="F28" s="21">
        <f>_xlfn.NUMBERVALUE(SUBSTITUTE(_xlfn.TEXTAFTER(mets2418[[#This Row],[pasted JSON metabolite keys and values from GSM biomass rxn]],":"),",",""))</f>
        <v>-4.0309999999999999E-3</v>
      </c>
      <c r="G28" s="21" cm="1">
        <f t="array" ref="G28">_xlfn.LET(_xlpm.id,mets2418[[#This Row],[name w/o location]],IF(IsElementOfSet_DIY(_xlpm.id,{"atp","adp","h","pi","h2o"}),SIGN(mets2418[[#This Row],[raw (GSM) coefficient]])*(ABS(mets2418[[#This Row],[raw (GSM) coefficient]])-$J$2),mets2418[[#This Row],[raw (GSM) coefficient]]))</f>
        <v>-4.0309999999999999E-3</v>
      </c>
      <c r="H28" s="21">
        <f>mets2418[[#This Row],[coeff. w/o GAM]]</f>
        <v>-4.0309999999999999E-3</v>
      </c>
      <c r="I28" s="161">
        <f t="shared" si="0"/>
        <v>-4.3537577902737845E-3</v>
      </c>
      <c r="J28" s="21" cm="1">
        <f t="array" ref="J28">_xlfn.LET(_xlpm.id,mets2418[[#This Row],[name w/o location]],_xlpm.oldcoeff,mets2418[[#This Row],[normalized coeffs]],_xlpm.gam,$J$2-$G$2,_xlfn.IFS(IFERROR(MATCH(_xlpm.id,{"atp","h2o"},0),0)&gt;0,_xlpm.oldcoeff-_xlpm.gam,IFERROR(MATCH(_xlpm.id,{"adp","h","pi"},0),0)&gt;0,_xlpm.oldcoeff+_xlpm.gam,TRUE,_xlpm.oldcoeff))</f>
        <v>-4.3537577902737845E-3</v>
      </c>
      <c r="K28" t="str" cm="1">
        <f t="array" ref="K28">"BIOSYN-"&amp;_xlfn.IFS(IFERROR(MATCH(mets2418[[#This Row],[category]],{0,"0",""},0),0)&gt;0,mets2418[[#This Row],[name]],TRUE,mets2418[[#This Row],[category]]&amp;"-"&amp;mets2418[[#This Row],[name]])</f>
        <v>BIOSYN-LIPID-ergst_r</v>
      </c>
      <c r="L28" s="149" t="str" cm="1">
        <f t="array" ref="L28">IF(IsElementOfSet_DIY(mets2418[[#This Row],[category]],{"ignore","PROT"}),"",_xlfn.LET(_xlpm.mw,mets2418[[#This Row],[MW for biomass normalization (g/mol)]],"MET-"&amp;mets2418[[#This Row],[name]]&amp;" --&gt; "&amp;IF((mets2418[[#This Row],[category]]="DNA")+(mets2418[[#This Row],[category]]="RNA"),"MET-ppi_c + ","")&amp;ROUND(ABS(_xlpm.mw/1000),6)&amp;" BIO-"&amp;mets2418[[#This Row],[name]]))</f>
        <v>MET-ergst_r --&gt; 0.396648 BIO-ergst_r</v>
      </c>
      <c r="M28" s="149" cm="1">
        <f t="array" ref="M2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-4.3537577902737845E-3</v>
      </c>
      <c r="N28" s="149"/>
      <c r="O28" s="149"/>
      <c r="P28" s="149"/>
      <c r="Q28" s="149"/>
      <c r="R28" s="149"/>
      <c r="S28" s="149"/>
      <c r="T28" s="149"/>
      <c r="U28" s="149"/>
      <c r="V28" s="149"/>
      <c r="AB28" t="str">
        <v>BIOSYN-CARB-glycogen_c</v>
      </c>
      <c r="AC28" t="str">
        <v>MET-glycogen_c --&gt; 0.162141 BIO-glycogen_c</v>
      </c>
    </row>
    <row r="29" spans="1:29" ht="16" x14ac:dyDescent="0.2">
      <c r="A29" s="142" t="s">
        <v>849</v>
      </c>
      <c r="B29" t="str">
        <f>SUBSTITUTE(_xlfn.TEXTBEFORE(mets2418[[#This Row],[pasted JSON metabolite keys and values from GSM biomass rxn]],":"),CHAR(34),"")</f>
        <v>ergstest_rm</v>
      </c>
      <c r="C29" t="str">
        <f>_xlfn.TEXTBEFORE(mets2418[[#This Row],[name]],"_",-1)</f>
        <v>ergstest</v>
      </c>
      <c r="D29" t="str">
        <f>_xlfn.XLOOKUP(mets2418[[#This Row],[name w/o location]],metaboliteInfo[name w/o location],metaboliteInfo[suggested category],"")</f>
        <v>LIPID</v>
      </c>
      <c r="E29" s="21">
        <v>65560.645239999998</v>
      </c>
      <c r="F29" s="21">
        <f>_xlfn.NUMBERVALUE(SUBSTITUTE(_xlfn.TEXTAFTER(mets2418[[#This Row],[pasted JSON metabolite keys and values from GSM biomass rxn]],":"),",",""))</f>
        <v>-1.5999999999999999E-5</v>
      </c>
      <c r="G29" s="21" cm="1">
        <f t="array" ref="G29">_xlfn.LET(_xlpm.id,mets2418[[#This Row],[name w/o location]],IF(IsElementOfSet_DIY(_xlpm.id,{"atp","adp","h","pi","h2o"}),SIGN(mets2418[[#This Row],[raw (GSM) coefficient]])*(ABS(mets2418[[#This Row],[raw (GSM) coefficient]])-$J$2),mets2418[[#This Row],[raw (GSM) coefficient]]))</f>
        <v>-1.5999999999999999E-5</v>
      </c>
      <c r="H29" s="21">
        <f>mets2418[[#This Row],[coeff. w/o GAM]]</f>
        <v>-1.5999999999999999E-5</v>
      </c>
      <c r="I29" s="161">
        <f t="shared" si="0"/>
        <v>-1.7281102615822512E-5</v>
      </c>
      <c r="J29" s="21" cm="1">
        <f t="array" ref="J29">_xlfn.LET(_xlpm.id,mets2418[[#This Row],[name w/o location]],_xlpm.oldcoeff,mets2418[[#This Row],[normalized coeffs]],_xlpm.gam,$J$2-$G$2,_xlfn.IFS(IFERROR(MATCH(_xlpm.id,{"atp","h2o"},0),0)&gt;0,_xlpm.oldcoeff-_xlpm.gam,IFERROR(MATCH(_xlpm.id,{"adp","h","pi"},0),0)&gt;0,_xlpm.oldcoeff+_xlpm.gam,TRUE,_xlpm.oldcoeff))</f>
        <v>-1.7281102615822512E-5</v>
      </c>
      <c r="K29" t="str" cm="1">
        <f t="array" ref="K29">"BIOSYN-"&amp;_xlfn.IFS(IFERROR(MATCH(mets2418[[#This Row],[category]],{0,"0",""},0),0)&gt;0,mets2418[[#This Row],[name]],TRUE,mets2418[[#This Row],[category]]&amp;"-"&amp;mets2418[[#This Row],[name]])</f>
        <v>BIOSYN-LIPID-ergstest_rm</v>
      </c>
      <c r="L29" s="149" t="str" cm="1">
        <f t="array" ref="L29">IF(IsElementOfSet_DIY(mets2418[[#This Row],[category]],{"ignore","PROT"}),"",_xlfn.LET(_xlpm.mw,mets2418[[#This Row],[MW for biomass normalization (g/mol)]],"MET-"&amp;mets2418[[#This Row],[name]]&amp;" --&gt; "&amp;IF((mets2418[[#This Row],[category]]="DNA")+(mets2418[[#This Row],[category]]="RNA"),"MET-ppi_c + ","")&amp;ROUND(ABS(_xlpm.mw/1000),6)&amp;" BIO-"&amp;mets2418[[#This Row],[name]]))</f>
        <v>MET-ergstest_rm --&gt; 65.560645 BIO-ergstest_rm</v>
      </c>
      <c r="M29" s="149" cm="1">
        <f t="array" ref="M2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-1.7281102615822512E-5</v>
      </c>
      <c r="N29" s="149"/>
      <c r="O29" s="149"/>
      <c r="P29" s="149"/>
      <c r="Q29" s="149"/>
      <c r="R29" s="149"/>
      <c r="S29" s="149"/>
      <c r="T29" s="149"/>
      <c r="U29" s="149"/>
      <c r="V29" s="149"/>
      <c r="AB29" t="str">
        <v>BIOSYN-CARB-mannan_r</v>
      </c>
      <c r="AC29" t="str">
        <v>MET-mannan_r --&gt; 0.162141 BIO-mannan_r</v>
      </c>
    </row>
    <row r="30" spans="1:29" ht="16" x14ac:dyDescent="0.2">
      <c r="A30" s="142" t="s">
        <v>850</v>
      </c>
      <c r="B30" t="str">
        <f>SUBSTITUTE(_xlfn.TEXTBEFORE(mets2418[[#This Row],[pasted JSON metabolite keys and values from GSM biomass rxn]],":"),CHAR(34),"")</f>
        <v>fad_c</v>
      </c>
      <c r="C30" t="str">
        <f>_xlfn.TEXTBEFORE(mets2418[[#This Row],[name]],"_",-1)</f>
        <v>fad</v>
      </c>
      <c r="D30" t="str">
        <f>_xlfn.XLOOKUP(mets2418[[#This Row],[name w/o location]],metaboliteInfo[name w/o location],metaboliteInfo[suggested category],"")</f>
        <v>COFACTOR</v>
      </c>
      <c r="E30" s="21">
        <f>_xlfn.XLOOKUP(mets2418[[#This Row],[name w/o location]],metaboliteInfo[name w/o location],metaboliteInfo[MW for biomass normalization (g/mol)],0)</f>
        <v>782.52592200000004</v>
      </c>
      <c r="F30" s="21">
        <f>_xlfn.NUMBERVALUE(SUBSTITUTE(_xlfn.TEXTAFTER(mets2418[[#This Row],[pasted JSON metabolite keys and values from GSM biomass rxn]],":"),",",""))</f>
        <v>-7.5100000000000004E-4</v>
      </c>
      <c r="G30" s="21" cm="1">
        <f t="array" ref="G30">_xlfn.LET(_xlpm.id,mets2418[[#This Row],[name w/o location]],IF(IsElementOfSet_DIY(_xlpm.id,{"atp","adp","h","pi","h2o"}),SIGN(mets2418[[#This Row],[raw (GSM) coefficient]])*(ABS(mets2418[[#This Row],[raw (GSM) coefficient]])-$J$2),mets2418[[#This Row],[raw (GSM) coefficient]]))</f>
        <v>-7.5100000000000004E-4</v>
      </c>
      <c r="H30" s="21">
        <f>mets2418[[#This Row],[coeff. w/o GAM]]</f>
        <v>-7.5100000000000004E-4</v>
      </c>
      <c r="I30" s="161">
        <f t="shared" si="0"/>
        <v>-8.1113175403016923E-4</v>
      </c>
      <c r="J30" s="21" cm="1">
        <f t="array" ref="J30">_xlfn.LET(_xlpm.id,mets2418[[#This Row],[name w/o location]],_xlpm.oldcoeff,mets2418[[#This Row],[normalized coeffs]],_xlpm.gam,$J$2-$G$2,_xlfn.IFS(IFERROR(MATCH(_xlpm.id,{"atp","h2o"},0),0)&gt;0,_xlpm.oldcoeff-_xlpm.gam,IFERROR(MATCH(_xlpm.id,{"adp","h","pi"},0),0)&gt;0,_xlpm.oldcoeff+_xlpm.gam,TRUE,_xlpm.oldcoeff))</f>
        <v>-8.1113175403016923E-4</v>
      </c>
      <c r="K30" t="str" cm="1">
        <f t="array" ref="K30">"BIOSYN-"&amp;_xlfn.IFS(IFERROR(MATCH(mets2418[[#This Row],[category]],{0,"0",""},0),0)&gt;0,mets2418[[#This Row],[name]],TRUE,mets2418[[#This Row],[category]]&amp;"-"&amp;mets2418[[#This Row],[name]])</f>
        <v>BIOSYN-COFACTOR-fad_c</v>
      </c>
      <c r="L30" s="149" t="str" cm="1">
        <f t="array" ref="L30">IF(IsElementOfSet_DIY(mets2418[[#This Row],[category]],{"ignore","PROT"}),"",_xlfn.LET(_xlpm.mw,mets2418[[#This Row],[MW for biomass normalization (g/mol)]],"MET-"&amp;mets2418[[#This Row],[name]]&amp;" --&gt; "&amp;IF((mets2418[[#This Row],[category]]="DNA")+(mets2418[[#This Row],[category]]="RNA"),"MET-ppi_c + ","")&amp;ROUND(ABS(_xlpm.mw/1000),6)&amp;" BIO-"&amp;mets2418[[#This Row],[name]]))</f>
        <v>MET-fad_c --&gt; 0.782526 BIO-fad_c</v>
      </c>
      <c r="M30" s="149" cm="1">
        <f t="array" ref="M3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-8.1113175403016923E-4</v>
      </c>
      <c r="N30" s="149"/>
      <c r="O30" s="149"/>
      <c r="P30" s="149"/>
      <c r="Q30" s="149"/>
      <c r="R30" s="149"/>
      <c r="S30" s="149"/>
      <c r="T30" s="149"/>
      <c r="U30" s="149"/>
      <c r="V30" s="149"/>
      <c r="AB30" t="str">
        <v>BIOSYN-CARB-tre_c</v>
      </c>
      <c r="AC30" t="str">
        <v>MET-tre_c --&gt; 0.342296 BIO-tre_c</v>
      </c>
    </row>
    <row r="31" spans="1:29" ht="16" x14ac:dyDescent="0.2">
      <c r="A31" s="142" t="s">
        <v>851</v>
      </c>
      <c r="B31" t="str">
        <f>SUBSTITUTE(_xlfn.TEXTBEFORE(mets2418[[#This Row],[pasted JSON metabolite keys and values from GSM biomass rxn]],":"),CHAR(34),"")</f>
        <v>fe2_c</v>
      </c>
      <c r="C31" t="str">
        <f>_xlfn.TEXTBEFORE(mets2418[[#This Row],[name]],"_",-1)</f>
        <v>fe2</v>
      </c>
      <c r="D31" t="str">
        <f>_xlfn.XLOOKUP(mets2418[[#This Row],[name w/o location]],metaboliteInfo[name w/o location],metaboliteInfo[suggested category],"")</f>
        <v>METAL</v>
      </c>
      <c r="E31" s="21">
        <f>_xlfn.XLOOKUP(mets2418[[#This Row],[name w/o location]],metaboliteInfo[name w/o location],metaboliteInfo[MW for biomass normalization (g/mol)],0)</f>
        <v>55.844999999999999</v>
      </c>
      <c r="F31" s="21">
        <f>_xlfn.NUMBERVALUE(SUBSTITUTE(_xlfn.TEXTAFTER(mets2418[[#This Row],[pasted JSON metabolite keys and values from GSM biomass rxn]],":"),",",""))</f>
        <v>-5.9699999999999998E-4</v>
      </c>
      <c r="G31" s="21" cm="1">
        <f t="array" ref="G31">_xlfn.LET(_xlpm.id,mets2418[[#This Row],[name w/o location]],IF(IsElementOfSet_DIY(_xlpm.id,{"atp","adp","h","pi","h2o"}),SIGN(mets2418[[#This Row],[raw (GSM) coefficient]])*(ABS(mets2418[[#This Row],[raw (GSM) coefficient]])-$J$2),mets2418[[#This Row],[raw (GSM) coefficient]]))</f>
        <v>-5.9699999999999998E-4</v>
      </c>
      <c r="H31" s="21">
        <f>mets2418[[#This Row],[coeff. w/o GAM]]</f>
        <v>-5.9699999999999998E-4</v>
      </c>
      <c r="I31" s="161">
        <f t="shared" si="0"/>
        <v>-6.448011413528775E-4</v>
      </c>
      <c r="J31" s="21" cm="1">
        <f t="array" ref="J31">_xlfn.LET(_xlpm.id,mets2418[[#This Row],[name w/o location]],_xlpm.oldcoeff,mets2418[[#This Row],[normalized coeffs]],_xlpm.gam,$J$2-$G$2,_xlfn.IFS(IFERROR(MATCH(_xlpm.id,{"atp","h2o"},0),0)&gt;0,_xlpm.oldcoeff-_xlpm.gam,IFERROR(MATCH(_xlpm.id,{"adp","h","pi"},0),0)&gt;0,_xlpm.oldcoeff+_xlpm.gam,TRUE,_xlpm.oldcoeff))</f>
        <v>-6.448011413528775E-4</v>
      </c>
      <c r="K31" t="str" cm="1">
        <f t="array" ref="K31">"BIOSYN-"&amp;_xlfn.IFS(IFERROR(MATCH(mets2418[[#This Row],[category]],{0,"0",""},0),0)&gt;0,mets2418[[#This Row],[name]],TRUE,mets2418[[#This Row],[category]]&amp;"-"&amp;mets2418[[#This Row],[name]])</f>
        <v>BIOSYN-METAL-fe2_c</v>
      </c>
      <c r="L31" s="149" t="str" cm="1">
        <f t="array" ref="L31">IF(IsElementOfSet_DIY(mets2418[[#This Row],[category]],{"ignore","PROT"}),"",_xlfn.LET(_xlpm.mw,mets2418[[#This Row],[MW for biomass normalization (g/mol)]],"MET-"&amp;mets2418[[#This Row],[name]]&amp;" --&gt; "&amp;IF((mets2418[[#This Row],[category]]="DNA")+(mets2418[[#This Row],[category]]="RNA"),"MET-ppi_c + ","")&amp;ROUND(ABS(_xlpm.mw/1000),6)&amp;" BIO-"&amp;mets2418[[#This Row],[name]]))</f>
        <v>MET-fe2_c --&gt; 0.055845 BIO-fe2_c</v>
      </c>
      <c r="M31" s="149" cm="1">
        <f t="array" ref="M3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-6.448011413528775E-4</v>
      </c>
      <c r="N31" s="149"/>
      <c r="O31" s="149"/>
      <c r="P31" s="149"/>
      <c r="Q31" s="149"/>
      <c r="R31" s="149"/>
      <c r="S31" s="149"/>
      <c r="T31" s="149"/>
      <c r="U31" s="149"/>
      <c r="V31" s="149"/>
      <c r="AB31" t="str">
        <v>BIOSYN-COFACTOR-5mthf_c</v>
      </c>
      <c r="AC31" t="str">
        <v>MET-5mthf_c --&gt; 0.458448 BIO-5mthf_c</v>
      </c>
    </row>
    <row r="32" spans="1:29" ht="16" x14ac:dyDescent="0.2">
      <c r="A32" s="142" t="s">
        <v>852</v>
      </c>
      <c r="B32" t="str">
        <f>SUBSTITUTE(_xlfn.TEXTBEFORE(mets2418[[#This Row],[pasted JSON metabolite keys and values from GSM biomass rxn]],":"),CHAR(34),"")</f>
        <v>fe3_c</v>
      </c>
      <c r="C32" t="str">
        <f>_xlfn.TEXTBEFORE(mets2418[[#This Row],[name]],"_",-1)</f>
        <v>fe3</v>
      </c>
      <c r="D32" t="str">
        <f>_xlfn.XLOOKUP(mets2418[[#This Row],[name w/o location]],metaboliteInfo[name w/o location],metaboliteInfo[suggested category],"")</f>
        <v>METAL</v>
      </c>
      <c r="E32" s="21">
        <f>_xlfn.XLOOKUP(mets2418[[#This Row],[name w/o location]],metaboliteInfo[name w/o location],metaboliteInfo[MW for biomass normalization (g/mol)],0)</f>
        <v>55.844999999999999</v>
      </c>
      <c r="F32" s="21">
        <f>_xlfn.NUMBERVALUE(SUBSTITUTE(_xlfn.TEXTAFTER(mets2418[[#This Row],[pasted JSON metabolite keys and values from GSM biomass rxn]],":"),",",""))</f>
        <v>-5.9699999999999998E-4</v>
      </c>
      <c r="G32" s="21" cm="1">
        <f t="array" ref="G32">_xlfn.LET(_xlpm.id,mets2418[[#This Row],[name w/o location]],IF(IsElementOfSet_DIY(_xlpm.id,{"atp","adp","h","pi","h2o"}),SIGN(mets2418[[#This Row],[raw (GSM) coefficient]])*(ABS(mets2418[[#This Row],[raw (GSM) coefficient]])-$J$2),mets2418[[#This Row],[raw (GSM) coefficient]]))</f>
        <v>-5.9699999999999998E-4</v>
      </c>
      <c r="H32" s="21">
        <f>mets2418[[#This Row],[coeff. w/o GAM]]</f>
        <v>-5.9699999999999998E-4</v>
      </c>
      <c r="I32" s="161">
        <f t="shared" si="0"/>
        <v>-6.448011413528775E-4</v>
      </c>
      <c r="J32" s="21" cm="1">
        <f t="array" ref="J32">_xlfn.LET(_xlpm.id,mets2418[[#This Row],[name w/o location]],_xlpm.oldcoeff,mets2418[[#This Row],[normalized coeffs]],_xlpm.gam,$J$2-$G$2,_xlfn.IFS(IFERROR(MATCH(_xlpm.id,{"atp","h2o"},0),0)&gt;0,_xlpm.oldcoeff-_xlpm.gam,IFERROR(MATCH(_xlpm.id,{"adp","h","pi"},0),0)&gt;0,_xlpm.oldcoeff+_xlpm.gam,TRUE,_xlpm.oldcoeff))</f>
        <v>-6.448011413528775E-4</v>
      </c>
      <c r="K32" t="str" cm="1">
        <f t="array" ref="K32">"BIOSYN-"&amp;_xlfn.IFS(IFERROR(MATCH(mets2418[[#This Row],[category]],{0,"0",""},0),0)&gt;0,mets2418[[#This Row],[name]],TRUE,mets2418[[#This Row],[category]]&amp;"-"&amp;mets2418[[#This Row],[name]])</f>
        <v>BIOSYN-METAL-fe3_c</v>
      </c>
      <c r="L32" s="149" t="str" cm="1">
        <f t="array" ref="L32">IF(IsElementOfSet_DIY(mets2418[[#This Row],[category]],{"ignore","PROT"}),"",_xlfn.LET(_xlpm.mw,mets2418[[#This Row],[MW for biomass normalization (g/mol)]],"MET-"&amp;mets2418[[#This Row],[name]]&amp;" --&gt; "&amp;IF((mets2418[[#This Row],[category]]="DNA")+(mets2418[[#This Row],[category]]="RNA"),"MET-ppi_c + ","")&amp;ROUND(ABS(_xlpm.mw/1000),6)&amp;" BIO-"&amp;mets2418[[#This Row],[name]]))</f>
        <v>MET-fe3_c --&gt; 0.055845 BIO-fe3_c</v>
      </c>
      <c r="M32" s="149" cm="1">
        <f t="array" ref="M3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-6.448011413528775E-4</v>
      </c>
      <c r="N32" s="149"/>
      <c r="O32" s="149"/>
      <c r="P32" s="149"/>
      <c r="Q32" s="149"/>
      <c r="R32" s="149"/>
      <c r="S32" s="149"/>
      <c r="T32" s="149"/>
      <c r="U32" s="149"/>
      <c r="V32" s="149"/>
      <c r="AB32" t="str">
        <v>BIOSYN-COFACTOR-btn_m</v>
      </c>
      <c r="AC32" t="str">
        <v>MET-btn_m --&gt; 0.243303 BIO-btn_m</v>
      </c>
    </row>
    <row r="33" spans="1:29" ht="16" x14ac:dyDescent="0.2">
      <c r="A33" s="142" t="s">
        <v>853</v>
      </c>
      <c r="B33" t="str">
        <f>SUBSTITUTE(_xlfn.TEXTBEFORE(mets2418[[#This Row],[pasted JSON metabolite keys and values from GSM biomass rxn]],":"),CHAR(34),"")</f>
        <v>glntrna_c</v>
      </c>
      <c r="C33" t="str">
        <f>_xlfn.TEXTBEFORE(mets2418[[#This Row],[name]],"_",-1)</f>
        <v>glntrna</v>
      </c>
      <c r="D33" t="str">
        <f>_xlfn.XLOOKUP(mets2418[[#This Row],[name w/o location]],metaboliteInfo[name w/o location],metaboliteInfo[suggested category],"")</f>
        <v>PROT</v>
      </c>
      <c r="E33" s="21">
        <f>_xlfn.XLOOKUP(mets2418[[#This Row],[name w/o location]],metaboliteInfo[name w/o location],metaboliteInfo[MW for biomass normalization (g/mol)],0)</f>
        <v>129.13715999999999</v>
      </c>
      <c r="F33" s="21">
        <f>_xlfn.NUMBERVALUE(SUBSTITUTE(_xlfn.TEXTAFTER(mets2418[[#This Row],[pasted JSON metabolite keys and values from GSM biomass rxn]],":"),",",""))</f>
        <v>-0.117898</v>
      </c>
      <c r="G33" s="21" cm="1">
        <f t="array" ref="G33">_xlfn.LET(_xlpm.id,mets2418[[#This Row],[name w/o location]],IF(IsElementOfSet_DIY(_xlpm.id,{"atp","adp","h","pi","h2o"}),SIGN(mets2418[[#This Row],[raw (GSM) coefficient]])*(ABS(mets2418[[#This Row],[raw (GSM) coefficient]])-$J$2),mets2418[[#This Row],[raw (GSM) coefficient]]))</f>
        <v>-0.117898</v>
      </c>
      <c r="H33" s="21">
        <f>mets2418[[#This Row],[coeff. w/o GAM]]</f>
        <v>-0.117898</v>
      </c>
      <c r="I33" s="161">
        <f t="shared" si="0"/>
        <v>-0.12733796476251516</v>
      </c>
      <c r="J33" s="21" cm="1">
        <f t="array" ref="J33">_xlfn.LET(_xlpm.id,mets2418[[#This Row],[name w/o location]],_xlpm.oldcoeff,mets2418[[#This Row],[normalized coeffs]],_xlpm.gam,$J$2-$G$2,_xlfn.IFS(IFERROR(MATCH(_xlpm.id,{"atp","h2o"},0),0)&gt;0,_xlpm.oldcoeff-_xlpm.gam,IFERROR(MATCH(_xlpm.id,{"adp","h","pi"},0),0)&gt;0,_xlpm.oldcoeff+_xlpm.gam,TRUE,_xlpm.oldcoeff))</f>
        <v>-0.12733796476251516</v>
      </c>
      <c r="K33" t="str" cm="1">
        <f t="array" ref="K33">"BIOSYN-"&amp;_xlfn.IFS(IFERROR(MATCH(mets2418[[#This Row],[category]],{0,"0",""},0),0)&gt;0,mets2418[[#This Row],[name]],TRUE,mets2418[[#This Row],[category]]&amp;"-"&amp;mets2418[[#This Row],[name]])</f>
        <v>BIOSYN-PROT-glntrna_c</v>
      </c>
      <c r="L33" s="149" t="str" cm="1">
        <f t="array" ref="L33">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33" s="149" cm="1">
        <f t="array" ref="M33">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-0.12733796476251516</v>
      </c>
      <c r="N33" s="149"/>
      <c r="O33" s="149"/>
      <c r="P33" s="149"/>
      <c r="Q33" s="149"/>
      <c r="R33" s="149"/>
      <c r="S33" s="149"/>
      <c r="T33" s="149"/>
      <c r="U33" s="149"/>
      <c r="V33" s="149"/>
      <c r="AB33" t="str">
        <v>BIOSYN-COFACTOR-coa_c</v>
      </c>
      <c r="AC33" t="str">
        <v>MET-coa_c --&gt; 0.763502 BIO-coa_c</v>
      </c>
    </row>
    <row r="34" spans="1:29" ht="16" x14ac:dyDescent="0.2">
      <c r="A34" s="142" t="s">
        <v>854</v>
      </c>
      <c r="B34" t="str">
        <f>SUBSTITUTE(_xlfn.TEXTBEFORE(mets2418[[#This Row],[pasted JSON metabolite keys and values from GSM biomass rxn]],":"),CHAR(34),"")</f>
        <v>glutrna_c</v>
      </c>
      <c r="C34" t="str">
        <f>_xlfn.TEXTBEFORE(mets2418[[#This Row],[name]],"_",-1)</f>
        <v>glutrna</v>
      </c>
      <c r="D34" t="str">
        <f>_xlfn.XLOOKUP(mets2418[[#This Row],[name w/o location]],metaboliteInfo[name w/o location],metaboliteInfo[suggested category],"")</f>
        <v>PROT</v>
      </c>
      <c r="E34" s="21">
        <f>_xlfn.XLOOKUP(mets2418[[#This Row],[name w/o location]],metaboliteInfo[name w/o location],metaboliteInfo[MW for biomass normalization (g/mol)],0)</f>
        <v>129.11398</v>
      </c>
      <c r="F34" s="21">
        <f>_xlfn.NUMBERVALUE(SUBSTITUTE(_xlfn.TEXTAFTER(mets2418[[#This Row],[pasted JSON metabolite keys and values from GSM biomass rxn]],":"),",",""))</f>
        <v>-0.208673</v>
      </c>
      <c r="G34" s="21" cm="1">
        <f t="array" ref="G34">_xlfn.LET(_xlpm.id,mets2418[[#This Row],[name w/o location]],IF(IsElementOfSet_DIY(_xlpm.id,{"atp","adp","h","pi","h2o"}),SIGN(mets2418[[#This Row],[raw (GSM) coefficient]])*(ABS(mets2418[[#This Row],[raw (GSM) coefficient]])-$J$2),mets2418[[#This Row],[raw (GSM) coefficient]]))</f>
        <v>-0.208673</v>
      </c>
      <c r="H34" s="21">
        <f>mets2418[[#This Row],[coeff. w/o GAM]]</f>
        <v>-0.208673</v>
      </c>
      <c r="I34" s="161">
        <f t="shared" si="0"/>
        <v>-0.2253812203844707</v>
      </c>
      <c r="J34" s="21" cm="1">
        <f t="array" ref="J34">_xlfn.LET(_xlpm.id,mets2418[[#This Row],[name w/o location]],_xlpm.oldcoeff,mets2418[[#This Row],[normalized coeffs]],_xlpm.gam,$J$2-$G$2,_xlfn.IFS(IFERROR(MATCH(_xlpm.id,{"atp","h2o"},0),0)&gt;0,_xlpm.oldcoeff-_xlpm.gam,IFERROR(MATCH(_xlpm.id,{"adp","h","pi"},0),0)&gt;0,_xlpm.oldcoeff+_xlpm.gam,TRUE,_xlpm.oldcoeff))</f>
        <v>-0.2253812203844707</v>
      </c>
      <c r="K34" t="str" cm="1">
        <f t="array" ref="K34">"BIOSYN-"&amp;_xlfn.IFS(IFERROR(MATCH(mets2418[[#This Row],[category]],{0,"0",""},0),0)&gt;0,mets2418[[#This Row],[name]],TRUE,mets2418[[#This Row],[category]]&amp;"-"&amp;mets2418[[#This Row],[name]])</f>
        <v>BIOSYN-PROT-glutrna_c</v>
      </c>
      <c r="L34" s="149" t="str" cm="1">
        <f t="array" ref="L34">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34" s="149" cm="1">
        <f t="array" ref="M34">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-0.2253812203844707</v>
      </c>
      <c r="N34" s="149"/>
      <c r="O34" s="149"/>
      <c r="P34" s="149"/>
      <c r="Q34" s="149"/>
      <c r="R34" s="149"/>
      <c r="S34" s="149"/>
      <c r="T34" s="149"/>
      <c r="U34" s="149"/>
      <c r="V34" s="149"/>
      <c r="AB34" t="str">
        <v>BIOSYN-COFACTOR-fad_c</v>
      </c>
      <c r="AC34" t="str">
        <v>MET-fad_c --&gt; 0.782526 BIO-fad_c</v>
      </c>
    </row>
    <row r="35" spans="1:29" ht="16" x14ac:dyDescent="0.2">
      <c r="A35" s="142" t="s">
        <v>855</v>
      </c>
      <c r="B35" t="str">
        <f>SUBSTITUTE(_xlfn.TEXTBEFORE(mets2418[[#This Row],[pasted JSON metabolite keys and values from GSM biomass rxn]],":"),CHAR(34),"")</f>
        <v>glycogen_c</v>
      </c>
      <c r="C35" t="str">
        <f>_xlfn.TEXTBEFORE(mets2418[[#This Row],[name]],"_",-1)</f>
        <v>glycogen</v>
      </c>
      <c r="D35" t="str">
        <f>_xlfn.XLOOKUP(mets2418[[#This Row],[name w/o location]],metaboliteInfo[name w/o location],metaboliteInfo[suggested category],"")</f>
        <v>CARB</v>
      </c>
      <c r="E35" s="21">
        <f>_xlfn.XLOOKUP(mets2418[[#This Row],[name w/o location]],metaboliteInfo[name w/o location],metaboliteInfo[MW for biomass normalization (g/mol)],0)</f>
        <v>162.14060000000001</v>
      </c>
      <c r="F35" s="21">
        <f>_xlfn.NUMBERVALUE(SUBSTITUTE(_xlfn.TEXTAFTER(mets2418[[#This Row],[pasted JSON metabolite keys and values from GSM biomass rxn]],":"),",",""))</f>
        <v>-0.518069</v>
      </c>
      <c r="G35" s="21" cm="1">
        <f t="array" ref="G35">_xlfn.LET(_xlpm.id,mets2418[[#This Row],[name w/o location]],IF(IsElementOfSet_DIY(_xlpm.id,{"atp","adp","h","pi","h2o"}),SIGN(mets2418[[#This Row],[raw (GSM) coefficient]])*(ABS(mets2418[[#This Row],[raw (GSM) coefficient]])-$J$2),mets2418[[#This Row],[raw (GSM) coefficient]]))</f>
        <v>-0.518069</v>
      </c>
      <c r="H35" s="21">
        <f>mets2418[[#This Row],[coeff. w/o GAM]]</f>
        <v>-0.518069</v>
      </c>
      <c r="I35" s="161">
        <f t="shared" si="0"/>
        <v>-0.55955022194228465</v>
      </c>
      <c r="J35" s="21" cm="1">
        <f t="array" ref="J35">_xlfn.LET(_xlpm.id,mets2418[[#This Row],[name w/o location]],_xlpm.oldcoeff,mets2418[[#This Row],[normalized coeffs]],_xlpm.gam,$J$2-$G$2,_xlfn.IFS(IFERROR(MATCH(_xlpm.id,{"atp","h2o"},0),0)&gt;0,_xlpm.oldcoeff-_xlpm.gam,IFERROR(MATCH(_xlpm.id,{"adp","h","pi"},0),0)&gt;0,_xlpm.oldcoeff+_xlpm.gam,TRUE,_xlpm.oldcoeff))</f>
        <v>-0.55955022194228465</v>
      </c>
      <c r="K35" t="str" cm="1">
        <f t="array" ref="K35">"BIOSYN-"&amp;_xlfn.IFS(IFERROR(MATCH(mets2418[[#This Row],[category]],{0,"0",""},0),0)&gt;0,mets2418[[#This Row],[name]],TRUE,mets2418[[#This Row],[category]]&amp;"-"&amp;mets2418[[#This Row],[name]])</f>
        <v>BIOSYN-CARB-glycogen_c</v>
      </c>
      <c r="L35" s="149" t="str" cm="1">
        <f t="array" ref="L35">IF(IsElementOfSet_DIY(mets2418[[#This Row],[category]],{"ignore","PROT"}),"",_xlfn.LET(_xlpm.mw,mets2418[[#This Row],[MW for biomass normalization (g/mol)]],"MET-"&amp;mets2418[[#This Row],[name]]&amp;" --&gt; "&amp;IF((mets2418[[#This Row],[category]]="DNA")+(mets2418[[#This Row],[category]]="RNA"),"MET-ppi_c + ","")&amp;ROUND(ABS(_xlpm.mw/1000),6)&amp;" BIO-"&amp;mets2418[[#This Row],[name]]))</f>
        <v>MET-glycogen_c --&gt; 0.162141 BIO-glycogen_c</v>
      </c>
      <c r="M35" s="149" cm="1">
        <f t="array" ref="M35">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-0.55955022194228465</v>
      </c>
      <c r="N35" s="149"/>
      <c r="O35" s="149"/>
      <c r="P35" s="149"/>
      <c r="Q35" s="149"/>
      <c r="R35" s="149"/>
      <c r="S35" s="149"/>
      <c r="T35" s="149"/>
      <c r="U35" s="149"/>
      <c r="V35" s="149"/>
      <c r="AB35" t="str">
        <v>BIOSYN-COFACTOR-hemeA_m</v>
      </c>
      <c r="AC35" t="str">
        <v>MET-hemeA_m --&gt; 0.850821 BIO-hemeA_m</v>
      </c>
    </row>
    <row r="36" spans="1:29" ht="16" x14ac:dyDescent="0.2">
      <c r="A36" s="142" t="s">
        <v>856</v>
      </c>
      <c r="B36" t="str">
        <f>SUBSTITUTE(_xlfn.TEXTBEFORE(mets2418[[#This Row],[pasted JSON metabolite keys and values from GSM biomass rxn]],":"),CHAR(34),"")</f>
        <v>glytrna_c</v>
      </c>
      <c r="C36" t="str">
        <f>_xlfn.TEXTBEFORE(mets2418[[#This Row],[name]],"_",-1)</f>
        <v>glytrna</v>
      </c>
      <c r="D36" t="str">
        <f>_xlfn.XLOOKUP(mets2418[[#This Row],[name w/o location]],metaboliteInfo[name w/o location],metaboliteInfo[suggested category],"")</f>
        <v>PROT</v>
      </c>
      <c r="E36" s="21">
        <f>_xlfn.XLOOKUP(mets2418[[#This Row],[name w/o location]],metaboliteInfo[name w/o location],metaboliteInfo[MW for biomass normalization (g/mol)],0)</f>
        <v>58.059260000000002</v>
      </c>
      <c r="F36" s="21">
        <f>_xlfn.NUMBERVALUE(SUBSTITUTE(_xlfn.TEXTAFTER(mets2418[[#This Row],[pasted JSON metabolite keys and values from GSM biomass rxn]],":"),",",""))</f>
        <v>-0.51322000000000001</v>
      </c>
      <c r="G36" s="21" cm="1">
        <f t="array" ref="G36">_xlfn.LET(_xlpm.id,mets2418[[#This Row],[name w/o location]],IF(IsElementOfSet_DIY(_xlpm.id,{"atp","adp","h","pi","h2o"}),SIGN(mets2418[[#This Row],[raw (GSM) coefficient]])*(ABS(mets2418[[#This Row],[raw (GSM) coefficient]])-$J$2),mets2418[[#This Row],[raw (GSM) coefficient]]))</f>
        <v>-0.51322000000000001</v>
      </c>
      <c r="H36" s="21">
        <f>mets2418[[#This Row],[coeff. w/o GAM]]</f>
        <v>-0.51322000000000001</v>
      </c>
      <c r="I36" s="161">
        <f t="shared" si="0"/>
        <v>-0.55431296778077688</v>
      </c>
      <c r="J36" s="21" cm="1">
        <f t="array" ref="J36">_xlfn.LET(_xlpm.id,mets2418[[#This Row],[name w/o location]],_xlpm.oldcoeff,mets2418[[#This Row],[normalized coeffs]],_xlpm.gam,$J$2-$G$2,_xlfn.IFS(IFERROR(MATCH(_xlpm.id,{"atp","h2o"},0),0)&gt;0,_xlpm.oldcoeff-_xlpm.gam,IFERROR(MATCH(_xlpm.id,{"adp","h","pi"},0),0)&gt;0,_xlpm.oldcoeff+_xlpm.gam,TRUE,_xlpm.oldcoeff))</f>
        <v>-0.55431296778077688</v>
      </c>
      <c r="K36" t="str" cm="1">
        <f t="array" ref="K36">"BIOSYN-"&amp;_xlfn.IFS(IFERROR(MATCH(mets2418[[#This Row],[category]],{0,"0",""},0),0)&gt;0,mets2418[[#This Row],[name]],TRUE,mets2418[[#This Row],[category]]&amp;"-"&amp;mets2418[[#This Row],[name]])</f>
        <v>BIOSYN-PROT-glytrna_c</v>
      </c>
      <c r="L36" s="149" t="str" cm="1">
        <f t="array" ref="L36">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36" s="149" cm="1">
        <f t="array" ref="M3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-0.55431296778077688</v>
      </c>
      <c r="N36" s="149"/>
      <c r="O36" s="149"/>
      <c r="P36" s="149"/>
      <c r="Q36" s="149"/>
      <c r="R36" s="149"/>
      <c r="S36" s="149"/>
      <c r="T36" s="149"/>
      <c r="U36" s="149"/>
      <c r="V36" s="149"/>
      <c r="AB36" t="str">
        <v>BIOSYN-COFACTOR-nad_c</v>
      </c>
      <c r="AC36" t="str">
        <v>MET-nad_c --&gt; 0.662417 BIO-nad_c</v>
      </c>
    </row>
    <row r="37" spans="1:29" ht="16" x14ac:dyDescent="0.2">
      <c r="A37" s="142" t="s">
        <v>857</v>
      </c>
      <c r="B37" t="str">
        <f>SUBSTITUTE(_xlfn.TEXTBEFORE(mets2418[[#This Row],[pasted JSON metabolite keys and values from GSM biomass rxn]],":"),CHAR(34),"")</f>
        <v>gthrd_c</v>
      </c>
      <c r="C37" t="str">
        <f>_xlfn.TEXTBEFORE(mets2418[[#This Row],[name]],"_",-1)</f>
        <v>gthrd</v>
      </c>
      <c r="D37" t="str">
        <f>_xlfn.XLOOKUP(mets2418[[#This Row],[name w/o location]],metaboliteInfo[name w/o location],metaboliteInfo[suggested category],"")</f>
        <v>other</v>
      </c>
      <c r="E37" s="21">
        <f>_xlfn.XLOOKUP(mets2418[[#This Row],[name w/o location]],metaboliteInfo[name w/o location],metaboliteInfo[MW for biomass normalization (g/mol)],0)</f>
        <v>306.31554</v>
      </c>
      <c r="F37" s="21">
        <f>_xlfn.NUMBERVALUE(SUBSTITUTE(_xlfn.TEXTAFTER(mets2418[[#This Row],[pasted JSON metabolite keys and values from GSM biomass rxn]],":"),",",""))</f>
        <v>-1.92E-3</v>
      </c>
      <c r="G37" s="21" cm="1">
        <f t="array" ref="G37">_xlfn.LET(_xlpm.id,mets2418[[#This Row],[name w/o location]],IF(IsElementOfSet_DIY(_xlpm.id,{"atp","adp","h","pi","h2o"}),SIGN(mets2418[[#This Row],[raw (GSM) coefficient]])*(ABS(mets2418[[#This Row],[raw (GSM) coefficient]])-$J$2),mets2418[[#This Row],[raw (GSM) coefficient]]))</f>
        <v>-1.92E-3</v>
      </c>
      <c r="H37" s="21">
        <f>mets2418[[#This Row],[coeff. w/o GAM]]</f>
        <v>-1.92E-3</v>
      </c>
      <c r="I37" s="161">
        <f t="shared" si="0"/>
        <v>-2.0737323138987017E-3</v>
      </c>
      <c r="J37" s="21" cm="1">
        <f t="array" ref="J37">_xlfn.LET(_xlpm.id,mets2418[[#This Row],[name w/o location]],_xlpm.oldcoeff,mets2418[[#This Row],[normalized coeffs]],_xlpm.gam,$J$2-$G$2,_xlfn.IFS(IFERROR(MATCH(_xlpm.id,{"atp","h2o"},0),0)&gt;0,_xlpm.oldcoeff-_xlpm.gam,IFERROR(MATCH(_xlpm.id,{"adp","h","pi"},0),0)&gt;0,_xlpm.oldcoeff+_xlpm.gam,TRUE,_xlpm.oldcoeff))</f>
        <v>-2.0737323138987017E-3</v>
      </c>
      <c r="K37" t="str" cm="1">
        <f t="array" ref="K37">"BIOSYN-"&amp;_xlfn.IFS(IFERROR(MATCH(mets2418[[#This Row],[category]],{0,"0",""},0),0)&gt;0,mets2418[[#This Row],[name]],TRUE,mets2418[[#This Row],[category]]&amp;"-"&amp;mets2418[[#This Row],[name]])</f>
        <v>BIOSYN-other-gthrd_c</v>
      </c>
      <c r="L37" s="149" t="str" cm="1">
        <f t="array" ref="L37">IF(IsElementOfSet_DIY(mets2418[[#This Row],[category]],{"ignore","PROT"}),"",_xlfn.LET(_xlpm.mw,mets2418[[#This Row],[MW for biomass normalization (g/mol)]],"MET-"&amp;mets2418[[#This Row],[name]]&amp;" --&gt; "&amp;IF((mets2418[[#This Row],[category]]="DNA")+(mets2418[[#This Row],[category]]="RNA"),"MET-ppi_c + ","")&amp;ROUND(ABS(_xlpm.mw/1000),6)&amp;" BIO-"&amp;mets2418[[#This Row],[name]]))</f>
        <v>MET-gthrd_c --&gt; 0.306316 BIO-gthrd_c</v>
      </c>
      <c r="M37" s="149" cm="1">
        <f t="array" ref="M3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-2.0737323138987017E-3</v>
      </c>
      <c r="N37" s="149"/>
      <c r="O37" s="149"/>
      <c r="P37" s="149"/>
      <c r="Q37" s="149"/>
      <c r="R37" s="149"/>
      <c r="S37" s="149"/>
      <c r="T37" s="149"/>
      <c r="U37" s="149"/>
      <c r="V37" s="149"/>
      <c r="AB37" t="str">
        <v>BIOSYN-COFACTOR-nadp_c</v>
      </c>
      <c r="AC37" t="str">
        <v>MET-nadp_c --&gt; 0.740381 BIO-nadp_c</v>
      </c>
    </row>
    <row r="38" spans="1:29" ht="16" x14ac:dyDescent="0.2">
      <c r="A38" s="142" t="s">
        <v>858</v>
      </c>
      <c r="B38" t="str">
        <f>SUBSTITUTE(_xlfn.TEXTBEFORE(mets2418[[#This Row],[pasted JSON metabolite keys and values from GSM biomass rxn]],":"),CHAR(34),"")</f>
        <v>gtp_c</v>
      </c>
      <c r="C38" t="str">
        <f>_xlfn.TEXTBEFORE(mets2418[[#This Row],[name]],"_",-1)</f>
        <v>gtp</v>
      </c>
      <c r="D38" t="str">
        <f>_xlfn.XLOOKUP(mets2418[[#This Row],[name w/o location]],metaboliteInfo[name w/o location],metaboliteInfo[suggested category],"")</f>
        <v>RNA</v>
      </c>
      <c r="E38" s="21">
        <f>_xlfn.XLOOKUP(mets2418[[#This Row],[name w/o location]],metaboliteInfo[name w/o location],metaboliteInfo[MW for biomass normalization (g/mol)],0)</f>
        <v>344.19740100000001</v>
      </c>
      <c r="F38" s="21">
        <f>_xlfn.NUMBERVALUE(SUBSTITUTE(_xlfn.TEXTAFTER(mets2418[[#This Row],[pasted JSON metabolite keys and values from GSM biomass rxn]],":"),",",""))</f>
        <v>-5.1084999999999998E-2</v>
      </c>
      <c r="G38" s="21" cm="1">
        <f t="array" ref="G38">_xlfn.LET(_xlpm.id,mets2418[[#This Row],[name w/o location]],IF(IsElementOfSet_DIY(_xlpm.id,{"atp","adp","h","pi","h2o"}),SIGN(mets2418[[#This Row],[raw (GSM) coefficient]])*(ABS(mets2418[[#This Row],[raw (GSM) coefficient]])-$J$2),mets2418[[#This Row],[raw (GSM) coefficient]]))</f>
        <v>-5.1084999999999998E-2</v>
      </c>
      <c r="H38" s="21">
        <f>mets2418[[#This Row],[coeff. w/o GAM]]</f>
        <v>-5.1084999999999998E-2</v>
      </c>
      <c r="I38" s="161">
        <f t="shared" si="0"/>
        <v>-5.5175320445580815E-2</v>
      </c>
      <c r="J38" s="21" cm="1">
        <f t="array" ref="J38">_xlfn.LET(_xlpm.id,mets2418[[#This Row],[name w/o location]],_xlpm.oldcoeff,mets2418[[#This Row],[normalized coeffs]],_xlpm.gam,$J$2-$G$2,_xlfn.IFS(IFERROR(MATCH(_xlpm.id,{"atp","h2o"},0),0)&gt;0,_xlpm.oldcoeff-_xlpm.gam,IFERROR(MATCH(_xlpm.id,{"adp","h","pi"},0),0)&gt;0,_xlpm.oldcoeff+_xlpm.gam,TRUE,_xlpm.oldcoeff))</f>
        <v>-5.5175320445580815E-2</v>
      </c>
      <c r="K38" t="str" cm="1">
        <f t="array" ref="K38">"BIOSYN-"&amp;_xlfn.IFS(IFERROR(MATCH(mets2418[[#This Row],[category]],{0,"0",""},0),0)&gt;0,mets2418[[#This Row],[name]],TRUE,mets2418[[#This Row],[category]]&amp;"-"&amp;mets2418[[#This Row],[name]])</f>
        <v>BIOSYN-RNA-gtp_c</v>
      </c>
      <c r="L38" s="149" t="str" cm="1">
        <f t="array" ref="L38">IF(IsElementOfSet_DIY(mets2418[[#This Row],[category]],{"ignore","PROT"}),"",_xlfn.LET(_xlpm.mw,mets2418[[#This Row],[MW for biomass normalization (g/mol)]],"MET-"&amp;mets2418[[#This Row],[name]]&amp;" --&gt; "&amp;IF((mets2418[[#This Row],[category]]="DNA")+(mets2418[[#This Row],[category]]="RNA"),"MET-ppi_c + ","")&amp;ROUND(ABS(_xlpm.mw/1000),6)&amp;" BIO-"&amp;mets2418[[#This Row],[name]]))</f>
        <v>MET-gtp_c --&gt; MET-ppi_c + 0.344197 BIO-gtp_c</v>
      </c>
      <c r="M38" s="149" cm="1">
        <f t="array" ref="M3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-5.5175320445580815E-2</v>
      </c>
      <c r="N38" s="149"/>
      <c r="O38" s="149"/>
      <c r="P38" s="149"/>
      <c r="Q38" s="149"/>
      <c r="R38" s="149"/>
      <c r="S38" s="149"/>
      <c r="T38" s="149"/>
      <c r="U38" s="149"/>
      <c r="V38" s="149"/>
      <c r="AB38" t="str">
        <v>BIOSYN-COFACTOR-pydx5p_c</v>
      </c>
      <c r="AC38" t="str">
        <v>MET-pydx5p_c --&gt; 0.245126 BIO-pydx5p_c</v>
      </c>
    </row>
    <row r="39" spans="1:29" ht="16" x14ac:dyDescent="0.2">
      <c r="A39" s="142" t="s">
        <v>859</v>
      </c>
      <c r="B39" t="str">
        <f>SUBSTITUTE(_xlfn.TEXTBEFORE(mets2418[[#This Row],[pasted JSON metabolite keys and values from GSM biomass rxn]],":"),CHAR(34),"")</f>
        <v>h2o_c</v>
      </c>
      <c r="C39" t="str">
        <f>_xlfn.TEXTBEFORE(mets2418[[#This Row],[name]],"_",-1)</f>
        <v>h2o</v>
      </c>
      <c r="D39" t="str">
        <f>_xlfn.XLOOKUP(mets2418[[#This Row],[name w/o location]],metaboliteInfo[name w/o location],metaboliteInfo[suggested category],"")</f>
        <v>GAM</v>
      </c>
      <c r="E39" s="21">
        <f>_xlfn.XLOOKUP(mets2418[[#This Row],[name w/o location]],metaboliteInfo[name w/o location],metaboliteInfo[MW for biomass normalization (g/mol)],0)</f>
        <v>18.015280000000001</v>
      </c>
      <c r="F39" s="21">
        <f>_xlfn.NUMBERVALUE(SUBSTITUTE(_xlfn.TEXTAFTER(mets2418[[#This Row],[pasted JSON metabolite keys and values from GSM biomass rxn]],":"),",",""))</f>
        <v>-135.719639</v>
      </c>
      <c r="G39" s="21" cm="1">
        <f t="array" ref="G39">_xlfn.LET(_xlpm.id,mets2418[[#This Row],[name w/o location]],IF(IsElementOfSet_DIY(_xlpm.id,{"atp","adp","h","pi","h2o"}),SIGN(mets2418[[#This Row],[raw (GSM) coefficient]])*(ABS(mets2418[[#This Row],[raw (GSM) coefficient]])-$J$2),mets2418[[#This Row],[raw (GSM) coefficient]]))</f>
        <v>3.9198140000000024</v>
      </c>
      <c r="H39" s="21">
        <f>mets2418[[#This Row],[coeff. w/o GAM]]</f>
        <v>3.9198140000000024</v>
      </c>
      <c r="I39" s="161">
        <f t="shared" si="0"/>
        <v>4.2336692480586091</v>
      </c>
      <c r="J39" s="21" cm="1">
        <f t="array" ref="J39">_xlfn.LET(_xlpm.id,mets2418[[#This Row],[name w/o location]],_xlpm.oldcoeff,mets2418[[#This Row],[normalized coeffs]],_xlpm.gam,$J$2-$G$2,_xlfn.IFS(IFERROR(MATCH(_xlpm.id,{"atp","h2o"},0),0)&gt;0,_xlpm.oldcoeff-_xlpm.gam,IFERROR(MATCH(_xlpm.id,{"adp","h","pi"},0),0)&gt;0,_xlpm.oldcoeff+_xlpm.gam,TRUE,_xlpm.oldcoeff))</f>
        <v>-128.71578375194139</v>
      </c>
      <c r="K39" t="str" cm="1">
        <f t="array" ref="K39">"BIOSYN-"&amp;_xlfn.IFS(IFERROR(MATCH(mets2418[[#This Row],[category]],{0,"0",""},0),0)&gt;0,mets2418[[#This Row],[name]],TRUE,mets2418[[#This Row],[category]]&amp;"-"&amp;mets2418[[#This Row],[name]])</f>
        <v>BIOSYN-GAM-h2o_c</v>
      </c>
      <c r="L39" s="149" t="str" cm="1">
        <f t="array" ref="L39">IF(IsElementOfSet_DIY(mets2418[[#This Row],[category]],{"ignore","PROT"}),"",_xlfn.LET(_xlpm.mw,mets2418[[#This Row],[MW for biomass normalization (g/mol)]],"MET-"&amp;mets2418[[#This Row],[name]]&amp;" --&gt; "&amp;IF((mets2418[[#This Row],[category]]="DNA")+(mets2418[[#This Row],[category]]="RNA"),"MET-ppi_c + ","")&amp;ROUND(ABS(_xlpm.mw/1000),6)&amp;" BIO-"&amp;mets2418[[#This Row],[name]]))</f>
        <v>MET-h2o_c --&gt; 0.018015 BIO-h2o_c</v>
      </c>
      <c r="M39" s="149" cm="1">
        <f t="array" ref="M3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-135.40578375194139</v>
      </c>
      <c r="N39" s="149"/>
      <c r="O39" s="149"/>
      <c r="P39" s="149"/>
      <c r="Q39" s="149"/>
      <c r="R39" s="149"/>
      <c r="S39" s="149"/>
      <c r="T39" s="149"/>
      <c r="U39" s="149"/>
      <c r="V39" s="149"/>
      <c r="AB39" t="str">
        <v>BIOSYN-COFACTOR-ribflv_c</v>
      </c>
      <c r="AC39" t="str">
        <v>MET-ribflv_c --&gt; 0.375356 BIO-ribflv_c</v>
      </c>
    </row>
    <row r="40" spans="1:29" ht="16" x14ac:dyDescent="0.2">
      <c r="A40" s="142" t="s">
        <v>860</v>
      </c>
      <c r="B40" t="str">
        <f>SUBSTITUTE(_xlfn.TEXTBEFORE(mets2418[[#This Row],[pasted JSON metabolite keys and values from GSM biomass rxn]],":"),CHAR(34),"")</f>
        <v>h_c</v>
      </c>
      <c r="C40" t="str">
        <f>_xlfn.TEXTBEFORE(mets2418[[#This Row],[name]],"_",-1)</f>
        <v>h</v>
      </c>
      <c r="D40" t="str">
        <f>_xlfn.XLOOKUP(mets2418[[#This Row],[name w/o location]],metaboliteInfo[name w/o location],metaboliteInfo[suggested category],"")</f>
        <v>GAM</v>
      </c>
      <c r="E40" s="21">
        <f>_xlfn.XLOOKUP(mets2418[[#This Row],[name w/o location]],metaboliteInfo[name w/o location],metaboliteInfo[MW for biomass normalization (g/mol)],0)</f>
        <v>1.0079400000000001</v>
      </c>
      <c r="F40" s="21">
        <f>_xlfn.NUMBERVALUE(SUBSTITUTE(_xlfn.TEXTAFTER(mets2418[[#This Row],[pasted JSON metabolite keys and values from GSM biomass rxn]],":"),",",""))</f>
        <v>139.639453</v>
      </c>
      <c r="G40" s="21" cm="1">
        <f t="array" ref="G40">_xlfn.LET(_xlpm.id,mets2418[[#This Row],[name w/o location]],IF(IsElementOfSet_DIY(_xlpm.id,{"atp","adp","h","pi","h2o"}),SIGN(mets2418[[#This Row],[raw (GSM) coefficient]])*(ABS(mets2418[[#This Row],[raw (GSM) coefficient]])-$J$2),mets2418[[#This Row],[raw (GSM) coefficient]]))</f>
        <v>0</v>
      </c>
      <c r="H40" s="21">
        <f>mets2418[[#This Row],[coeff. w/o GAM]]</f>
        <v>0</v>
      </c>
      <c r="I40" s="161">
        <f t="shared" si="0"/>
        <v>0</v>
      </c>
      <c r="J40" s="21" cm="1">
        <f t="array" ref="J40">_xlfn.LET(_xlpm.id,mets2418[[#This Row],[name w/o location]],_xlpm.oldcoeff,mets2418[[#This Row],[normalized coeffs]],_xlpm.gam,$J$2-$G$2,_xlfn.IFS(IFERROR(MATCH(_xlpm.id,{"atp","h2o"},0),0)&gt;0,_xlpm.oldcoeff-_xlpm.gam,IFERROR(MATCH(_xlpm.id,{"adp","h","pi"},0),0)&gt;0,_xlpm.oldcoeff+_xlpm.gam,TRUE,_xlpm.oldcoeff))</f>
        <v>132.94945300000001</v>
      </c>
      <c r="K40" t="str" cm="1">
        <f t="array" ref="K40">"BIOSYN-"&amp;_xlfn.IFS(IFERROR(MATCH(mets2418[[#This Row],[category]],{0,"0",""},0),0)&gt;0,mets2418[[#This Row],[name]],TRUE,mets2418[[#This Row],[category]]&amp;"-"&amp;mets2418[[#This Row],[name]])</f>
        <v>BIOSYN-GAM-h_c</v>
      </c>
      <c r="L40" s="149" t="str" cm="1">
        <f t="array" ref="L40">IF(IsElementOfSet_DIY(mets2418[[#This Row],[category]],{"ignore","PROT"}),"",_xlfn.LET(_xlpm.mw,mets2418[[#This Row],[MW for biomass normalization (g/mol)]],"MET-"&amp;mets2418[[#This Row],[name]]&amp;" --&gt; "&amp;IF((mets2418[[#This Row],[category]]="DNA")+(mets2418[[#This Row],[category]]="RNA"),"MET-ppi_c + ","")&amp;ROUND(ABS(_xlpm.mw/1000),6)&amp;" BIO-"&amp;mets2418[[#This Row],[name]]))</f>
        <v>MET-h_c --&gt; 0.001008 BIO-h_c</v>
      </c>
      <c r="M40" s="149" cm="1">
        <f t="array" ref="M4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139.639453</v>
      </c>
      <c r="N40" s="149"/>
      <c r="O40" s="149"/>
      <c r="P40" s="149"/>
      <c r="Q40" s="149"/>
      <c r="R40" s="149"/>
      <c r="S40" s="149"/>
      <c r="T40" s="149"/>
      <c r="U40" s="149"/>
      <c r="V40" s="149"/>
      <c r="AB40" t="str">
        <v>BIOSYN-COFACTOR-spmd_c</v>
      </c>
      <c r="AC40" t="str">
        <v>MET-spmd_c --&gt; 0.14827 BIO-spmd_c</v>
      </c>
    </row>
    <row r="41" spans="1:29" ht="16" x14ac:dyDescent="0.2">
      <c r="A41" s="142" t="s">
        <v>861</v>
      </c>
      <c r="B41" t="str">
        <f>SUBSTITUTE(_xlfn.TEXTBEFORE(mets2418[[#This Row],[pasted JSON metabolite keys and values from GSM biomass rxn]],":"),CHAR(34),"")</f>
        <v>hemeA_m</v>
      </c>
      <c r="C41" t="str">
        <f>_xlfn.TEXTBEFORE(mets2418[[#This Row],[name]],"_",-1)</f>
        <v>hemeA</v>
      </c>
      <c r="D41" t="str">
        <f>_xlfn.XLOOKUP(mets2418[[#This Row],[name w/o location]],metaboliteInfo[name w/o location],metaboliteInfo[suggested category],"")</f>
        <v>COFACTOR</v>
      </c>
      <c r="E41" s="21">
        <f>_xlfn.XLOOKUP(mets2418[[#This Row],[name w/o location]],metaboliteInfo[name w/o location],metaboliteInfo[MW for biomass normalization (g/mol)],0)</f>
        <v>850.82126000000005</v>
      </c>
      <c r="F41" s="21">
        <f>_xlfn.NUMBERVALUE(SUBSTITUTE(_xlfn.TEXTAFTER(mets2418[[#This Row],[pasted JSON metabolite keys and values from GSM biomass rxn]],":"),",",""))</f>
        <v>-6.9099999999999999E-4</v>
      </c>
      <c r="G41" s="21" cm="1">
        <f t="array" ref="G41">_xlfn.LET(_xlpm.id,mets2418[[#This Row],[name w/o location]],IF(IsElementOfSet_DIY(_xlpm.id,{"atp","adp","h","pi","h2o"}),SIGN(mets2418[[#This Row],[raw (GSM) coefficient]])*(ABS(mets2418[[#This Row],[raw (GSM) coefficient]])-$J$2),mets2418[[#This Row],[raw (GSM) coefficient]]))</f>
        <v>-6.9099999999999999E-4</v>
      </c>
      <c r="H41" s="21">
        <f>mets2418[[#This Row],[coeff. w/o GAM]]</f>
        <v>-6.9099999999999999E-4</v>
      </c>
      <c r="I41" s="161">
        <f t="shared" si="0"/>
        <v>-7.4632761922083484E-4</v>
      </c>
      <c r="J41" s="21" cm="1">
        <f t="array" ref="J41">_xlfn.LET(_xlpm.id,mets2418[[#This Row],[name w/o location]],_xlpm.oldcoeff,mets2418[[#This Row],[normalized coeffs]],_xlpm.gam,$J$2-$G$2,_xlfn.IFS(IFERROR(MATCH(_xlpm.id,{"atp","h2o"},0),0)&gt;0,_xlpm.oldcoeff-_xlpm.gam,IFERROR(MATCH(_xlpm.id,{"adp","h","pi"},0),0)&gt;0,_xlpm.oldcoeff+_xlpm.gam,TRUE,_xlpm.oldcoeff))</f>
        <v>-7.4632761922083484E-4</v>
      </c>
      <c r="K41" t="str" cm="1">
        <f t="array" ref="K41">"BIOSYN-"&amp;_xlfn.IFS(IFERROR(MATCH(mets2418[[#This Row],[category]],{0,"0",""},0),0)&gt;0,mets2418[[#This Row],[name]],TRUE,mets2418[[#This Row],[category]]&amp;"-"&amp;mets2418[[#This Row],[name]])</f>
        <v>BIOSYN-COFACTOR-hemeA_m</v>
      </c>
      <c r="L41" s="149" t="str" cm="1">
        <f t="array" ref="L41">IF(IsElementOfSet_DIY(mets2418[[#This Row],[category]],{"ignore","PROT"}),"",_xlfn.LET(_xlpm.mw,mets2418[[#This Row],[MW for biomass normalization (g/mol)]],"MET-"&amp;mets2418[[#This Row],[name]]&amp;" --&gt; "&amp;IF((mets2418[[#This Row],[category]]="DNA")+(mets2418[[#This Row],[category]]="RNA"),"MET-ppi_c + ","")&amp;ROUND(ABS(_xlpm.mw/1000),6)&amp;" BIO-"&amp;mets2418[[#This Row],[name]]))</f>
        <v>MET-hemeA_m --&gt; 0.850821 BIO-hemeA_m</v>
      </c>
      <c r="M41" s="149" cm="1">
        <f t="array" ref="M4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-7.4632761922083484E-4</v>
      </c>
      <c r="N41" s="149"/>
      <c r="O41" s="149"/>
      <c r="P41" s="149"/>
      <c r="Q41" s="149"/>
      <c r="R41" s="149"/>
      <c r="S41" s="149"/>
      <c r="T41" s="149"/>
      <c r="U41" s="149"/>
      <c r="V41" s="149"/>
      <c r="AB41" t="str">
        <v>BIOSYN-COFACTOR-thf_c</v>
      </c>
      <c r="AC41" t="str">
        <v>MET-thf_c --&gt; 0.443413 BIO-thf_c</v>
      </c>
    </row>
    <row r="42" spans="1:29" ht="16" x14ac:dyDescent="0.2">
      <c r="A42" s="142" t="s">
        <v>862</v>
      </c>
      <c r="B42" t="str">
        <f>SUBSTITUTE(_xlfn.TEXTBEFORE(mets2418[[#This Row],[pasted JSON metabolite keys and values from GSM biomass rxn]],":"),CHAR(34),"")</f>
        <v>histrna_c</v>
      </c>
      <c r="C42" t="str">
        <f>_xlfn.TEXTBEFORE(mets2418[[#This Row],[name]],"_",-1)</f>
        <v>histrna</v>
      </c>
      <c r="D42" t="str">
        <f>_xlfn.XLOOKUP(mets2418[[#This Row],[name w/o location]],metaboliteInfo[name w/o location],metaboliteInfo[suggested category],"")</f>
        <v>PROT</v>
      </c>
      <c r="E42" s="21">
        <f>_xlfn.XLOOKUP(mets2418[[#This Row],[name w/o location]],metaboliteInfo[name w/o location],metaboliteInfo[MW for biomass normalization (g/mol)],0)</f>
        <v>138.14722</v>
      </c>
      <c r="F42" s="21">
        <f>_xlfn.NUMBERVALUE(SUBSTITUTE(_xlfn.TEXTAFTER(mets2418[[#This Row],[pasted JSON metabolite keys and values from GSM biomass rxn]],":"),",",""))</f>
        <v>-6.1166999999999999E-2</v>
      </c>
      <c r="G42" s="21" cm="1">
        <f t="array" ref="G42">_xlfn.LET(_xlpm.id,mets2418[[#This Row],[name w/o location]],IF(IsElementOfSet_DIY(_xlpm.id,{"atp","adp","h","pi","h2o"}),SIGN(mets2418[[#This Row],[raw (GSM) coefficient]])*(ABS(mets2418[[#This Row],[raw (GSM) coefficient]])-$J$2),mets2418[[#This Row],[raw (GSM) coefficient]]))</f>
        <v>-6.1166999999999999E-2</v>
      </c>
      <c r="H42" s="21">
        <f>mets2418[[#This Row],[coeff. w/o GAM]]</f>
        <v>-6.1166999999999999E-2</v>
      </c>
      <c r="I42" s="161">
        <f t="shared" si="0"/>
        <v>-6.6064575231375974E-2</v>
      </c>
      <c r="J42" s="21" cm="1">
        <f t="array" ref="J42">_xlfn.LET(_xlpm.id,mets2418[[#This Row],[name w/o location]],_xlpm.oldcoeff,mets2418[[#This Row],[normalized coeffs]],_xlpm.gam,$J$2-$G$2,_xlfn.IFS(IFERROR(MATCH(_xlpm.id,{"atp","h2o"},0),0)&gt;0,_xlpm.oldcoeff-_xlpm.gam,IFERROR(MATCH(_xlpm.id,{"adp","h","pi"},0),0)&gt;0,_xlpm.oldcoeff+_xlpm.gam,TRUE,_xlpm.oldcoeff))</f>
        <v>-6.6064575231375974E-2</v>
      </c>
      <c r="K42" t="str" cm="1">
        <f t="array" ref="K42">"BIOSYN-"&amp;_xlfn.IFS(IFERROR(MATCH(mets2418[[#This Row],[category]],{0,"0",""},0),0)&gt;0,mets2418[[#This Row],[name]],TRUE,mets2418[[#This Row],[category]]&amp;"-"&amp;mets2418[[#This Row],[name]])</f>
        <v>BIOSYN-PROT-histrna_c</v>
      </c>
      <c r="L42" s="149" t="str" cm="1">
        <f t="array" ref="L42">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42" s="149" cm="1">
        <f t="array" ref="M4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-6.6064575231375974E-2</v>
      </c>
      <c r="N42" s="149"/>
      <c r="O42" s="149"/>
      <c r="P42" s="149"/>
      <c r="Q42" s="149"/>
      <c r="R42" s="149"/>
      <c r="S42" s="149"/>
      <c r="T42" s="149"/>
      <c r="U42" s="149"/>
      <c r="V42" s="149"/>
      <c r="AB42" t="str">
        <v>BIOSYN-COFACTOR-thmpp_c</v>
      </c>
      <c r="AC42" t="str">
        <v>MET-thmpp_c --&gt; 0.422291 BIO-thmpp_c</v>
      </c>
    </row>
    <row r="43" spans="1:29" ht="16" x14ac:dyDescent="0.2">
      <c r="A43" s="142" t="s">
        <v>863</v>
      </c>
      <c r="B43" t="str">
        <f>SUBSTITUTE(_xlfn.TEXTBEFORE(mets2418[[#This Row],[pasted JSON metabolite keys and values from GSM biomass rxn]],":"),CHAR(34),"")</f>
        <v>iletrna_c</v>
      </c>
      <c r="C43" t="str">
        <f>_xlfn.TEXTBEFORE(mets2418[[#This Row],[name]],"_",-1)</f>
        <v>iletrna</v>
      </c>
      <c r="D43" t="str">
        <f>_xlfn.XLOOKUP(mets2418[[#This Row],[name w/o location]],metaboliteInfo[name w/o location],metaboliteInfo[suggested category],"")</f>
        <v>PROT</v>
      </c>
      <c r="E43" s="21">
        <f>_xlfn.XLOOKUP(mets2418[[#This Row],[name w/o location]],metaboliteInfo[name w/o location],metaboliteInfo[MW for biomass normalization (g/mol)],0)</f>
        <v>114.16558000000001</v>
      </c>
      <c r="F43" s="21">
        <f>_xlfn.NUMBERVALUE(SUBSTITUTE(_xlfn.TEXTAFTER(mets2418[[#This Row],[pasted JSON metabolite keys and values from GSM biomass rxn]],":"),",",""))</f>
        <v>-0.15856899999999999</v>
      </c>
      <c r="G43" s="21" cm="1">
        <f t="array" ref="G43">_xlfn.LET(_xlpm.id,mets2418[[#This Row],[name w/o location]],IF(IsElementOfSet_DIY(_xlpm.id,{"atp","adp","h","pi","h2o"}),SIGN(mets2418[[#This Row],[raw (GSM) coefficient]])*(ABS(mets2418[[#This Row],[raw (GSM) coefficient]])-$J$2),mets2418[[#This Row],[raw (GSM) coefficient]]))</f>
        <v>-0.15856899999999999</v>
      </c>
      <c r="H43" s="21">
        <f>mets2418[[#This Row],[coeff. w/o GAM]]</f>
        <v>-0.15856899999999999</v>
      </c>
      <c r="I43" s="161">
        <f t="shared" si="0"/>
        <v>-0.1712654475430225</v>
      </c>
      <c r="J43" s="21" cm="1">
        <f t="array" ref="J43">_xlfn.LET(_xlpm.id,mets2418[[#This Row],[name w/o location]],_xlpm.oldcoeff,mets2418[[#This Row],[normalized coeffs]],_xlpm.gam,$J$2-$G$2,_xlfn.IFS(IFERROR(MATCH(_xlpm.id,{"atp","h2o"},0),0)&gt;0,_xlpm.oldcoeff-_xlpm.gam,IFERROR(MATCH(_xlpm.id,{"adp","h","pi"},0),0)&gt;0,_xlpm.oldcoeff+_xlpm.gam,TRUE,_xlpm.oldcoeff))</f>
        <v>-0.1712654475430225</v>
      </c>
      <c r="K43" t="str" cm="1">
        <f t="array" ref="K43">"BIOSYN-"&amp;_xlfn.IFS(IFERROR(MATCH(mets2418[[#This Row],[category]],{0,"0",""},0),0)&gt;0,mets2418[[#This Row],[name]],TRUE,mets2418[[#This Row],[category]]&amp;"-"&amp;mets2418[[#This Row],[name]])</f>
        <v>BIOSYN-PROT-iletrna_c</v>
      </c>
      <c r="L43" s="149" t="str" cm="1">
        <f t="array" ref="L43">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43" s="149" cm="1">
        <f t="array" ref="M43">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-0.1712654475430225</v>
      </c>
      <c r="N43" s="149"/>
      <c r="O43" s="149"/>
      <c r="P43" s="149"/>
      <c r="Q43" s="149"/>
      <c r="R43" s="149"/>
      <c r="S43" s="149"/>
      <c r="T43" s="149"/>
      <c r="U43" s="149"/>
      <c r="V43" s="149"/>
      <c r="AB43" t="str">
        <v>BIOSYN-DNA-datp_c</v>
      </c>
      <c r="AC43" t="str">
        <v>MET-datp_c --&gt; MET-ppi_c + 0.312199 BIO-datp_c</v>
      </c>
    </row>
    <row r="44" spans="1:29" ht="16" x14ac:dyDescent="0.2">
      <c r="A44" s="142" t="s">
        <v>864</v>
      </c>
      <c r="B44" t="str">
        <f>SUBSTITUTE(_xlfn.TEXTBEFORE(mets2418[[#This Row],[pasted JSON metabolite keys and values from GSM biomass rxn]],":"),CHAR(34),"")</f>
        <v>k_c</v>
      </c>
      <c r="C44" t="str">
        <f>_xlfn.TEXTBEFORE(mets2418[[#This Row],[name]],"_",-1)</f>
        <v>k</v>
      </c>
      <c r="D44" t="str">
        <f>_xlfn.XLOOKUP(mets2418[[#This Row],[name w/o location]],metaboliteInfo[name w/o location],metaboliteInfo[suggested category],"")</f>
        <v>METAL</v>
      </c>
      <c r="E44" s="21">
        <f>_xlfn.XLOOKUP(mets2418[[#This Row],[name w/o location]],metaboliteInfo[name w/o location],metaboliteInfo[MW for biomass normalization (g/mol)],0)</f>
        <v>39.098300000000002</v>
      </c>
      <c r="F44" s="21">
        <f>_xlfn.NUMBERVALUE(SUBSTITUTE(_xlfn.TEXTAFTER(mets2418[[#This Row],[pasted JSON metabolite keys and values from GSM biomass rxn]],":"),",",""))</f>
        <v>-0.58570299999999997</v>
      </c>
      <c r="G44" s="21" cm="1">
        <f t="array" ref="G44">_xlfn.LET(_xlpm.id,mets2418[[#This Row],[name w/o location]],IF(IsElementOfSet_DIY(_xlpm.id,{"atp","adp","h","pi","h2o"}),SIGN(mets2418[[#This Row],[raw (GSM) coefficient]])*(ABS(mets2418[[#This Row],[raw (GSM) coefficient]])-$J$2),mets2418[[#This Row],[raw (GSM) coefficient]]))</f>
        <v>-0.58570299999999997</v>
      </c>
      <c r="H44" s="21">
        <f>mets2418[[#This Row],[coeff. w/o GAM]]</f>
        <v>-0.58570299999999997</v>
      </c>
      <c r="I44" s="161">
        <f t="shared" si="0"/>
        <v>-0.6325996028371933</v>
      </c>
      <c r="J44" s="21" cm="1">
        <f t="array" ref="J44">_xlfn.LET(_xlpm.id,mets2418[[#This Row],[name w/o location]],_xlpm.oldcoeff,mets2418[[#This Row],[normalized coeffs]],_xlpm.gam,$J$2-$G$2,_xlfn.IFS(IFERROR(MATCH(_xlpm.id,{"atp","h2o"},0),0)&gt;0,_xlpm.oldcoeff-_xlpm.gam,IFERROR(MATCH(_xlpm.id,{"adp","h","pi"},0),0)&gt;0,_xlpm.oldcoeff+_xlpm.gam,TRUE,_xlpm.oldcoeff))</f>
        <v>-0.6325996028371933</v>
      </c>
      <c r="K44" t="str" cm="1">
        <f t="array" ref="K44">"BIOSYN-"&amp;_xlfn.IFS(IFERROR(MATCH(mets2418[[#This Row],[category]],{0,"0",""},0),0)&gt;0,mets2418[[#This Row],[name]],TRUE,mets2418[[#This Row],[category]]&amp;"-"&amp;mets2418[[#This Row],[name]])</f>
        <v>BIOSYN-METAL-k_c</v>
      </c>
      <c r="L44" s="149" t="str" cm="1">
        <f t="array" ref="L44">IF(IsElementOfSet_DIY(mets2418[[#This Row],[category]],{"ignore","PROT"}),"",_xlfn.LET(_xlpm.mw,mets2418[[#This Row],[MW for biomass normalization (g/mol)]],"MET-"&amp;mets2418[[#This Row],[name]]&amp;" --&gt; "&amp;IF((mets2418[[#This Row],[category]]="DNA")+(mets2418[[#This Row],[category]]="RNA"),"MET-ppi_c + ","")&amp;ROUND(ABS(_xlpm.mw/1000),6)&amp;" BIO-"&amp;mets2418[[#This Row],[name]]))</f>
        <v>MET-k_c --&gt; 0.039098 BIO-k_c</v>
      </c>
      <c r="M44" s="149" cm="1">
        <f t="array" ref="M44">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-0.6325996028371933</v>
      </c>
      <c r="N44" s="149"/>
      <c r="O44" s="149"/>
      <c r="P44" s="149"/>
      <c r="Q44" s="149"/>
      <c r="R44" s="149"/>
      <c r="S44" s="149"/>
      <c r="T44" s="149"/>
      <c r="U44" s="149"/>
      <c r="V44" s="149"/>
      <c r="AB44" t="str">
        <v>BIOSYN-DNA-dctp_c</v>
      </c>
      <c r="AC44" t="str">
        <v>MET-dctp_c --&gt; MET-ppi_c + 0.288174 BIO-dctp_c</v>
      </c>
    </row>
    <row r="45" spans="1:29" ht="16" x14ac:dyDescent="0.2">
      <c r="A45" s="142" t="s">
        <v>865</v>
      </c>
      <c r="B45" t="str">
        <f>SUBSTITUTE(_xlfn.TEXTBEFORE(mets2418[[#This Row],[pasted JSON metabolite keys and values from GSM biomass rxn]],":"),CHAR(34),"")</f>
        <v>leutrna_c</v>
      </c>
      <c r="C45" t="str">
        <f>_xlfn.TEXTBEFORE(mets2418[[#This Row],[name]],"_",-1)</f>
        <v>leutrna</v>
      </c>
      <c r="D45" t="str">
        <f>_xlfn.XLOOKUP(mets2418[[#This Row],[name w/o location]],metaboliteInfo[name w/o location],metaboliteInfo[suggested category],"")</f>
        <v>PROT</v>
      </c>
      <c r="E45" s="21">
        <f>_xlfn.XLOOKUP(mets2418[[#This Row],[name w/o location]],metaboliteInfo[name w/o location],metaboliteInfo[MW for biomass normalization (g/mol)],0)</f>
        <v>114.16558000000001</v>
      </c>
      <c r="F45" s="21">
        <f>_xlfn.NUMBERVALUE(SUBSTITUTE(_xlfn.TEXTAFTER(mets2418[[#This Row],[pasted JSON metabolite keys and values from GSM biomass rxn]],":"),",",""))</f>
        <v>-0.32020500000000002</v>
      </c>
      <c r="G45" s="21" cm="1">
        <f t="array" ref="G45">_xlfn.LET(_xlpm.id,mets2418[[#This Row],[name w/o location]],IF(IsElementOfSet_DIY(_xlpm.id,{"atp","adp","h","pi","h2o"}),SIGN(mets2418[[#This Row],[raw (GSM) coefficient]])*(ABS(mets2418[[#This Row],[raw (GSM) coefficient]])-$J$2),mets2418[[#This Row],[raw (GSM) coefficient]]))</f>
        <v>-0.32020500000000002</v>
      </c>
      <c r="H45" s="21">
        <f>mets2418[[#This Row],[coeff. w/o GAM]]</f>
        <v>-0.32020500000000002</v>
      </c>
      <c r="I45" s="161">
        <f t="shared" si="0"/>
        <v>-0.3458434664437155</v>
      </c>
      <c r="J45" s="21" cm="1">
        <f t="array" ref="J45">_xlfn.LET(_xlpm.id,mets2418[[#This Row],[name w/o location]],_xlpm.oldcoeff,mets2418[[#This Row],[normalized coeffs]],_xlpm.gam,$J$2-$G$2,_xlfn.IFS(IFERROR(MATCH(_xlpm.id,{"atp","h2o"},0),0)&gt;0,_xlpm.oldcoeff-_xlpm.gam,IFERROR(MATCH(_xlpm.id,{"adp","h","pi"},0),0)&gt;0,_xlpm.oldcoeff+_xlpm.gam,TRUE,_xlpm.oldcoeff))</f>
        <v>-0.3458434664437155</v>
      </c>
      <c r="K45" t="str" cm="1">
        <f t="array" ref="K45">"BIOSYN-"&amp;_xlfn.IFS(IFERROR(MATCH(mets2418[[#This Row],[category]],{0,"0",""},0),0)&gt;0,mets2418[[#This Row],[name]],TRUE,mets2418[[#This Row],[category]]&amp;"-"&amp;mets2418[[#This Row],[name]])</f>
        <v>BIOSYN-PROT-leutrna_c</v>
      </c>
      <c r="L45" s="149" t="str" cm="1">
        <f t="array" ref="L45">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45" s="149" cm="1">
        <f t="array" ref="M45">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-0.3458434664437155</v>
      </c>
      <c r="N45" s="149"/>
      <c r="O45" s="149"/>
      <c r="P45" s="149"/>
      <c r="Q45" s="149"/>
      <c r="R45" s="149"/>
      <c r="S45" s="149"/>
      <c r="T45" s="149"/>
      <c r="U45" s="149"/>
      <c r="V45" s="149"/>
      <c r="AB45" t="str">
        <v>BIOSYN-DNA-dgtp_c</v>
      </c>
      <c r="AC45" t="str">
        <v>MET-dgtp_c --&gt; MET-ppi_c + 0.328198 BIO-dgtp_c</v>
      </c>
    </row>
    <row r="46" spans="1:29" ht="16" x14ac:dyDescent="0.2">
      <c r="A46" s="142" t="s">
        <v>769</v>
      </c>
      <c r="B46" t="str">
        <f>SUBSTITUTE(_xlfn.TEXTBEFORE(mets2418[[#This Row],[pasted JSON metabolite keys and values from GSM biomass rxn]],":"),CHAR(34),"")</f>
        <v>lystrna_c</v>
      </c>
      <c r="C46" t="str">
        <f>_xlfn.TEXTBEFORE(mets2418[[#This Row],[name]],"_",-1)</f>
        <v>lystrna</v>
      </c>
      <c r="D46" t="str">
        <f>_xlfn.XLOOKUP(mets2418[[#This Row],[name w/o location]],metaboliteInfo[name w/o location],metaboliteInfo[suggested category],"")</f>
        <v>PROT</v>
      </c>
      <c r="E46" s="21">
        <f>_xlfn.XLOOKUP(mets2418[[#This Row],[name w/o location]],metaboliteInfo[name w/o location],metaboliteInfo[MW for biomass normalization (g/mol)],0)</f>
        <v>130.18816000000001</v>
      </c>
      <c r="F46" s="21">
        <f>_xlfn.NUMBERVALUE(SUBSTITUTE(_xlfn.TEXTAFTER(mets2418[[#This Row],[pasted JSON metabolite keys and values from GSM biomass rxn]],":"),",",""))</f>
        <v>-0.17233399999999999</v>
      </c>
      <c r="G46" s="21" cm="1">
        <f t="array" ref="G46">_xlfn.LET(_xlpm.id,mets2418[[#This Row],[name w/o location]],IF(IsElementOfSet_DIY(_xlpm.id,{"atp","adp","h","pi","h2o"}),SIGN(mets2418[[#This Row],[raw (GSM) coefficient]])*(ABS(mets2418[[#This Row],[raw (GSM) coefficient]])-$J$2),mets2418[[#This Row],[raw (GSM) coefficient]]))</f>
        <v>-0.17233399999999999</v>
      </c>
      <c r="H46" s="21">
        <f>mets2418[[#This Row],[coeff. w/o GAM]]</f>
        <v>-0.17233399999999999</v>
      </c>
      <c r="I46" s="161">
        <f t="shared" si="0"/>
        <v>-0.18613259613719729</v>
      </c>
      <c r="J46" s="21" cm="1">
        <f t="array" ref="J46">_xlfn.LET(_xlpm.id,mets2418[[#This Row],[name w/o location]],_xlpm.oldcoeff,mets2418[[#This Row],[normalized coeffs]],_xlpm.gam,$J$2-$G$2,_xlfn.IFS(IFERROR(MATCH(_xlpm.id,{"atp","h2o"},0),0)&gt;0,_xlpm.oldcoeff-_xlpm.gam,IFERROR(MATCH(_xlpm.id,{"adp","h","pi"},0),0)&gt;0,_xlpm.oldcoeff+_xlpm.gam,TRUE,_xlpm.oldcoeff))</f>
        <v>-0.18613259613719729</v>
      </c>
      <c r="K46" t="str" cm="1">
        <f t="array" ref="K46">"BIOSYN-"&amp;_xlfn.IFS(IFERROR(MATCH(mets2418[[#This Row],[category]],{0,"0",""},0),0)&gt;0,mets2418[[#This Row],[name]],TRUE,mets2418[[#This Row],[category]]&amp;"-"&amp;mets2418[[#This Row],[name]])</f>
        <v>BIOSYN-PROT-lystrna_c</v>
      </c>
      <c r="L46" s="149" t="str" cm="1">
        <f t="array" ref="L46">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46" s="149" cm="1">
        <f t="array" ref="M4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-0.18613259613719729</v>
      </c>
      <c r="N46" s="149"/>
      <c r="O46" s="149"/>
      <c r="P46" s="149"/>
      <c r="Q46" s="149"/>
      <c r="R46" s="149"/>
      <c r="S46" s="149"/>
      <c r="T46" s="149"/>
      <c r="U46" s="149"/>
      <c r="V46" s="149"/>
      <c r="AB46" t="str">
        <v>BIOSYN-DNA-dttp_c</v>
      </c>
      <c r="AC46" t="str">
        <v>MET-dttp_c --&gt; MET-ppi_c + 0.303185 BIO-dttp_c</v>
      </c>
    </row>
    <row r="47" spans="1:29" ht="16" x14ac:dyDescent="0.2">
      <c r="A47" s="142" t="s">
        <v>770</v>
      </c>
      <c r="B47" t="str">
        <f>SUBSTITUTE(_xlfn.TEXTBEFORE(mets2418[[#This Row],[pasted JSON metabolite keys and values from GSM biomass rxn]],":"),CHAR(34),"")</f>
        <v>mannan_r</v>
      </c>
      <c r="C47" t="str">
        <f>_xlfn.TEXTBEFORE(mets2418[[#This Row],[name]],"_",-1)</f>
        <v>mannan</v>
      </c>
      <c r="D47" t="str">
        <f>_xlfn.XLOOKUP(mets2418[[#This Row],[name w/o location]],metaboliteInfo[name w/o location],metaboliteInfo[suggested category],"")</f>
        <v>CARB</v>
      </c>
      <c r="E47" s="21">
        <f>_xlfn.XLOOKUP(mets2418[[#This Row],[name w/o location]],metaboliteInfo[name w/o location],metaboliteInfo[MW for biomass normalization (g/mol)],0)</f>
        <v>162.14060000000001</v>
      </c>
      <c r="F47" s="21">
        <f>_xlfn.NUMBERVALUE(SUBSTITUTE(_xlfn.TEXTAFTER(mets2418[[#This Row],[pasted JSON metabolite keys and values from GSM biomass rxn]],":"),",",""))</f>
        <v>-0.80794100000000002</v>
      </c>
      <c r="G47" s="21" cm="1">
        <f t="array" ref="G47">_xlfn.LET(_xlpm.id,mets2418[[#This Row],[name w/o location]],IF(IsElementOfSet_DIY(_xlpm.id,{"atp","adp","h","pi","h2o"}),SIGN(mets2418[[#This Row],[raw (GSM) coefficient]])*(ABS(mets2418[[#This Row],[raw (GSM) coefficient]])-$J$2),mets2418[[#This Row],[raw (GSM) coefficient]]))</f>
        <v>-0.80794100000000002</v>
      </c>
      <c r="H47" s="21">
        <f>mets2418[[#This Row],[coeff. w/o GAM]]</f>
        <v>-0.80794100000000002</v>
      </c>
      <c r="I47" s="161">
        <f t="shared" si="0"/>
        <v>-0.87263195803314109</v>
      </c>
      <c r="J47" s="21" cm="1">
        <f t="array" ref="J47">_xlfn.LET(_xlpm.id,mets2418[[#This Row],[name w/o location]],_xlpm.oldcoeff,mets2418[[#This Row],[normalized coeffs]],_xlpm.gam,$J$2-$G$2,_xlfn.IFS(IFERROR(MATCH(_xlpm.id,{"atp","h2o"},0),0)&gt;0,_xlpm.oldcoeff-_xlpm.gam,IFERROR(MATCH(_xlpm.id,{"adp","h","pi"},0),0)&gt;0,_xlpm.oldcoeff+_xlpm.gam,TRUE,_xlpm.oldcoeff))</f>
        <v>-0.87263195803314109</v>
      </c>
      <c r="K47" t="str" cm="1">
        <f t="array" ref="K47">"BIOSYN-"&amp;_xlfn.IFS(IFERROR(MATCH(mets2418[[#This Row],[category]],{0,"0",""},0),0)&gt;0,mets2418[[#This Row],[name]],TRUE,mets2418[[#This Row],[category]]&amp;"-"&amp;mets2418[[#This Row],[name]])</f>
        <v>BIOSYN-CARB-mannan_r</v>
      </c>
      <c r="L47" s="149" t="str" cm="1">
        <f t="array" ref="L47">IF(IsElementOfSet_DIY(mets2418[[#This Row],[category]],{"ignore","PROT"}),"",_xlfn.LET(_xlpm.mw,mets2418[[#This Row],[MW for biomass normalization (g/mol)]],"MET-"&amp;mets2418[[#This Row],[name]]&amp;" --&gt; "&amp;IF((mets2418[[#This Row],[category]]="DNA")+(mets2418[[#This Row],[category]]="RNA"),"MET-ppi_c + ","")&amp;ROUND(ABS(_xlpm.mw/1000),6)&amp;" BIO-"&amp;mets2418[[#This Row],[name]]))</f>
        <v>MET-mannan_r --&gt; 0.162141 BIO-mannan_r</v>
      </c>
      <c r="M47" s="149" cm="1">
        <f t="array" ref="M4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-0.87263195803314109</v>
      </c>
      <c r="N47" s="149"/>
      <c r="O47" s="149"/>
      <c r="P47" s="149"/>
      <c r="Q47" s="149"/>
      <c r="R47" s="149"/>
      <c r="S47" s="149"/>
      <c r="T47" s="149"/>
      <c r="U47" s="149"/>
      <c r="V47" s="149"/>
      <c r="AB47" t="str">
        <v>BIOSYN-LIPID-clpn_mm</v>
      </c>
      <c r="AC47" t="str">
        <v>MET-clpn_mm --&gt; 144.97099 BIO-clpn_mm</v>
      </c>
    </row>
    <row r="48" spans="1:29" ht="16" x14ac:dyDescent="0.2">
      <c r="A48" s="142" t="s">
        <v>771</v>
      </c>
      <c r="B48" t="str">
        <f>SUBSTITUTE(_xlfn.TEXTBEFORE(mets2418[[#This Row],[pasted JSON metabolite keys and values from GSM biomass rxn]],":"),CHAR(34),"")</f>
        <v>mettrna_c</v>
      </c>
      <c r="C48" t="str">
        <f>_xlfn.TEXTBEFORE(mets2418[[#This Row],[name]],"_",-1)</f>
        <v>mettrna</v>
      </c>
      <c r="D48" t="str">
        <f>_xlfn.XLOOKUP(mets2418[[#This Row],[name w/o location]],metaboliteInfo[name w/o location],metaboliteInfo[suggested category],"")</f>
        <v>PROT</v>
      </c>
      <c r="E48" s="21">
        <f>_xlfn.XLOOKUP(mets2418[[#This Row],[name w/o location]],metaboliteInfo[name w/o location],metaboliteInfo[MW for biomass normalization (g/mol)],0)</f>
        <v>132.20400000000001</v>
      </c>
      <c r="F48" s="21">
        <f>_xlfn.NUMBERVALUE(SUBSTITUTE(_xlfn.TEXTAFTER(mets2418[[#This Row],[pasted JSON metabolite keys and values from GSM biomass rxn]],":"),",",""))</f>
        <v>-5.7049999999999997E-2</v>
      </c>
      <c r="G48" s="21" cm="1">
        <f t="array" ref="G48">_xlfn.LET(_xlpm.id,mets2418[[#This Row],[name w/o location]],IF(IsElementOfSet_DIY(_xlpm.id,{"atp","adp","h","pi","h2o"}),SIGN(mets2418[[#This Row],[raw (GSM) coefficient]])*(ABS(mets2418[[#This Row],[raw (GSM) coefficient]])-$J$2),mets2418[[#This Row],[raw (GSM) coefficient]]))</f>
        <v>-5.7049999999999997E-2</v>
      </c>
      <c r="H48" s="21">
        <f>mets2418[[#This Row],[coeff. w/o GAM]]</f>
        <v>-5.7049999999999997E-2</v>
      </c>
      <c r="I48" s="161">
        <f t="shared" si="0"/>
        <v>-6.1617931514542146E-2</v>
      </c>
      <c r="J48" s="21" cm="1">
        <f t="array" ref="J48">_xlfn.LET(_xlpm.id,mets2418[[#This Row],[name w/o location]],_xlpm.oldcoeff,mets2418[[#This Row],[normalized coeffs]],_xlpm.gam,$J$2-$G$2,_xlfn.IFS(IFERROR(MATCH(_xlpm.id,{"atp","h2o"},0),0)&gt;0,_xlpm.oldcoeff-_xlpm.gam,IFERROR(MATCH(_xlpm.id,{"adp","h","pi"},0),0)&gt;0,_xlpm.oldcoeff+_xlpm.gam,TRUE,_xlpm.oldcoeff))</f>
        <v>-6.1617931514542146E-2</v>
      </c>
      <c r="K48" t="str" cm="1">
        <f t="array" ref="K48">"BIOSYN-"&amp;_xlfn.IFS(IFERROR(MATCH(mets2418[[#This Row],[category]],{0,"0",""},0),0)&gt;0,mets2418[[#This Row],[name]],TRUE,mets2418[[#This Row],[category]]&amp;"-"&amp;mets2418[[#This Row],[name]])</f>
        <v>BIOSYN-PROT-mettrna_c</v>
      </c>
      <c r="L48" s="149" t="str" cm="1">
        <f t="array" ref="L48">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48" s="149" cm="1">
        <f t="array" ref="M4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-6.1617931514542146E-2</v>
      </c>
      <c r="N48" s="149"/>
      <c r="O48" s="149"/>
      <c r="P48" s="149"/>
      <c r="Q48" s="149"/>
      <c r="R48" s="149"/>
      <c r="S48" s="149"/>
      <c r="T48" s="149"/>
      <c r="U48" s="149"/>
      <c r="V48" s="149"/>
      <c r="AB48" t="str">
        <v>BIOSYN-LIPID-ergst_r</v>
      </c>
      <c r="AC48" t="str">
        <v>MET-ergst_r --&gt; 0.396648 BIO-ergst_r</v>
      </c>
    </row>
    <row r="49" spans="1:29" ht="16" x14ac:dyDescent="0.2">
      <c r="A49" s="142" t="s">
        <v>772</v>
      </c>
      <c r="B49" t="str">
        <f>SUBSTITUTE(_xlfn.TEXTBEFORE(mets2418[[#This Row],[pasted JSON metabolite keys and values from GSM biomass rxn]],":"),CHAR(34),"")</f>
        <v>mg2_c</v>
      </c>
      <c r="C49" t="str">
        <f>_xlfn.TEXTBEFORE(mets2418[[#This Row],[name]],"_",-1)</f>
        <v>mg2</v>
      </c>
      <c r="D49" t="str">
        <f>_xlfn.XLOOKUP(mets2418[[#This Row],[name w/o location]],metaboliteInfo[name w/o location],metaboliteInfo[suggested category],"")</f>
        <v>METAL</v>
      </c>
      <c r="E49" s="21">
        <f>_xlfn.XLOOKUP(mets2418[[#This Row],[name w/o location]],metaboliteInfo[name w/o location],metaboliteInfo[MW for biomass normalization (g/mol)],0)</f>
        <v>24.305</v>
      </c>
      <c r="F49" s="21">
        <f>_xlfn.NUMBERVALUE(SUBSTITUTE(_xlfn.TEXTAFTER(mets2418[[#This Row],[pasted JSON metabolite keys and values from GSM biomass rxn]],":"),",",""))</f>
        <v>-6.1716E-2</v>
      </c>
      <c r="G49" s="21" cm="1">
        <f t="array" ref="G49">_xlfn.LET(_xlpm.id,mets2418[[#This Row],[name w/o location]],IF(IsElementOfSet_DIY(_xlpm.id,{"atp","adp","h","pi","h2o"}),SIGN(mets2418[[#This Row],[raw (GSM) coefficient]])*(ABS(mets2418[[#This Row],[raw (GSM) coefficient]])-$J$2),mets2418[[#This Row],[raw (GSM) coefficient]]))</f>
        <v>-6.1716E-2</v>
      </c>
      <c r="H49" s="21">
        <f>mets2418[[#This Row],[coeff. w/o GAM]]</f>
        <v>-6.1716E-2</v>
      </c>
      <c r="I49" s="161">
        <f t="shared" si="0"/>
        <v>-6.6657533064881397E-2</v>
      </c>
      <c r="J49" s="21" cm="1">
        <f t="array" ref="J49">_xlfn.LET(_xlpm.id,mets2418[[#This Row],[name w/o location]],_xlpm.oldcoeff,mets2418[[#This Row],[normalized coeffs]],_xlpm.gam,$J$2-$G$2,_xlfn.IFS(IFERROR(MATCH(_xlpm.id,{"atp","h2o"},0),0)&gt;0,_xlpm.oldcoeff-_xlpm.gam,IFERROR(MATCH(_xlpm.id,{"adp","h","pi"},0),0)&gt;0,_xlpm.oldcoeff+_xlpm.gam,TRUE,_xlpm.oldcoeff))</f>
        <v>-6.6657533064881397E-2</v>
      </c>
      <c r="K49" t="str" cm="1">
        <f t="array" ref="K49">"BIOSYN-"&amp;_xlfn.IFS(IFERROR(MATCH(mets2418[[#This Row],[category]],{0,"0",""},0),0)&gt;0,mets2418[[#This Row],[name]],TRUE,mets2418[[#This Row],[category]]&amp;"-"&amp;mets2418[[#This Row],[name]])</f>
        <v>BIOSYN-METAL-mg2_c</v>
      </c>
      <c r="L49" s="149" t="str" cm="1">
        <f t="array" ref="L49">IF(IsElementOfSet_DIY(mets2418[[#This Row],[category]],{"ignore","PROT"}),"",_xlfn.LET(_xlpm.mw,mets2418[[#This Row],[MW for biomass normalization (g/mol)]],"MET-"&amp;mets2418[[#This Row],[name]]&amp;" --&gt; "&amp;IF((mets2418[[#This Row],[category]]="DNA")+(mets2418[[#This Row],[category]]="RNA"),"MET-ppi_c + ","")&amp;ROUND(ABS(_xlpm.mw/1000),6)&amp;" BIO-"&amp;mets2418[[#This Row],[name]]))</f>
        <v>MET-mg2_c --&gt; 0.024305 BIO-mg2_c</v>
      </c>
      <c r="M49" s="149" cm="1">
        <f t="array" ref="M4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-6.6657533064881397E-2</v>
      </c>
      <c r="N49" s="149"/>
      <c r="O49" s="149"/>
      <c r="P49" s="149"/>
      <c r="Q49" s="149"/>
      <c r="R49" s="149"/>
      <c r="S49" s="149"/>
      <c r="T49" s="149"/>
      <c r="U49" s="149"/>
      <c r="V49" s="149"/>
      <c r="AB49" t="str">
        <v>BIOSYN-LIPID-ergstest_rm</v>
      </c>
      <c r="AC49" t="str">
        <v>MET-ergstest_rm --&gt; 65.560645 BIO-ergstest_rm</v>
      </c>
    </row>
    <row r="50" spans="1:29" ht="16" x14ac:dyDescent="0.2">
      <c r="A50" s="142" t="s">
        <v>773</v>
      </c>
      <c r="B50" t="str">
        <f>SUBSTITUTE(_xlfn.TEXTBEFORE(mets2418[[#This Row],[pasted JSON metabolite keys and values from GSM biomass rxn]],":"),CHAR(34),"")</f>
        <v>mlthf_c</v>
      </c>
      <c r="C50" t="str">
        <f>_xlfn.TEXTBEFORE(mets2418[[#This Row],[name]],"_",-1)</f>
        <v>mlthf</v>
      </c>
      <c r="D50" t="str">
        <f>_xlfn.XLOOKUP(mets2418[[#This Row],[name w/o location]],metaboliteInfo[name w/o location],metaboliteInfo[suggested category],"")</f>
        <v>other</v>
      </c>
      <c r="E50" s="21">
        <f>_xlfn.XLOOKUP(mets2418[[#This Row],[name w/o location]],metaboliteInfo[name w/o location],metaboliteInfo[MW for biomass normalization (g/mol)],0)</f>
        <v>455.42403999999999</v>
      </c>
      <c r="F50" s="21">
        <f>_xlfn.NUMBERVALUE(SUBSTITUTE(_xlfn.TEXTAFTER(mets2418[[#This Row],[pasted JSON metabolite keys and values from GSM biomass rxn]],":"),",",""))</f>
        <v>-1.292E-3</v>
      </c>
      <c r="G50" s="21" cm="1">
        <f t="array" ref="G50">_xlfn.LET(_xlpm.id,mets2418[[#This Row],[name w/o location]],IF(IsElementOfSet_DIY(_xlpm.id,{"atp","adp","h","pi","h2o"}),SIGN(mets2418[[#This Row],[raw (GSM) coefficient]])*(ABS(mets2418[[#This Row],[raw (GSM) coefficient]])-$J$2),mets2418[[#This Row],[raw (GSM) coefficient]]))</f>
        <v>-1.292E-3</v>
      </c>
      <c r="H50" s="21">
        <f>mets2418[[#This Row],[coeff. w/o GAM]]</f>
        <v>-1.292E-3</v>
      </c>
      <c r="I50" s="161">
        <f t="shared" si="0"/>
        <v>-1.395449036227668E-3</v>
      </c>
      <c r="J50" s="21" cm="1">
        <f t="array" ref="J50">_xlfn.LET(_xlpm.id,mets2418[[#This Row],[name w/o location]],_xlpm.oldcoeff,mets2418[[#This Row],[normalized coeffs]],_xlpm.gam,$J$2-$G$2,_xlfn.IFS(IFERROR(MATCH(_xlpm.id,{"atp","h2o"},0),0)&gt;0,_xlpm.oldcoeff-_xlpm.gam,IFERROR(MATCH(_xlpm.id,{"adp","h","pi"},0),0)&gt;0,_xlpm.oldcoeff+_xlpm.gam,TRUE,_xlpm.oldcoeff))</f>
        <v>-1.395449036227668E-3</v>
      </c>
      <c r="K50" t="str" cm="1">
        <f t="array" ref="K50">"BIOSYN-"&amp;_xlfn.IFS(IFERROR(MATCH(mets2418[[#This Row],[category]],{0,"0",""},0),0)&gt;0,mets2418[[#This Row],[name]],TRUE,mets2418[[#This Row],[category]]&amp;"-"&amp;mets2418[[#This Row],[name]])</f>
        <v>BIOSYN-other-mlthf_c</v>
      </c>
      <c r="L50" s="149" t="str" cm="1">
        <f t="array" ref="L50">IF(IsElementOfSet_DIY(mets2418[[#This Row],[category]],{"ignore","PROT"}),"",_xlfn.LET(_xlpm.mw,mets2418[[#This Row],[MW for biomass normalization (g/mol)]],"MET-"&amp;mets2418[[#This Row],[name]]&amp;" --&gt; "&amp;IF((mets2418[[#This Row],[category]]="DNA")+(mets2418[[#This Row],[category]]="RNA"),"MET-ppi_c + ","")&amp;ROUND(ABS(_xlpm.mw/1000),6)&amp;" BIO-"&amp;mets2418[[#This Row],[name]]))</f>
        <v>MET-mlthf_c --&gt; 0.455424 BIO-mlthf_c</v>
      </c>
      <c r="M50" s="149" cm="1">
        <f t="array" ref="M5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-1.395449036227668E-3</v>
      </c>
      <c r="N50" s="149"/>
      <c r="O50" s="149"/>
      <c r="P50" s="149"/>
      <c r="Q50" s="149"/>
      <c r="R50" s="149"/>
      <c r="S50" s="149"/>
      <c r="T50" s="149"/>
      <c r="U50" s="149"/>
      <c r="V50" s="149"/>
      <c r="AB50" t="str">
        <v>BIOSYN-LIPID-pail_rm</v>
      </c>
      <c r="AC50" t="str">
        <v>MET-pail_rm --&gt; 0.862149 BIO-pail_rm</v>
      </c>
    </row>
    <row r="51" spans="1:29" ht="16" x14ac:dyDescent="0.2">
      <c r="A51" s="142" t="s">
        <v>774</v>
      </c>
      <c r="B51" t="str">
        <f>SUBSTITUTE(_xlfn.TEXTBEFORE(mets2418[[#This Row],[pasted JSON metabolite keys and values from GSM biomass rxn]],":"),CHAR(34),"")</f>
        <v>mn2_c</v>
      </c>
      <c r="C51" t="str">
        <f>_xlfn.TEXTBEFORE(mets2418[[#This Row],[name]],"_",-1)</f>
        <v>mn2</v>
      </c>
      <c r="D51" t="str">
        <f>_xlfn.XLOOKUP(mets2418[[#This Row],[name w/o location]],metaboliteInfo[name w/o location],metaboliteInfo[suggested category],"")</f>
        <v>METAL</v>
      </c>
      <c r="E51" s="21">
        <f>_xlfn.XLOOKUP(mets2418[[#This Row],[name w/o location]],metaboliteInfo[name w/o location],metaboliteInfo[MW for biomass normalization (g/mol)],0)</f>
        <v>54.938043999999998</v>
      </c>
      <c r="F51" s="21">
        <f>_xlfn.NUMBERVALUE(SUBSTITUTE(_xlfn.TEXTAFTER(mets2418[[#This Row],[pasted JSON metabolite keys and values from GSM biomass rxn]],":"),",",""))</f>
        <v>-6.0700000000000001E-4</v>
      </c>
      <c r="G51" s="21" cm="1">
        <f t="array" ref="G51">_xlfn.LET(_xlpm.id,mets2418[[#This Row],[name w/o location]],IF(IsElementOfSet_DIY(_xlpm.id,{"atp","adp","h","pi","h2o"}),SIGN(mets2418[[#This Row],[raw (GSM) coefficient]])*(ABS(mets2418[[#This Row],[raw (GSM) coefficient]])-$J$2),mets2418[[#This Row],[raw (GSM) coefficient]]))</f>
        <v>-6.0700000000000001E-4</v>
      </c>
      <c r="H51" s="21">
        <f>mets2418[[#This Row],[coeff. w/o GAM]]</f>
        <v>-6.0700000000000001E-4</v>
      </c>
      <c r="I51" s="161">
        <f t="shared" si="0"/>
        <v>-6.5560183048776657E-4</v>
      </c>
      <c r="J51" s="21" cm="1">
        <f t="array" ref="J51">_xlfn.LET(_xlpm.id,mets2418[[#This Row],[name w/o location]],_xlpm.oldcoeff,mets2418[[#This Row],[normalized coeffs]],_xlpm.gam,$J$2-$G$2,_xlfn.IFS(IFERROR(MATCH(_xlpm.id,{"atp","h2o"},0),0)&gt;0,_xlpm.oldcoeff-_xlpm.gam,IFERROR(MATCH(_xlpm.id,{"adp","h","pi"},0),0)&gt;0,_xlpm.oldcoeff+_xlpm.gam,TRUE,_xlpm.oldcoeff))</f>
        <v>-6.5560183048776657E-4</v>
      </c>
      <c r="K51" t="str" cm="1">
        <f t="array" ref="K51">"BIOSYN-"&amp;_xlfn.IFS(IFERROR(MATCH(mets2418[[#This Row],[category]],{0,"0",""},0),0)&gt;0,mets2418[[#This Row],[name]],TRUE,mets2418[[#This Row],[category]]&amp;"-"&amp;mets2418[[#This Row],[name]])</f>
        <v>BIOSYN-METAL-mn2_c</v>
      </c>
      <c r="L51" s="149" t="str" cm="1">
        <f t="array" ref="L51">IF(IsElementOfSet_DIY(mets2418[[#This Row],[category]],{"ignore","PROT"}),"",_xlfn.LET(_xlpm.mw,mets2418[[#This Row],[MW for biomass normalization (g/mol)]],"MET-"&amp;mets2418[[#This Row],[name]]&amp;" --&gt; "&amp;IF((mets2418[[#This Row],[category]]="DNA")+(mets2418[[#This Row],[category]]="RNA"),"MET-ppi_c + ","")&amp;ROUND(ABS(_xlpm.mw/1000),6)&amp;" BIO-"&amp;mets2418[[#This Row],[name]]))</f>
        <v>MET-mn2_c --&gt; 0.054938 BIO-mn2_c</v>
      </c>
      <c r="M51" s="149" cm="1">
        <f t="array" ref="M5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-6.5560183048776657E-4</v>
      </c>
      <c r="N51" s="149"/>
      <c r="O51" s="149"/>
      <c r="P51" s="149"/>
      <c r="Q51" s="149"/>
      <c r="R51" s="149"/>
      <c r="S51" s="149"/>
      <c r="T51" s="149"/>
      <c r="U51" s="149"/>
      <c r="V51" s="149"/>
      <c r="AB51" t="str">
        <v>BIOSYN-LIPID-pc_rm</v>
      </c>
      <c r="AC51" t="str">
        <v>MET-pc_rm --&gt; 0.786166 BIO-pc_rm</v>
      </c>
    </row>
    <row r="52" spans="1:29" ht="16" x14ac:dyDescent="0.2">
      <c r="A52" s="142" t="s">
        <v>775</v>
      </c>
      <c r="B52" t="str">
        <f>SUBSTITUTE(_xlfn.TEXTBEFORE(mets2418[[#This Row],[pasted JSON metabolite keys and values from GSM biomass rxn]],":"),CHAR(34),"")</f>
        <v>na1_c</v>
      </c>
      <c r="C52" t="str">
        <f>_xlfn.TEXTBEFORE(mets2418[[#This Row],[name]],"_",-1)</f>
        <v>na1</v>
      </c>
      <c r="D52" t="str">
        <f>_xlfn.XLOOKUP(mets2418[[#This Row],[name w/o location]],metaboliteInfo[name w/o location],metaboliteInfo[suggested category],"")</f>
        <v>other</v>
      </c>
      <c r="E52" s="21">
        <f>_xlfn.XLOOKUP(mets2418[[#This Row],[name w/o location]],metaboliteInfo[name w/o location],metaboliteInfo[MW for biomass normalization (g/mol)],0)</f>
        <v>22.98977</v>
      </c>
      <c r="F52" s="21">
        <f>_xlfn.NUMBERVALUE(SUBSTITUTE(_xlfn.TEXTAFTER(mets2418[[#This Row],[pasted JSON metabolite keys and values from GSM biomass rxn]],":"),",",""))</f>
        <v>-2.6099000000000001E-2</v>
      </c>
      <c r="G52" s="21" cm="1">
        <f t="array" ref="G52">_xlfn.LET(_xlpm.id,mets2418[[#This Row],[name w/o location]],IF(IsElementOfSet_DIY(_xlpm.id,{"atp","adp","h","pi","h2o"}),SIGN(mets2418[[#This Row],[raw (GSM) coefficient]])*(ABS(mets2418[[#This Row],[raw (GSM) coefficient]])-$J$2),mets2418[[#This Row],[raw (GSM) coefficient]]))</f>
        <v>-2.6099000000000001E-2</v>
      </c>
      <c r="H52" s="21">
        <f>mets2418[[#This Row],[coeff. w/o GAM]]</f>
        <v>-2.6099000000000001E-2</v>
      </c>
      <c r="I52" s="161">
        <f t="shared" si="0"/>
        <v>-2.8188718573146986E-2</v>
      </c>
      <c r="J52" s="21" cm="1">
        <f t="array" ref="J52">_xlfn.LET(_xlpm.id,mets2418[[#This Row],[name w/o location]],_xlpm.oldcoeff,mets2418[[#This Row],[normalized coeffs]],_xlpm.gam,$J$2-$G$2,_xlfn.IFS(IFERROR(MATCH(_xlpm.id,{"atp","h2o"},0),0)&gt;0,_xlpm.oldcoeff-_xlpm.gam,IFERROR(MATCH(_xlpm.id,{"adp","h","pi"},0),0)&gt;0,_xlpm.oldcoeff+_xlpm.gam,TRUE,_xlpm.oldcoeff))</f>
        <v>-2.8188718573146986E-2</v>
      </c>
      <c r="K52" t="str" cm="1">
        <f t="array" ref="K52">"BIOSYN-"&amp;_xlfn.IFS(IFERROR(MATCH(mets2418[[#This Row],[category]],{0,"0",""},0),0)&gt;0,mets2418[[#This Row],[name]],TRUE,mets2418[[#This Row],[category]]&amp;"-"&amp;mets2418[[#This Row],[name]])</f>
        <v>BIOSYN-other-na1_c</v>
      </c>
      <c r="L52" s="149" t="str" cm="1">
        <f t="array" ref="L52">IF(IsElementOfSet_DIY(mets2418[[#This Row],[category]],{"ignore","PROT"}),"",_xlfn.LET(_xlpm.mw,mets2418[[#This Row],[MW for biomass normalization (g/mol)]],"MET-"&amp;mets2418[[#This Row],[name]]&amp;" --&gt; "&amp;IF((mets2418[[#This Row],[category]]="DNA")+(mets2418[[#This Row],[category]]="RNA"),"MET-ppi_c + ","")&amp;ROUND(ABS(_xlpm.mw/1000),6)&amp;" BIO-"&amp;mets2418[[#This Row],[name]]))</f>
        <v>MET-na1_c --&gt; 0.02299 BIO-na1_c</v>
      </c>
      <c r="M52" s="149" cm="1">
        <f t="array" ref="M5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-2.8188718573146986E-2</v>
      </c>
      <c r="N52" s="149"/>
      <c r="O52" s="149"/>
      <c r="P52" s="149"/>
      <c r="Q52" s="149"/>
      <c r="R52" s="149"/>
      <c r="S52" s="149"/>
      <c r="T52" s="149"/>
      <c r="U52" s="149"/>
      <c r="V52" s="149"/>
      <c r="AB52" t="str">
        <v>BIOSYN-LIPID-pe_rm</v>
      </c>
      <c r="AC52" t="str">
        <v>MET-pe_rm --&gt; 0.744086 BIO-pe_rm</v>
      </c>
    </row>
    <row r="53" spans="1:29" ht="16" x14ac:dyDescent="0.2">
      <c r="A53" s="142" t="s">
        <v>776</v>
      </c>
      <c r="B53" t="str">
        <f>SUBSTITUTE(_xlfn.TEXTBEFORE(mets2418[[#This Row],[pasted JSON metabolite keys and values from GSM biomass rxn]],":"),CHAR(34),"")</f>
        <v>nad_c</v>
      </c>
      <c r="C53" t="str">
        <f>_xlfn.TEXTBEFORE(mets2418[[#This Row],[name]],"_",-1)</f>
        <v>nad</v>
      </c>
      <c r="D53" t="str">
        <f>_xlfn.XLOOKUP(mets2418[[#This Row],[name w/o location]],metaboliteInfo[name w/o location],metaboliteInfo[suggested category],"")</f>
        <v>COFACTOR</v>
      </c>
      <c r="E53" s="21">
        <f>_xlfn.XLOOKUP(mets2418[[#This Row],[name w/o location]],metaboliteInfo[name w/o location],metaboliteInfo[MW for biomass normalization (g/mol)],0)</f>
        <v>662.41716199999996</v>
      </c>
      <c r="F53" s="21">
        <f>_xlfn.NUMBERVALUE(SUBSTITUTE(_xlfn.TEXTAFTER(mets2418[[#This Row],[pasted JSON metabolite keys and values from GSM biomass rxn]],":"),",",""))</f>
        <v>-8.8800000000000001E-4</v>
      </c>
      <c r="G53" s="21" cm="1">
        <f t="array" ref="G53">_xlfn.LET(_xlpm.id,mets2418[[#This Row],[name w/o location]],IF(IsElementOfSet_DIY(_xlpm.id,{"atp","adp","h","pi","h2o"}),SIGN(mets2418[[#This Row],[raw (GSM) coefficient]])*(ABS(mets2418[[#This Row],[raw (GSM) coefficient]])-$J$2),mets2418[[#This Row],[raw (GSM) coefficient]]))</f>
        <v>-8.8800000000000001E-4</v>
      </c>
      <c r="H53" s="21">
        <f>mets2418[[#This Row],[coeff. w/o GAM]]</f>
        <v>-8.8800000000000001E-4</v>
      </c>
      <c r="I53" s="161">
        <f t="shared" si="0"/>
        <v>-9.5910119517814954E-4</v>
      </c>
      <c r="J53" s="21" cm="1">
        <f t="array" ref="J53">_xlfn.LET(_xlpm.id,mets2418[[#This Row],[name w/o location]],_xlpm.oldcoeff,mets2418[[#This Row],[normalized coeffs]],_xlpm.gam,$J$2-$G$2,_xlfn.IFS(IFERROR(MATCH(_xlpm.id,{"atp","h2o"},0),0)&gt;0,_xlpm.oldcoeff-_xlpm.gam,IFERROR(MATCH(_xlpm.id,{"adp","h","pi"},0),0)&gt;0,_xlpm.oldcoeff+_xlpm.gam,TRUE,_xlpm.oldcoeff))</f>
        <v>-9.5910119517814954E-4</v>
      </c>
      <c r="K53" t="str" cm="1">
        <f t="array" ref="K53">"BIOSYN-"&amp;_xlfn.IFS(IFERROR(MATCH(mets2418[[#This Row],[category]],{0,"0",""},0),0)&gt;0,mets2418[[#This Row],[name]],TRUE,mets2418[[#This Row],[category]]&amp;"-"&amp;mets2418[[#This Row],[name]])</f>
        <v>BIOSYN-COFACTOR-nad_c</v>
      </c>
      <c r="L53" s="149" t="str" cm="1">
        <f t="array" ref="L53">IF(IsElementOfSet_DIY(mets2418[[#This Row],[category]],{"ignore","PROT"}),"",_xlfn.LET(_xlpm.mw,mets2418[[#This Row],[MW for biomass normalization (g/mol)]],"MET-"&amp;mets2418[[#This Row],[name]]&amp;" --&gt; "&amp;IF((mets2418[[#This Row],[category]]="DNA")+(mets2418[[#This Row],[category]]="RNA"),"MET-ppi_c + ","")&amp;ROUND(ABS(_xlpm.mw/1000),6)&amp;" BIO-"&amp;mets2418[[#This Row],[name]]))</f>
        <v>MET-nad_c --&gt; 0.662417 BIO-nad_c</v>
      </c>
      <c r="M53" s="149" cm="1">
        <f t="array" ref="M53">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-9.5910119517814954E-4</v>
      </c>
      <c r="N53" s="149"/>
      <c r="O53" s="149"/>
      <c r="P53" s="149"/>
      <c r="Q53" s="149"/>
      <c r="R53" s="149"/>
      <c r="S53" s="149"/>
      <c r="T53" s="149"/>
      <c r="U53" s="149"/>
      <c r="V53" s="149"/>
      <c r="AB53" t="str">
        <v>BIOSYN-LIPID-ps_rm</v>
      </c>
      <c r="AC53" t="str">
        <v>MET-ps_rm --&gt; 0.786079 BIO-ps_rm</v>
      </c>
    </row>
    <row r="54" spans="1:29" ht="16" x14ac:dyDescent="0.2">
      <c r="A54" s="142" t="s">
        <v>777</v>
      </c>
      <c r="B54" t="str">
        <f>SUBSTITUTE(_xlfn.TEXTBEFORE(mets2418[[#This Row],[pasted JSON metabolite keys and values from GSM biomass rxn]],":"),CHAR(34),"")</f>
        <v>nadp_c</v>
      </c>
      <c r="C54" t="str">
        <f>_xlfn.TEXTBEFORE(mets2418[[#This Row],[name]],"_",-1)</f>
        <v>nadp</v>
      </c>
      <c r="D54" t="str">
        <f>_xlfn.XLOOKUP(mets2418[[#This Row],[name w/o location]],metaboliteInfo[name w/o location],metaboliteInfo[suggested category],"")</f>
        <v>COFACTOR</v>
      </c>
      <c r="E54" s="21">
        <f>_xlfn.XLOOKUP(mets2418[[#This Row],[name w/o location]],metaboliteInfo[name w/o location],metaboliteInfo[MW for biomass normalization (g/mol)],0)</f>
        <v>740.38118299999996</v>
      </c>
      <c r="F54" s="21">
        <f>_xlfn.NUMBERVALUE(SUBSTITUTE(_xlfn.TEXTAFTER(mets2418[[#This Row],[pasted JSON metabolite keys and values from GSM biomass rxn]],":"),",",""))</f>
        <v>-7.9500000000000003E-4</v>
      </c>
      <c r="G54" s="21" cm="1">
        <f t="array" ref="G54">_xlfn.LET(_xlpm.id,mets2418[[#This Row],[name w/o location]],IF(IsElementOfSet_DIY(_xlpm.id,{"atp","adp","h","pi","h2o"}),SIGN(mets2418[[#This Row],[raw (GSM) coefficient]])*(ABS(mets2418[[#This Row],[raw (GSM) coefficient]])-$J$2),mets2418[[#This Row],[raw (GSM) coefficient]]))</f>
        <v>-7.9500000000000003E-4</v>
      </c>
      <c r="H54" s="21">
        <f>mets2418[[#This Row],[coeff. w/o GAM]]</f>
        <v>-7.9500000000000003E-4</v>
      </c>
      <c r="I54" s="161">
        <f t="shared" si="0"/>
        <v>-8.5865478622368114E-4</v>
      </c>
      <c r="J54" s="21" cm="1">
        <f t="array" ref="J54">_xlfn.LET(_xlpm.id,mets2418[[#This Row],[name w/o location]],_xlpm.oldcoeff,mets2418[[#This Row],[normalized coeffs]],_xlpm.gam,$J$2-$G$2,_xlfn.IFS(IFERROR(MATCH(_xlpm.id,{"atp","h2o"},0),0)&gt;0,_xlpm.oldcoeff-_xlpm.gam,IFERROR(MATCH(_xlpm.id,{"adp","h","pi"},0),0)&gt;0,_xlpm.oldcoeff+_xlpm.gam,TRUE,_xlpm.oldcoeff))</f>
        <v>-8.5865478622368114E-4</v>
      </c>
      <c r="K54" t="str" cm="1">
        <f t="array" ref="K54">"BIOSYN-"&amp;_xlfn.IFS(IFERROR(MATCH(mets2418[[#This Row],[category]],{0,"0",""},0),0)&gt;0,mets2418[[#This Row],[name]],TRUE,mets2418[[#This Row],[category]]&amp;"-"&amp;mets2418[[#This Row],[name]])</f>
        <v>BIOSYN-COFACTOR-nadp_c</v>
      </c>
      <c r="L54" s="149" t="str" cm="1">
        <f t="array" ref="L54">IF(IsElementOfSet_DIY(mets2418[[#This Row],[category]],{"ignore","PROT"}),"",_xlfn.LET(_xlpm.mw,mets2418[[#This Row],[MW for biomass normalization (g/mol)]],"MET-"&amp;mets2418[[#This Row],[name]]&amp;" --&gt; "&amp;IF((mets2418[[#This Row],[category]]="DNA")+(mets2418[[#This Row],[category]]="RNA"),"MET-ppi_c + ","")&amp;ROUND(ABS(_xlpm.mw/1000),6)&amp;" BIO-"&amp;mets2418[[#This Row],[name]]))</f>
        <v>MET-nadp_c --&gt; 0.740381 BIO-nadp_c</v>
      </c>
      <c r="M54" s="149" cm="1">
        <f t="array" ref="M54">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-8.5865478622368114E-4</v>
      </c>
      <c r="N54" s="149"/>
      <c r="O54" s="149"/>
      <c r="P54" s="149"/>
      <c r="Q54" s="149"/>
      <c r="R54" s="149"/>
      <c r="S54" s="149"/>
      <c r="T54" s="149"/>
      <c r="U54" s="149"/>
      <c r="V54" s="149"/>
      <c r="AB54" t="str">
        <v>BIOSYN-LIPID-tag_rm</v>
      </c>
      <c r="AC54" t="str">
        <v>MET-tag_rm --&gt; 0.885513 BIO-tag_rm</v>
      </c>
    </row>
    <row r="55" spans="1:29" ht="16" x14ac:dyDescent="0.2">
      <c r="A55" s="142" t="s">
        <v>778</v>
      </c>
      <c r="B55" t="str">
        <f>SUBSTITUTE(_xlfn.TEXTBEFORE(mets2418[[#This Row],[pasted JSON metabolite keys and values from GSM biomass rxn]],":"),CHAR(34),"")</f>
        <v>pa_rm</v>
      </c>
      <c r="C55" t="str">
        <f>_xlfn.TEXTBEFORE(mets2418[[#This Row],[name]],"_",-1)</f>
        <v>pa</v>
      </c>
      <c r="D55" t="str">
        <f>_xlfn.XLOOKUP(mets2418[[#This Row],[name w/o location]],metaboliteInfo[name w/o location],metaboliteInfo[suggested category],"")</f>
        <v>other</v>
      </c>
      <c r="E55" s="21">
        <f>_xlfn.XLOOKUP(mets2418[[#This Row],[name w/o location]],metaboliteInfo[name w/o location],metaboliteInfo[MW for biomass normalization (g/mol)],0)</f>
        <v>69581.537779999999</v>
      </c>
      <c r="F55" s="21">
        <f>_xlfn.NUMBERVALUE(SUBSTITUTE(_xlfn.TEXTAFTER(mets2418[[#This Row],[pasted JSON metabolite keys and values from GSM biomass rxn]],":"),",",""))</f>
        <v>-1.4E-5</v>
      </c>
      <c r="G55" s="21" cm="1">
        <f t="array" ref="G55">_xlfn.LET(_xlpm.id,mets2418[[#This Row],[name w/o location]],IF(IsElementOfSet_DIY(_xlpm.id,{"atp","adp","h","pi","h2o"}),SIGN(mets2418[[#This Row],[raw (GSM) coefficient]])*(ABS(mets2418[[#This Row],[raw (GSM) coefficient]])-$J$2),mets2418[[#This Row],[raw (GSM) coefficient]]))</f>
        <v>-1.4E-5</v>
      </c>
      <c r="H55" s="21">
        <f>mets2418[[#This Row],[coeff. w/o GAM]]</f>
        <v>-1.4E-5</v>
      </c>
      <c r="I55" s="161">
        <f t="shared" si="0"/>
        <v>-1.5120964788844699E-5</v>
      </c>
      <c r="J55" s="21" cm="1">
        <f t="array" ref="J55">_xlfn.LET(_xlpm.id,mets2418[[#This Row],[name w/o location]],_xlpm.oldcoeff,mets2418[[#This Row],[normalized coeffs]],_xlpm.gam,$J$2-$G$2,_xlfn.IFS(IFERROR(MATCH(_xlpm.id,{"atp","h2o"},0),0)&gt;0,_xlpm.oldcoeff-_xlpm.gam,IFERROR(MATCH(_xlpm.id,{"adp","h","pi"},0),0)&gt;0,_xlpm.oldcoeff+_xlpm.gam,TRUE,_xlpm.oldcoeff))</f>
        <v>-1.5120964788844699E-5</v>
      </c>
      <c r="K55" t="str" cm="1">
        <f t="array" ref="K55">"BIOSYN-"&amp;_xlfn.IFS(IFERROR(MATCH(mets2418[[#This Row],[category]],{0,"0",""},0),0)&gt;0,mets2418[[#This Row],[name]],TRUE,mets2418[[#This Row],[category]]&amp;"-"&amp;mets2418[[#This Row],[name]])</f>
        <v>BIOSYN-other-pa_rm</v>
      </c>
      <c r="L55" s="149" t="str" cm="1">
        <f t="array" ref="L55">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MET-pa_rm --&gt; 69.581538 BIO-pa_rm</v>
      </c>
      <c r="M55" s="149" cm="1">
        <f t="array" ref="M55">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-1.5120964788844699E-5</v>
      </c>
      <c r="N55" s="149"/>
      <c r="O55" s="149"/>
      <c r="P55" s="149"/>
      <c r="Q55" s="149"/>
      <c r="R55" s="149"/>
      <c r="S55" s="149"/>
      <c r="T55" s="149"/>
      <c r="U55" s="149"/>
      <c r="V55" s="149"/>
      <c r="AB55" t="str">
        <v>BIOSYN-METAL-ca2_c</v>
      </c>
      <c r="AC55" t="str">
        <v>MET-ca2_c --&gt; 0.040078 BIO-ca2_c</v>
      </c>
    </row>
    <row r="56" spans="1:29" ht="16" x14ac:dyDescent="0.2">
      <c r="A56" s="142" t="s">
        <v>779</v>
      </c>
      <c r="B56" t="str">
        <f>SUBSTITUTE(_xlfn.TEXTBEFORE(mets2418[[#This Row],[pasted JSON metabolite keys and values from GSM biomass rxn]],":"),CHAR(34),"")</f>
        <v>pc_rm</v>
      </c>
      <c r="C56" t="str">
        <f>_xlfn.TEXTBEFORE(mets2418[[#This Row],[name]],"_",-1)</f>
        <v>pc</v>
      </c>
      <c r="D56" t="str">
        <f>_xlfn.XLOOKUP(mets2418[[#This Row],[name w/o location]],metaboliteInfo[name w/o location],metaboliteInfo[suggested category],"")</f>
        <v>LIPID</v>
      </c>
      <c r="E56" s="21">
        <f>_xlfn.XLOOKUP(mets2418[[#This Row],[name w/o location]],metaboliteInfo[name w/o location],metaboliteInfo[MW for biomass normalization (g/mol)],0)</f>
        <v>786.16573442176002</v>
      </c>
      <c r="F56" s="21">
        <f>_xlfn.NUMBERVALUE(SUBSTITUTE(_xlfn.TEXTAFTER(mets2418[[#This Row],[pasted JSON metabolite keys and values from GSM biomass rxn]],":"),",",""))</f>
        <v>-1.7200000000000001E-4</v>
      </c>
      <c r="G56" s="21" cm="1">
        <f t="array" ref="G56">_xlfn.LET(_xlpm.id,mets2418[[#This Row],[name w/o location]],IF(IsElementOfSet_DIY(_xlpm.id,{"atp","adp","h","pi","h2o"}),SIGN(mets2418[[#This Row],[raw (GSM) coefficient]])*(ABS(mets2418[[#This Row],[raw (GSM) coefficient]])-$J$2),mets2418[[#This Row],[raw (GSM) coefficient]]))</f>
        <v>-1.7200000000000001E-4</v>
      </c>
      <c r="H56" s="21">
        <f>mets2418[[#This Row],[coeff. w/o GAM]]</f>
        <v>-1.7200000000000001E-4</v>
      </c>
      <c r="I56" s="161">
        <f t="shared" si="0"/>
        <v>-1.8577185312009203E-4</v>
      </c>
      <c r="J56" s="21" cm="1">
        <f t="array" ref="J56">_xlfn.LET(_xlpm.id,mets2418[[#This Row],[name w/o location]],_xlpm.oldcoeff,mets2418[[#This Row],[normalized coeffs]],_xlpm.gam,$J$2-$G$2,_xlfn.IFS(IFERROR(MATCH(_xlpm.id,{"atp","h2o"},0),0)&gt;0,_xlpm.oldcoeff-_xlpm.gam,IFERROR(MATCH(_xlpm.id,{"adp","h","pi"},0),0)&gt;0,_xlpm.oldcoeff+_xlpm.gam,TRUE,_xlpm.oldcoeff))</f>
        <v>-1.8577185312009203E-4</v>
      </c>
      <c r="K56" t="str" cm="1">
        <f t="array" ref="K56">"BIOSYN-"&amp;_xlfn.IFS(IFERROR(MATCH(mets2418[[#This Row],[category]],{0,"0",""},0),0)&gt;0,mets2418[[#This Row],[name]],TRUE,mets2418[[#This Row],[category]]&amp;"-"&amp;mets2418[[#This Row],[name]])</f>
        <v>BIOSYN-LIPID-pc_rm</v>
      </c>
      <c r="L56" s="149" t="str" cm="1">
        <f t="array" ref="L56">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MET-pc_rm --&gt; 0.786166 BIO-pc_rm</v>
      </c>
      <c r="M56" s="149" cm="1">
        <f t="array" ref="M5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-1.8577185312009203E-4</v>
      </c>
      <c r="N56" s="149"/>
      <c r="O56" s="149"/>
      <c r="P56" s="149"/>
      <c r="Q56" s="149"/>
      <c r="R56" s="149"/>
      <c r="S56" s="149"/>
      <c r="T56" s="149"/>
      <c r="U56" s="149"/>
      <c r="V56" s="149"/>
      <c r="AB56" t="str">
        <v>BIOSYN-METAL-cu2_c</v>
      </c>
      <c r="AC56" t="str">
        <v>MET-cu2_c --&gt; 0.063546 BIO-cu2_c</v>
      </c>
    </row>
    <row r="57" spans="1:29" ht="16" x14ac:dyDescent="0.2">
      <c r="A57" s="142" t="s">
        <v>780</v>
      </c>
      <c r="B57" t="str">
        <f>SUBSTITUTE(_xlfn.TEXTBEFORE(mets2418[[#This Row],[pasted JSON metabolite keys and values from GSM biomass rxn]],":"),CHAR(34),"")</f>
        <v>pe_rm</v>
      </c>
      <c r="C57" t="str">
        <f>_xlfn.TEXTBEFORE(mets2418[[#This Row],[name]],"_",-1)</f>
        <v>pe</v>
      </c>
      <c r="D57" t="str">
        <f>_xlfn.XLOOKUP(mets2418[[#This Row],[name w/o location]],metaboliteInfo[name w/o location],metaboliteInfo[suggested category],"")</f>
        <v>LIPID</v>
      </c>
      <c r="E57" s="21">
        <f>_xlfn.XLOOKUP(mets2418[[#This Row],[name w/o location]],metaboliteInfo[name w/o location],metaboliteInfo[MW for biomass normalization (g/mol)],0)</f>
        <v>744.08599442176001</v>
      </c>
      <c r="F57" s="21">
        <f>_xlfn.NUMBERVALUE(SUBSTITUTE(_xlfn.TEXTAFTER(mets2418[[#This Row],[pasted JSON metabolite keys and values from GSM biomass rxn]],":"),",",""))</f>
        <v>-1.2999999999999999E-4</v>
      </c>
      <c r="G57" s="21" cm="1">
        <f t="array" ref="G57">_xlfn.LET(_xlpm.id,mets2418[[#This Row],[name w/o location]],IF(IsElementOfSet_DIY(_xlpm.id,{"atp","adp","h","pi","h2o"}),SIGN(mets2418[[#This Row],[raw (GSM) coefficient]])*(ABS(mets2418[[#This Row],[raw (GSM) coefficient]])-$J$2),mets2418[[#This Row],[raw (GSM) coefficient]]))</f>
        <v>-1.2999999999999999E-4</v>
      </c>
      <c r="H57" s="21">
        <f>mets2418[[#This Row],[coeff. w/o GAM]]</f>
        <v>-1.2999999999999999E-4</v>
      </c>
      <c r="I57" s="161">
        <f t="shared" si="0"/>
        <v>-1.4040895875355792E-4</v>
      </c>
      <c r="J57" s="21" cm="1">
        <f t="array" ref="J57">_xlfn.LET(_xlpm.id,mets2418[[#This Row],[name w/o location]],_xlpm.oldcoeff,mets2418[[#This Row],[normalized coeffs]],_xlpm.gam,$J$2-$G$2,_xlfn.IFS(IFERROR(MATCH(_xlpm.id,{"atp","h2o"},0),0)&gt;0,_xlpm.oldcoeff-_xlpm.gam,IFERROR(MATCH(_xlpm.id,{"adp","h","pi"},0),0)&gt;0,_xlpm.oldcoeff+_xlpm.gam,TRUE,_xlpm.oldcoeff))</f>
        <v>-1.4040895875355792E-4</v>
      </c>
      <c r="K57" t="str" cm="1">
        <f t="array" ref="K57">"BIOSYN-"&amp;_xlfn.IFS(IFERROR(MATCH(mets2418[[#This Row],[category]],{0,"0",""},0),0)&gt;0,mets2418[[#This Row],[name]],TRUE,mets2418[[#This Row],[category]]&amp;"-"&amp;mets2418[[#This Row],[name]])</f>
        <v>BIOSYN-LIPID-pe_rm</v>
      </c>
      <c r="L57" s="149" t="str" cm="1">
        <f t="array" ref="L57">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MET-pe_rm --&gt; 0.744086 BIO-pe_rm</v>
      </c>
      <c r="M57" s="149" cm="1">
        <f t="array" ref="M5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-1.4040895875355792E-4</v>
      </c>
      <c r="N57" s="149"/>
      <c r="O57" s="149"/>
      <c r="P57" s="149"/>
      <c r="Q57" s="149"/>
      <c r="R57" s="149"/>
      <c r="S57" s="149"/>
      <c r="T57" s="149"/>
      <c r="U57" s="149"/>
      <c r="V57" s="149"/>
      <c r="AB57" t="str">
        <v>BIOSYN-METAL-fe2_c</v>
      </c>
      <c r="AC57" t="str">
        <v>MET-fe2_c --&gt; 0.055845 BIO-fe2_c</v>
      </c>
    </row>
    <row r="58" spans="1:29" ht="16" x14ac:dyDescent="0.2">
      <c r="A58" s="142" t="s">
        <v>781</v>
      </c>
      <c r="B58" t="str">
        <f>SUBSTITUTE(_xlfn.TEXTBEFORE(mets2418[[#This Row],[pasted JSON metabolite keys and values from GSM biomass rxn]],":"),CHAR(34),"")</f>
        <v>phetrna_c</v>
      </c>
      <c r="C58" t="str">
        <f>_xlfn.TEXTBEFORE(mets2418[[#This Row],[name]],"_",-1)</f>
        <v>phetrna</v>
      </c>
      <c r="D58" t="str">
        <f>_xlfn.XLOOKUP(mets2418[[#This Row],[name w/o location]],metaboliteInfo[name w/o location],metaboliteInfo[suggested category],"")</f>
        <v>PROT</v>
      </c>
      <c r="E58" s="21">
        <f>_xlfn.XLOOKUP(mets2418[[#This Row],[name w/o location]],metaboliteInfo[name w/o location],metaboliteInfo[MW for biomass normalization (g/mol)],0)</f>
        <v>148.18180000000001</v>
      </c>
      <c r="F58" s="21">
        <f>_xlfn.NUMBERVALUE(SUBSTITUTE(_xlfn.TEXTAFTER(mets2418[[#This Row],[pasted JSON metabolite keys and values from GSM biomass rxn]],":"),",",""))</f>
        <v>-9.5163999999999999E-2</v>
      </c>
      <c r="G58" s="21" cm="1">
        <f t="array" ref="G58">_xlfn.LET(_xlpm.id,mets2418[[#This Row],[name w/o location]],IF(IsElementOfSet_DIY(_xlpm.id,{"atp","adp","h","pi","h2o"}),SIGN(mets2418[[#This Row],[raw (GSM) coefficient]])*(ABS(mets2418[[#This Row],[raw (GSM) coefficient]])-$J$2),mets2418[[#This Row],[raw (GSM) coefficient]]))</f>
        <v>-9.5163999999999999E-2</v>
      </c>
      <c r="H58" s="21">
        <f>mets2418[[#This Row],[coeff. w/o GAM]]</f>
        <v>-9.5163999999999999E-2</v>
      </c>
      <c r="I58" s="161">
        <f t="shared" si="0"/>
        <v>-0.10278367808325835</v>
      </c>
      <c r="J58" s="21" cm="1">
        <f t="array" ref="J58">_xlfn.LET(_xlpm.id,mets2418[[#This Row],[name w/o location]],_xlpm.oldcoeff,mets2418[[#This Row],[normalized coeffs]],_xlpm.gam,$J$2-$G$2,_xlfn.IFS(IFERROR(MATCH(_xlpm.id,{"atp","h2o"},0),0)&gt;0,_xlpm.oldcoeff-_xlpm.gam,IFERROR(MATCH(_xlpm.id,{"adp","h","pi"},0),0)&gt;0,_xlpm.oldcoeff+_xlpm.gam,TRUE,_xlpm.oldcoeff))</f>
        <v>-0.10278367808325835</v>
      </c>
      <c r="K58" t="str" cm="1">
        <f t="array" ref="K58">"BIOSYN-"&amp;_xlfn.IFS(IFERROR(MATCH(mets2418[[#This Row],[category]],{0,"0",""},0),0)&gt;0,mets2418[[#This Row],[name]],TRUE,mets2418[[#This Row],[category]]&amp;"-"&amp;mets2418[[#This Row],[name]])</f>
        <v>BIOSYN-PROT-phetrna_c</v>
      </c>
      <c r="L58" s="149" t="str" cm="1">
        <f t="array" ref="L58">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58" s="149" cm="1">
        <f t="array" ref="M5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-0.10278367808325835</v>
      </c>
      <c r="N58" s="149"/>
      <c r="O58" s="149"/>
      <c r="P58" s="149"/>
      <c r="Q58" s="149"/>
      <c r="R58" s="149"/>
      <c r="S58" s="149"/>
      <c r="T58" s="149"/>
      <c r="U58" s="149"/>
      <c r="V58" s="149"/>
      <c r="AB58" t="str">
        <v>BIOSYN-METAL-fe3_c</v>
      </c>
      <c r="AC58" t="str">
        <v>MET-fe3_c --&gt; 0.055845 BIO-fe3_c</v>
      </c>
    </row>
    <row r="59" spans="1:29" ht="16" x14ac:dyDescent="0.2">
      <c r="A59" s="142" t="s">
        <v>782</v>
      </c>
      <c r="B59" t="str">
        <f>SUBSTITUTE(_xlfn.TEXTBEFORE(mets2418[[#This Row],[pasted JSON metabolite keys and values from GSM biomass rxn]],":"),CHAR(34),"")</f>
        <v>pi_c</v>
      </c>
      <c r="C59" t="str">
        <f>_xlfn.TEXTBEFORE(mets2418[[#This Row],[name]],"_",-1)</f>
        <v>pi</v>
      </c>
      <c r="D59" t="str">
        <f>_xlfn.XLOOKUP(mets2418[[#This Row],[name w/o location]],metaboliteInfo[name w/o location],metaboliteInfo[suggested category],"")</f>
        <v>PI</v>
      </c>
      <c r="E59" s="21">
        <f>_xlfn.XLOOKUP(mets2418[[#This Row],[name w/o location]],metaboliteInfo[name w/o location],metaboliteInfo[MW for biomass normalization (g/mol)],0)</f>
        <v>95.979301000000007</v>
      </c>
      <c r="F59" s="21">
        <f>_xlfn.NUMBERVALUE(SUBSTITUTE(_xlfn.TEXTAFTER(mets2418[[#This Row],[pasted JSON metabolite keys and values from GSM biomass rxn]],":"),",",""))</f>
        <v>139.639453</v>
      </c>
      <c r="G59" s="21" cm="1">
        <f t="array" ref="G59">_xlfn.LET(_xlpm.id,mets2418[[#This Row],[name w/o location]],IF(IsElementOfSet_DIY(_xlpm.id,{"atp","adp","h","pi","h2o"}),SIGN(mets2418[[#This Row],[raw (GSM) coefficient]])*(ABS(mets2418[[#This Row],[raw (GSM) coefficient]])-$J$2),mets2418[[#This Row],[raw (GSM) coefficient]]))</f>
        <v>0</v>
      </c>
      <c r="H59" s="21">
        <f>mets2418[[#This Row],[coeff. w/o GAM]]</f>
        <v>0</v>
      </c>
      <c r="I59" s="161">
        <f t="shared" si="0"/>
        <v>0</v>
      </c>
      <c r="J59" s="21" cm="1">
        <f t="array" ref="J59">_xlfn.LET(_xlpm.id,mets2418[[#This Row],[name w/o location]],_xlpm.oldcoeff,mets2418[[#This Row],[normalized coeffs]],_xlpm.gam,$J$2-$G$2,_xlfn.IFS(IFERROR(MATCH(_xlpm.id,{"atp","h2o"},0),0)&gt;0,_xlpm.oldcoeff-_xlpm.gam,IFERROR(MATCH(_xlpm.id,{"adp","h","pi"},0),0)&gt;0,_xlpm.oldcoeff+_xlpm.gam,TRUE,_xlpm.oldcoeff))</f>
        <v>132.94945300000001</v>
      </c>
      <c r="K59" t="str" cm="1">
        <f t="array" ref="K59">"BIOSYN-"&amp;_xlfn.IFS(IFERROR(MATCH(mets2418[[#This Row],[category]],{0,"0",""},0),0)&gt;0,mets2418[[#This Row],[name]],TRUE,mets2418[[#This Row],[category]]&amp;"-"&amp;mets2418[[#This Row],[name]])</f>
        <v>BIOSYN-PI-pi_c</v>
      </c>
      <c r="L59" s="149" t="str" cm="1">
        <f t="array" ref="L59">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MET-pi_c --&gt; 0.095979 BIO-pi_c</v>
      </c>
      <c r="M59" s="149" cm="1">
        <f t="array" ref="M5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139.639453</v>
      </c>
      <c r="N59" s="149"/>
      <c r="O59" s="149"/>
      <c r="P59" s="149"/>
      <c r="Q59" s="149"/>
      <c r="R59" s="149"/>
      <c r="S59" s="149"/>
      <c r="T59" s="149"/>
      <c r="U59" s="149"/>
      <c r="V59" s="149"/>
      <c r="AB59" t="str">
        <v>BIOSYN-METAL-k_c</v>
      </c>
      <c r="AC59" t="str">
        <v>MET-k_c --&gt; 0.039098 BIO-k_c</v>
      </c>
    </row>
    <row r="60" spans="1:29" ht="16" x14ac:dyDescent="0.2">
      <c r="A60" s="142" t="s">
        <v>783</v>
      </c>
      <c r="B60" t="str">
        <f>SUBSTITUTE(_xlfn.TEXTBEFORE(mets2418[[#This Row],[pasted JSON metabolite keys and values from GSM biomass rxn]],":"),CHAR(34),"")</f>
        <v>ppi_c</v>
      </c>
      <c r="C60" t="str">
        <f>_xlfn.TEXTBEFORE(mets2418[[#This Row],[name]],"_",-1)</f>
        <v>ppi</v>
      </c>
      <c r="D60">
        <f>_xlfn.XLOOKUP(mets2418[[#This Row],[name w/o location]],metaboliteInfo[name w/o location],metaboliteInfo[suggested category],"")</f>
        <v>0</v>
      </c>
      <c r="E60" s="21">
        <f>_xlfn.XLOOKUP(mets2418[[#This Row],[name w/o location]],metaboliteInfo[name w/o location],metaboliteInfo[MW for biomass normalization (g/mol)],0)</f>
        <v>174.95126200000001</v>
      </c>
      <c r="F60" s="21">
        <f>_xlfn.NUMBERVALUE(SUBSTITUTE(_xlfn.TEXTAFTER(mets2418[[#This Row],[pasted JSON metabolite keys and values from GSM biomass rxn]],":"),",",""))</f>
        <v>0.20936399999999999</v>
      </c>
      <c r="G60" s="21" cm="1">
        <f t="array" ref="G60">_xlfn.LET(_xlpm.id,mets2418[[#This Row],[name w/o location]],IF(IsElementOfSet_DIY(_xlpm.id,{"atp","adp","h","pi","h2o"}),SIGN(mets2418[[#This Row],[raw (GSM) coefficient]])*(ABS(mets2418[[#This Row],[raw (GSM) coefficient]])-$J$2),mets2418[[#This Row],[raw (GSM) coefficient]]))</f>
        <v>0.20936399999999999</v>
      </c>
      <c r="H60" s="21">
        <f>mets2418[[#This Row],[coeff. w/o GAM]]</f>
        <v>0.20936399999999999</v>
      </c>
      <c r="I60" s="161">
        <f t="shared" si="0"/>
        <v>0.22612754800369153</v>
      </c>
      <c r="J60" s="21" cm="1">
        <f t="array" ref="J60">_xlfn.LET(_xlpm.id,mets2418[[#This Row],[name w/o location]],_xlpm.oldcoeff,mets2418[[#This Row],[normalized coeffs]],_xlpm.gam,$J$2-$G$2,_xlfn.IFS(IFERROR(MATCH(_xlpm.id,{"atp","h2o"},0),0)&gt;0,_xlpm.oldcoeff-_xlpm.gam,IFERROR(MATCH(_xlpm.id,{"adp","h","pi"},0),0)&gt;0,_xlpm.oldcoeff+_xlpm.gam,TRUE,_xlpm.oldcoeff))</f>
        <v>0.22612754800369153</v>
      </c>
      <c r="K60" t="str" cm="1">
        <f t="array" ref="K60">"BIOSYN-"&amp;_xlfn.IFS(IFERROR(MATCH(mets2418[[#This Row],[category]],{0,"0",""},0),0)&gt;0,mets2418[[#This Row],[name]],TRUE,mets2418[[#This Row],[category]]&amp;"-"&amp;mets2418[[#This Row],[name]])</f>
        <v>BIOSYN-ppi_c</v>
      </c>
      <c r="L60" s="149" t="str" cm="1">
        <f t="array" ref="L60">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MET-ppi_c --&gt; 0.174951 BIO-ppi_c</v>
      </c>
      <c r="M60" s="149" cm="1">
        <f t="array" ref="M6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0.22612754800369153</v>
      </c>
      <c r="N60" s="149"/>
      <c r="O60" s="149"/>
      <c r="P60" s="149"/>
      <c r="Q60" s="149"/>
      <c r="R60" s="149"/>
      <c r="S60" s="149"/>
      <c r="T60" s="149"/>
      <c r="U60" s="149"/>
      <c r="V60" s="149"/>
      <c r="AB60" t="str">
        <v>BIOSYN-METAL-mg2_c</v>
      </c>
      <c r="AC60" t="str">
        <v>MET-mg2_c --&gt; 0.024305 BIO-mg2_c</v>
      </c>
    </row>
    <row r="61" spans="1:29" ht="16" x14ac:dyDescent="0.2">
      <c r="A61" s="142" t="s">
        <v>784</v>
      </c>
      <c r="B61" t="str">
        <f>SUBSTITUTE(_xlfn.TEXTBEFORE(mets2418[[#This Row],[pasted JSON metabolite keys and values from GSM biomass rxn]],":"),CHAR(34),"")</f>
        <v>protrna_c</v>
      </c>
      <c r="C61" t="str">
        <f>_xlfn.TEXTBEFORE(mets2418[[#This Row],[name]],"_",-1)</f>
        <v>protrna</v>
      </c>
      <c r="D61" t="str">
        <f>_xlfn.XLOOKUP(mets2418[[#This Row],[name w/o location]],metaboliteInfo[name w/o location],metaboliteInfo[suggested category],"")</f>
        <v>PROT</v>
      </c>
      <c r="E61" s="21">
        <f>_xlfn.XLOOKUP(mets2418[[#This Row],[name w/o location]],metaboliteInfo[name w/o location],metaboliteInfo[MW for biomass normalization (g/mol)],0)</f>
        <v>97.115179999999995</v>
      </c>
      <c r="F61" s="21">
        <f>_xlfn.NUMBERVALUE(SUBSTITUTE(_xlfn.TEXTAFTER(mets2418[[#This Row],[pasted JSON metabolite keys and values from GSM biomass rxn]],":"),",",""))</f>
        <v>-0.235897</v>
      </c>
      <c r="G61" s="21" cm="1">
        <f t="array" ref="G61">_xlfn.LET(_xlpm.id,mets2418[[#This Row],[name w/o location]],IF(IsElementOfSet_DIY(_xlpm.id,{"atp","adp","h","pi","h2o"}),SIGN(mets2418[[#This Row],[raw (GSM) coefficient]])*(ABS(mets2418[[#This Row],[raw (GSM) coefficient]])-$J$2),mets2418[[#This Row],[raw (GSM) coefficient]]))</f>
        <v>-0.235897</v>
      </c>
      <c r="H61" s="21">
        <f>mets2418[[#This Row],[coeff. w/o GAM]]</f>
        <v>-0.235897</v>
      </c>
      <c r="I61" s="161">
        <f t="shared" si="0"/>
        <v>-0.25478501648529273</v>
      </c>
      <c r="J61" s="21" cm="1">
        <f t="array" ref="J61">_xlfn.LET(_xlpm.id,mets2418[[#This Row],[name w/o location]],_xlpm.oldcoeff,mets2418[[#This Row],[normalized coeffs]],_xlpm.gam,$J$2-$G$2,_xlfn.IFS(IFERROR(MATCH(_xlpm.id,{"atp","h2o"},0),0)&gt;0,_xlpm.oldcoeff-_xlpm.gam,IFERROR(MATCH(_xlpm.id,{"adp","h","pi"},0),0)&gt;0,_xlpm.oldcoeff+_xlpm.gam,TRUE,_xlpm.oldcoeff))</f>
        <v>-0.25478501648529273</v>
      </c>
      <c r="K61" t="str" cm="1">
        <f t="array" ref="K61">"BIOSYN-"&amp;_xlfn.IFS(IFERROR(MATCH(mets2418[[#This Row],[category]],{0,"0",""},0),0)&gt;0,mets2418[[#This Row],[name]],TRUE,mets2418[[#This Row],[category]]&amp;"-"&amp;mets2418[[#This Row],[name]])</f>
        <v>BIOSYN-PROT-protrna_c</v>
      </c>
      <c r="L61" s="149" t="str" cm="1">
        <f t="array" ref="L61">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61" s="149" cm="1">
        <f t="array" ref="M6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-0.25478501648529273</v>
      </c>
      <c r="N61" s="149"/>
      <c r="O61" s="149"/>
      <c r="P61" s="149"/>
      <c r="Q61" s="149"/>
      <c r="R61" s="149"/>
      <c r="S61" s="149"/>
      <c r="T61" s="149"/>
      <c r="U61" s="149"/>
      <c r="V61" s="149"/>
      <c r="AB61" t="str">
        <v>BIOSYN-METAL-mn2_c</v>
      </c>
      <c r="AC61" t="str">
        <v>MET-mn2_c --&gt; 0.054938 BIO-mn2_c</v>
      </c>
    </row>
    <row r="62" spans="1:29" ht="16" x14ac:dyDescent="0.2">
      <c r="A62" s="142" t="s">
        <v>785</v>
      </c>
      <c r="B62" t="str">
        <f>SUBSTITUTE(_xlfn.TEXTBEFORE(mets2418[[#This Row],[pasted JSON metabolite keys and values from GSM biomass rxn]],":"),CHAR(34),"")</f>
        <v>ps_rm</v>
      </c>
      <c r="C62" t="str">
        <f>_xlfn.TEXTBEFORE(mets2418[[#This Row],[name]],"_",-1)</f>
        <v>ps</v>
      </c>
      <c r="D62" t="str">
        <f>_xlfn.XLOOKUP(mets2418[[#This Row],[name w/o location]],metaboliteInfo[name w/o location],metaboliteInfo[suggested category],"")</f>
        <v>LIPID</v>
      </c>
      <c r="E62" s="21">
        <f>_xlfn.XLOOKUP(mets2418[[#This Row],[name w/o location]],metaboliteInfo[name w/o location],metaboliteInfo[MW for biomass normalization (g/mol)],0)</f>
        <v>786.07881442175994</v>
      </c>
      <c r="F62" s="21">
        <f>_xlfn.NUMBERVALUE(SUBSTITUTE(_xlfn.TEXTAFTER(mets2418[[#This Row],[pasted JSON metabolite keys and values from GSM biomass rxn]],":"),",",""))</f>
        <v>-2.0000000000000002E-5</v>
      </c>
      <c r="G62" s="21" cm="1">
        <f t="array" ref="G62">_xlfn.LET(_xlpm.id,mets2418[[#This Row],[name w/o location]],IF(IsElementOfSet_DIY(_xlpm.id,{"atp","adp","h","pi","h2o"}),SIGN(mets2418[[#This Row],[raw (GSM) coefficient]])*(ABS(mets2418[[#This Row],[raw (GSM) coefficient]])-$J$2),mets2418[[#This Row],[raw (GSM) coefficient]]))</f>
        <v>-2.0000000000000002E-5</v>
      </c>
      <c r="H62" s="21">
        <f>mets2418[[#This Row],[coeff. w/o GAM]]</f>
        <v>-2.0000000000000002E-5</v>
      </c>
      <c r="I62" s="161">
        <f t="shared" si="0"/>
        <v>-2.1601378269778143E-5</v>
      </c>
      <c r="J62" s="21" cm="1">
        <f t="array" ref="J62">_xlfn.LET(_xlpm.id,mets2418[[#This Row],[name w/o location]],_xlpm.oldcoeff,mets2418[[#This Row],[normalized coeffs]],_xlpm.gam,$J$2-$G$2,_xlfn.IFS(IFERROR(MATCH(_xlpm.id,{"atp","h2o"},0),0)&gt;0,_xlpm.oldcoeff-_xlpm.gam,IFERROR(MATCH(_xlpm.id,{"adp","h","pi"},0),0)&gt;0,_xlpm.oldcoeff+_xlpm.gam,TRUE,_xlpm.oldcoeff))</f>
        <v>-2.1601378269778143E-5</v>
      </c>
      <c r="K62" t="str" cm="1">
        <f t="array" ref="K62">"BIOSYN-"&amp;_xlfn.IFS(IFERROR(MATCH(mets2418[[#This Row],[category]],{0,"0",""},0),0)&gt;0,mets2418[[#This Row],[name]],TRUE,mets2418[[#This Row],[category]]&amp;"-"&amp;mets2418[[#This Row],[name]])</f>
        <v>BIOSYN-LIPID-ps_rm</v>
      </c>
      <c r="L62" s="149" t="str" cm="1">
        <f t="array" ref="L62">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MET-ps_rm --&gt; 0.786079 BIO-ps_rm</v>
      </c>
      <c r="M62" s="149" cm="1">
        <f t="array" ref="M6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-2.1601378269778143E-5</v>
      </c>
      <c r="N62" s="149"/>
      <c r="O62" s="149"/>
      <c r="P62" s="149"/>
      <c r="Q62" s="149"/>
      <c r="R62" s="149"/>
      <c r="S62" s="149"/>
      <c r="T62" s="149"/>
      <c r="U62" s="149"/>
      <c r="V62" s="149"/>
      <c r="AB62" t="str">
        <v>BIOSYN-METAL-zn2_c</v>
      </c>
      <c r="AC62" t="str">
        <v>MET-zn2_c --&gt; 0.06538 BIO-zn2_c</v>
      </c>
    </row>
    <row r="63" spans="1:29" ht="16" x14ac:dyDescent="0.2">
      <c r="A63" s="142" t="s">
        <v>786</v>
      </c>
      <c r="B63" t="str">
        <f>SUBSTITUTE(_xlfn.TEXTBEFORE(mets2418[[#This Row],[pasted JSON metabolite keys and values from GSM biomass rxn]],":"),CHAR(34),"")</f>
        <v>psphings_r</v>
      </c>
      <c r="C63" t="str">
        <f>_xlfn.TEXTBEFORE(mets2418[[#This Row],[name]],"_",-1)</f>
        <v>psphings</v>
      </c>
      <c r="D63" t="str">
        <f>_xlfn.XLOOKUP(mets2418[[#This Row],[name w/o location]],metaboliteInfo[name w/o location],metaboliteInfo[suggested category],"")</f>
        <v>other</v>
      </c>
      <c r="E63" s="21">
        <f>_xlfn.XLOOKUP(mets2418[[#This Row],[name w/o location]],metaboliteInfo[name w/o location],metaboliteInfo[MW for biomass normalization (g/mol)],0)</f>
        <v>318.51510000000002</v>
      </c>
      <c r="F63" s="21">
        <f>_xlfn.NUMBERVALUE(SUBSTITUTE(_xlfn.TEXTAFTER(mets2418[[#This Row],[pasted JSON metabolite keys and values from GSM biomass rxn]],":"),",",""))</f>
        <v>-4.006E-3</v>
      </c>
      <c r="G63" s="21" cm="1">
        <f t="array" ref="G63">_xlfn.LET(_xlpm.id,mets2418[[#This Row],[name w/o location]],IF(IsElementOfSet_DIY(_xlpm.id,{"atp","adp","h","pi","h2o"}),SIGN(mets2418[[#This Row],[raw (GSM) coefficient]])*(ABS(mets2418[[#This Row],[raw (GSM) coefficient]])-$J$2),mets2418[[#This Row],[raw (GSM) coefficient]]))</f>
        <v>-4.006E-3</v>
      </c>
      <c r="H63" s="21">
        <f>mets2418[[#This Row],[coeff. w/o GAM]]</f>
        <v>-4.006E-3</v>
      </c>
      <c r="I63" s="161">
        <f t="shared" si="0"/>
        <v>-4.3267560674365617E-3</v>
      </c>
      <c r="J63" s="21" cm="1">
        <f t="array" ref="J63">_xlfn.LET(_xlpm.id,mets2418[[#This Row],[name w/o location]],_xlpm.oldcoeff,mets2418[[#This Row],[normalized coeffs]],_xlpm.gam,$J$2-$G$2,_xlfn.IFS(IFERROR(MATCH(_xlpm.id,{"atp","h2o"},0),0)&gt;0,_xlpm.oldcoeff-_xlpm.gam,IFERROR(MATCH(_xlpm.id,{"adp","h","pi"},0),0)&gt;0,_xlpm.oldcoeff+_xlpm.gam,TRUE,_xlpm.oldcoeff))</f>
        <v>-4.3267560674365617E-3</v>
      </c>
      <c r="K63" t="str" cm="1">
        <f t="array" ref="K63">"BIOSYN-"&amp;_xlfn.IFS(IFERROR(MATCH(mets2418[[#This Row],[category]],{0,"0",""},0),0)&gt;0,mets2418[[#This Row],[name]],TRUE,mets2418[[#This Row],[category]]&amp;"-"&amp;mets2418[[#This Row],[name]])</f>
        <v>BIOSYN-other-psphings_r</v>
      </c>
      <c r="L63" s="149" t="str" cm="1">
        <f t="array" ref="L63">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MET-psphings_r --&gt; 0.318515 BIO-psphings_r</v>
      </c>
      <c r="M63" s="149" cm="1">
        <f t="array" ref="M63">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-4.3267560674365617E-3</v>
      </c>
      <c r="N63" s="149"/>
      <c r="O63" s="149"/>
      <c r="P63" s="149"/>
      <c r="Q63" s="149"/>
      <c r="R63" s="149"/>
      <c r="S63" s="149"/>
      <c r="T63" s="149"/>
      <c r="U63" s="149"/>
      <c r="V63" s="149"/>
      <c r="AB63" t="str">
        <v>BIOSYN-other-camp_c</v>
      </c>
      <c r="AC63" t="str">
        <v>MET-camp_c --&gt; 0.328198 BIO-camp_c</v>
      </c>
    </row>
    <row r="64" spans="1:29" ht="16" x14ac:dyDescent="0.2">
      <c r="A64" s="142" t="s">
        <v>787</v>
      </c>
      <c r="B64" t="str">
        <f>SUBSTITUTE(_xlfn.TEXTBEFORE(mets2418[[#This Row],[pasted JSON metabolite keys and values from GSM biomass rxn]],":"),CHAR(34),"")</f>
        <v>pail_rm</v>
      </c>
      <c r="C64" t="str">
        <f>_xlfn.TEXTBEFORE(mets2418[[#This Row],[name]],"_",-1)</f>
        <v>pail</v>
      </c>
      <c r="D64" t="str">
        <f>_xlfn.XLOOKUP(mets2418[[#This Row],[name w/o location]],metaboliteInfo[name w/o location],metaboliteInfo[suggested category],"")</f>
        <v>LIPID</v>
      </c>
      <c r="E64" s="21">
        <f>_xlfn.XLOOKUP(mets2418[[#This Row],[name w/o location]],metaboliteInfo[name w/o location],metaboliteInfo[MW for biomass normalization (g/mol)],0)</f>
        <v>862.14885442176001</v>
      </c>
      <c r="F64" s="21">
        <f>_xlfn.NUMBERVALUE(SUBSTITUTE(_xlfn.TEXTAFTER(mets2418[[#This Row],[pasted JSON metabolite keys and values from GSM biomass rxn]],":"),",",""))</f>
        <v>-4.6999999999999997E-5</v>
      </c>
      <c r="G64" s="21" cm="1">
        <f t="array" ref="G64">_xlfn.LET(_xlpm.id,mets2418[[#This Row],[name w/o location]],IF(IsElementOfSet_DIY(_xlpm.id,{"atp","adp","h","pi","h2o"}),SIGN(mets2418[[#This Row],[raw (GSM) coefficient]])*(ABS(mets2418[[#This Row],[raw (GSM) coefficient]])-$J$2),mets2418[[#This Row],[raw (GSM) coefficient]]))</f>
        <v>-4.6999999999999997E-5</v>
      </c>
      <c r="H64" s="21">
        <f>mets2418[[#This Row],[coeff. w/o GAM]]</f>
        <v>-4.6999999999999997E-5</v>
      </c>
      <c r="I64" s="161">
        <f t="shared" si="0"/>
        <v>-5.0763238933978629E-5</v>
      </c>
      <c r="J64" s="21" cm="1">
        <f t="array" ref="J64">_xlfn.LET(_xlpm.id,mets2418[[#This Row],[name w/o location]],_xlpm.oldcoeff,mets2418[[#This Row],[normalized coeffs]],_xlpm.gam,$J$2-$G$2,_xlfn.IFS(IFERROR(MATCH(_xlpm.id,{"atp","h2o"},0),0)&gt;0,_xlpm.oldcoeff-_xlpm.gam,IFERROR(MATCH(_xlpm.id,{"adp","h","pi"},0),0)&gt;0,_xlpm.oldcoeff+_xlpm.gam,TRUE,_xlpm.oldcoeff))</f>
        <v>-5.0763238933978629E-5</v>
      </c>
      <c r="K64" t="str" cm="1">
        <f t="array" ref="K64">"BIOSYN-"&amp;_xlfn.IFS(IFERROR(MATCH(mets2418[[#This Row],[category]],{0,"0",""},0),0)&gt;0,mets2418[[#This Row],[name]],TRUE,mets2418[[#This Row],[category]]&amp;"-"&amp;mets2418[[#This Row],[name]])</f>
        <v>BIOSYN-LIPID-pail_rm</v>
      </c>
      <c r="L64" s="149" t="str" cm="1">
        <f t="array" ref="L64">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MET-pail_rm --&gt; 0.862149 BIO-pail_rm</v>
      </c>
      <c r="M64" s="149" cm="1">
        <f t="array" ref="M64">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-5.0763238933978629E-5</v>
      </c>
      <c r="N64" s="149"/>
      <c r="O64" s="149"/>
      <c r="P64" s="149"/>
      <c r="Q64" s="149"/>
      <c r="R64" s="149"/>
      <c r="S64" s="149"/>
      <c r="T64" s="149"/>
      <c r="U64" s="149"/>
      <c r="V64" s="149"/>
      <c r="AB64" t="str">
        <v>BIOSYN-other-gthrd_c</v>
      </c>
      <c r="AC64" t="str">
        <v>MET-gthrd_c --&gt; 0.306316 BIO-gthrd_c</v>
      </c>
    </row>
    <row r="65" spans="1:29" ht="16" x14ac:dyDescent="0.2">
      <c r="A65" s="142" t="s">
        <v>788</v>
      </c>
      <c r="B65" t="str">
        <f>SUBSTITUTE(_xlfn.TEXTBEFORE(mets2418[[#This Row],[pasted JSON metabolite keys and values from GSM biomass rxn]],":"),CHAR(34),"")</f>
        <v>ptrc_c</v>
      </c>
      <c r="C65" t="str">
        <f>_xlfn.TEXTBEFORE(mets2418[[#This Row],[name]],"_",-1)</f>
        <v>ptrc</v>
      </c>
      <c r="D65" t="str">
        <f>_xlfn.XLOOKUP(mets2418[[#This Row],[name w/o location]],metaboliteInfo[name w/o location],metaboliteInfo[suggested category],"")</f>
        <v>other</v>
      </c>
      <c r="E65" s="21">
        <f>_xlfn.XLOOKUP(mets2418[[#This Row],[name w/o location]],metaboliteInfo[name w/o location],metaboliteInfo[MW for biomass normalization (g/mol)],0)</f>
        <v>90.167360000000002</v>
      </c>
      <c r="F65" s="21">
        <f>_xlfn.NUMBERVALUE(SUBSTITUTE(_xlfn.TEXTAFTER(mets2418[[#This Row],[pasted JSON metabolite keys and values from GSM biomass rxn]],":"),",",""))</f>
        <v>-6.5240000000000003E-3</v>
      </c>
      <c r="G65" s="21" cm="1">
        <f t="array" ref="G65">_xlfn.LET(_xlpm.id,mets2418[[#This Row],[name w/o location]],IF(IsElementOfSet_DIY(_xlpm.id,{"atp","adp","h","pi","h2o"}),SIGN(mets2418[[#This Row],[raw (GSM) coefficient]])*(ABS(mets2418[[#This Row],[raw (GSM) coefficient]])-$J$2),mets2418[[#This Row],[raw (GSM) coefficient]]))</f>
        <v>-6.5240000000000003E-3</v>
      </c>
      <c r="H65" s="21">
        <f>mets2418[[#This Row],[coeff. w/o GAM]]</f>
        <v>-6.5240000000000003E-3</v>
      </c>
      <c r="I65" s="161">
        <f t="shared" si="0"/>
        <v>-7.0463695916016299E-3</v>
      </c>
      <c r="J65" s="21" cm="1">
        <f t="array" ref="J65">_xlfn.LET(_xlpm.id,mets2418[[#This Row],[name w/o location]],_xlpm.oldcoeff,mets2418[[#This Row],[normalized coeffs]],_xlpm.gam,$J$2-$G$2,_xlfn.IFS(IFERROR(MATCH(_xlpm.id,{"atp","h2o"},0),0)&gt;0,_xlpm.oldcoeff-_xlpm.gam,IFERROR(MATCH(_xlpm.id,{"adp","h","pi"},0),0)&gt;0,_xlpm.oldcoeff+_xlpm.gam,TRUE,_xlpm.oldcoeff))</f>
        <v>-7.0463695916016299E-3</v>
      </c>
      <c r="K65" t="str" cm="1">
        <f t="array" ref="K65">"BIOSYN-"&amp;_xlfn.IFS(IFERROR(MATCH(mets2418[[#This Row],[category]],{0,"0",""},0),0)&gt;0,mets2418[[#This Row],[name]],TRUE,mets2418[[#This Row],[category]]&amp;"-"&amp;mets2418[[#This Row],[name]])</f>
        <v>BIOSYN-other-ptrc_c</v>
      </c>
      <c r="L65" s="149" t="str" cm="1">
        <f t="array" ref="L65">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MET-ptrc_c --&gt; 0.090167 BIO-ptrc_c</v>
      </c>
      <c r="M65" s="149" cm="1">
        <f t="array" ref="M65">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-7.0463695916016299E-3</v>
      </c>
      <c r="N65" s="149"/>
      <c r="O65" s="149"/>
      <c r="P65" s="149"/>
      <c r="Q65" s="149"/>
      <c r="R65" s="149"/>
      <c r="S65" s="149"/>
      <c r="T65" s="149"/>
      <c r="U65" s="149"/>
      <c r="V65" s="149"/>
      <c r="AB65" t="str">
        <v>BIOSYN-other-mlthf_c</v>
      </c>
      <c r="AC65" t="str">
        <v>MET-mlthf_c --&gt; 0.455424 BIO-mlthf_c</v>
      </c>
    </row>
    <row r="66" spans="1:29" ht="16" x14ac:dyDescent="0.2">
      <c r="A66" s="142" t="s">
        <v>789</v>
      </c>
      <c r="B66" t="str">
        <f>SUBSTITUTE(_xlfn.TEXTBEFORE(mets2418[[#This Row],[pasted JSON metabolite keys and values from GSM biomass rxn]],":"),CHAR(34),"")</f>
        <v>pydx5p_c</v>
      </c>
      <c r="C66" t="str">
        <f>_xlfn.TEXTBEFORE(mets2418[[#This Row],[name]],"_",-1)</f>
        <v>pydx5p</v>
      </c>
      <c r="D66" t="str">
        <f>_xlfn.XLOOKUP(mets2418[[#This Row],[name w/o location]],metaboliteInfo[name w/o location],metaboliteInfo[suggested category],"")</f>
        <v>COFACTOR</v>
      </c>
      <c r="E66" s="21">
        <f>_xlfn.XLOOKUP(mets2418[[#This Row],[name w/o location]],metaboliteInfo[name w/o location],metaboliteInfo[MW for biomass normalization (g/mol)],0)</f>
        <v>245.126</v>
      </c>
      <c r="F66" s="21">
        <f>_xlfn.NUMBERVALUE(SUBSTITUTE(_xlfn.TEXTAFTER(mets2418[[#This Row],[pasted JSON metabolite keys and values from GSM biomass rxn]],":"),",",""))</f>
        <v>-2.3999999999999998E-3</v>
      </c>
      <c r="G66" s="21" cm="1">
        <f t="array" ref="G66">_xlfn.LET(_xlpm.id,mets2418[[#This Row],[name w/o location]],IF(IsElementOfSet_DIY(_xlpm.id,{"atp","adp","h","pi","h2o"}),SIGN(mets2418[[#This Row],[raw (GSM) coefficient]])*(ABS(mets2418[[#This Row],[raw (GSM) coefficient]])-$J$2),mets2418[[#This Row],[raw (GSM) coefficient]]))</f>
        <v>-2.3999999999999998E-3</v>
      </c>
      <c r="H66" s="21">
        <f>mets2418[[#This Row],[coeff. w/o GAM]]</f>
        <v>-2.3999999999999998E-3</v>
      </c>
      <c r="I66" s="161">
        <f t="shared" si="0"/>
        <v>-2.5921653923733769E-3</v>
      </c>
      <c r="J66" s="21" cm="1">
        <f t="array" ref="J66">_xlfn.LET(_xlpm.id,mets2418[[#This Row],[name w/o location]],_xlpm.oldcoeff,mets2418[[#This Row],[normalized coeffs]],_xlpm.gam,$J$2-$G$2,_xlfn.IFS(IFERROR(MATCH(_xlpm.id,{"atp","h2o"},0),0)&gt;0,_xlpm.oldcoeff-_xlpm.gam,IFERROR(MATCH(_xlpm.id,{"adp","h","pi"},0),0)&gt;0,_xlpm.oldcoeff+_xlpm.gam,TRUE,_xlpm.oldcoeff))</f>
        <v>-2.5921653923733769E-3</v>
      </c>
      <c r="K66" t="str" cm="1">
        <f t="array" ref="K66">"BIOSYN-"&amp;_xlfn.IFS(IFERROR(MATCH(mets2418[[#This Row],[category]],{0,"0",""},0),0)&gt;0,mets2418[[#This Row],[name]],TRUE,mets2418[[#This Row],[category]]&amp;"-"&amp;mets2418[[#This Row],[name]])</f>
        <v>BIOSYN-COFACTOR-pydx5p_c</v>
      </c>
      <c r="L66" s="149" t="str" cm="1">
        <f t="array" ref="L66">IF(IsElementOfSet_DIY(mets2418[[#This Row],[category]],{"ignore","PROT"}),"",_xlfn.LET(_xlpm.mw,mets2418[[#This Row],[MW for biomass normalization (g/mol)]],"MET-"&amp;mets2418[[#This Row],[name]]&amp;" --&gt; "&amp;IF((mets2418[[#This Row],[category]]="DNA")+(mets2418[[#This Row],[category]]="RNA"),"MET-ppi_c + ","")&amp;ROUND(ABS(_xlpm.mw/1000),6)&amp;" BIO-"&amp;mets2418[[#This Row],[name]]))</f>
        <v>MET-pydx5p_c --&gt; 0.245126 BIO-pydx5p_c</v>
      </c>
      <c r="M66" s="149" cm="1">
        <f t="array" ref="M6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-2.5921653923733769E-3</v>
      </c>
      <c r="N66" s="149"/>
      <c r="O66" s="149"/>
      <c r="P66" s="149"/>
      <c r="Q66" s="149"/>
      <c r="R66" s="149"/>
      <c r="S66" s="149"/>
      <c r="T66" s="149"/>
      <c r="U66" s="149"/>
      <c r="V66" s="149"/>
      <c r="AB66" t="str">
        <v>BIOSYN-other-na1_c</v>
      </c>
      <c r="AC66" t="str">
        <v>MET-na1_c --&gt; 0.02299 BIO-na1_c</v>
      </c>
    </row>
    <row r="67" spans="1:29" ht="16" x14ac:dyDescent="0.2">
      <c r="A67" s="142" t="s">
        <v>790</v>
      </c>
      <c r="B67" t="str">
        <f>SUBSTITUTE(_xlfn.TEXTBEFORE(mets2418[[#This Row],[pasted JSON metabolite keys and values from GSM biomass rxn]],":"),CHAR(34),"")</f>
        <v>q9_m</v>
      </c>
      <c r="C67" t="str">
        <f>_xlfn.TEXTBEFORE(mets2418[[#This Row],[name]],"_",-1)</f>
        <v>q9</v>
      </c>
      <c r="D67" t="str">
        <f>_xlfn.XLOOKUP(mets2418[[#This Row],[name w/o location]],metaboliteInfo[name w/o location],metaboliteInfo[suggested category],"")</f>
        <v>other</v>
      </c>
      <c r="E67" s="21">
        <f>_xlfn.XLOOKUP(mets2418[[#This Row],[name w/o location]],metaboliteInfo[name w/o location],metaboliteInfo[MW for biomass normalization (g/mol)],0)</f>
        <v>795.22648000000004</v>
      </c>
      <c r="F67" s="21">
        <f>_xlfn.NUMBERVALUE(SUBSTITUTE(_xlfn.TEXTAFTER(mets2418[[#This Row],[pasted JSON metabolite keys and values from GSM biomass rxn]],":"),",",""))</f>
        <v>-7.3999999999999999E-4</v>
      </c>
      <c r="G67" s="21" cm="1">
        <f t="array" ref="G67">_xlfn.LET(_xlpm.id,mets2418[[#This Row],[name w/o location]],IF(IsElementOfSet_DIY(_xlpm.id,{"atp","adp","h","pi","h2o"}),SIGN(mets2418[[#This Row],[raw (GSM) coefficient]])*(ABS(mets2418[[#This Row],[raw (GSM) coefficient]])-$J$2),mets2418[[#This Row],[raw (GSM) coefficient]]))</f>
        <v>-7.3999999999999999E-4</v>
      </c>
      <c r="H67" s="21">
        <f>mets2418[[#This Row],[coeff. w/o GAM]]</f>
        <v>-7.3999999999999999E-4</v>
      </c>
      <c r="I67" s="161">
        <f t="shared" si="0"/>
        <v>-7.9925099598179123E-4</v>
      </c>
      <c r="J67" s="21" cm="1">
        <f t="array" ref="J67">_xlfn.LET(_xlpm.id,mets2418[[#This Row],[name w/o location]],_xlpm.oldcoeff,mets2418[[#This Row],[normalized coeffs]],_xlpm.gam,$J$2-$G$2,_xlfn.IFS(IFERROR(MATCH(_xlpm.id,{"atp","h2o"},0),0)&gt;0,_xlpm.oldcoeff-_xlpm.gam,IFERROR(MATCH(_xlpm.id,{"adp","h","pi"},0),0)&gt;0,_xlpm.oldcoeff+_xlpm.gam,TRUE,_xlpm.oldcoeff))</f>
        <v>-7.9925099598179123E-4</v>
      </c>
      <c r="K67" t="str" cm="1">
        <f t="array" ref="K67">"BIOSYN-"&amp;_xlfn.IFS(IFERROR(MATCH(mets2418[[#This Row],[category]],{0,"0",""},0),0)&gt;0,mets2418[[#This Row],[name]],TRUE,mets2418[[#This Row],[category]]&amp;"-"&amp;mets2418[[#This Row],[name]])</f>
        <v>BIOSYN-other-q9_m</v>
      </c>
      <c r="L67" s="149" t="str" cm="1">
        <f t="array" ref="L67">IF(IsElementOfSet_DIY(mets2418[[#This Row],[category]],{"ignore","PROT"}),"",_xlfn.LET(_xlpm.mw,mets2418[[#This Row],[MW for biomass normalization (g/mol)]],"MET-"&amp;mets2418[[#This Row],[name]]&amp;" --&gt; "&amp;IF((mets2418[[#This Row],[category]]="DNA")+(mets2418[[#This Row],[category]]="RNA"),"MET-ppi_c + ","")&amp;ROUND(ABS(_xlpm.mw/1000),6)&amp;" BIO-"&amp;mets2418[[#This Row],[name]]))</f>
        <v>MET-q9_m --&gt; 0.795226 BIO-q9_m</v>
      </c>
      <c r="M67" s="149" cm="1">
        <f t="array" ref="M6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-7.9925099598179123E-4</v>
      </c>
      <c r="N67" s="149"/>
      <c r="O67" s="149"/>
      <c r="P67" s="149"/>
      <c r="Q67" s="149"/>
      <c r="R67" s="149"/>
      <c r="S67" s="149"/>
      <c r="T67" s="149"/>
      <c r="U67" s="149"/>
      <c r="V67" s="149"/>
      <c r="AB67" t="str">
        <v>BIOSYN-other-pa_rm</v>
      </c>
      <c r="AC67" t="str">
        <v>MET-pa_rm --&gt; 69.581538 BIO-pa_rm</v>
      </c>
    </row>
    <row r="68" spans="1:29" ht="16" x14ac:dyDescent="0.2">
      <c r="A68" s="142" t="s">
        <v>791</v>
      </c>
      <c r="B68" t="str">
        <f>SUBSTITUTE(_xlfn.TEXTBEFORE(mets2418[[#This Row],[pasted JSON metabolite keys and values from GSM biomass rxn]],":"),CHAR(34),"")</f>
        <v>ribflv_c</v>
      </c>
      <c r="C68" t="str">
        <f>_xlfn.TEXTBEFORE(mets2418[[#This Row],[name]],"_",-1)</f>
        <v>ribflv</v>
      </c>
      <c r="D68" t="str">
        <f>_xlfn.XLOOKUP(mets2418[[#This Row],[name w/o location]],metaboliteInfo[name w/o location],metaboliteInfo[suggested category],"")</f>
        <v>COFACTOR</v>
      </c>
      <c r="E68" s="21">
        <f>_xlfn.XLOOKUP(mets2418[[#This Row],[name w/o location]],metaboliteInfo[name w/o location],metaboliteInfo[MW for biomass normalization (g/mol)],0)</f>
        <v>375.35595999999998</v>
      </c>
      <c r="F68" s="21">
        <f>_xlfn.NUMBERVALUE(SUBSTITUTE(_xlfn.TEXTAFTER(mets2418[[#This Row],[pasted JSON metabolite keys and values from GSM biomass rxn]],":"),",",""))</f>
        <v>-9.8999999999999999E-4</v>
      </c>
      <c r="G68" s="21" cm="1">
        <f t="array" ref="G68">_xlfn.LET(_xlpm.id,mets2418[[#This Row],[name w/o location]],IF(IsElementOfSet_DIY(_xlpm.id,{"atp","adp","h","pi","h2o"}),SIGN(mets2418[[#This Row],[raw (GSM) coefficient]])*(ABS(mets2418[[#This Row],[raw (GSM) coefficient]])-$J$2),mets2418[[#This Row],[raw (GSM) coefficient]]))</f>
        <v>-9.8999999999999999E-4</v>
      </c>
      <c r="H68" s="21">
        <f>mets2418[[#This Row],[coeff. w/o GAM]]</f>
        <v>-9.8999999999999999E-4</v>
      </c>
      <c r="I68" s="161">
        <f t="shared" si="0"/>
        <v>-1.069268224354018E-3</v>
      </c>
      <c r="J68" s="21" cm="1">
        <f t="array" ref="J68">_xlfn.LET(_xlpm.id,mets2418[[#This Row],[name w/o location]],_xlpm.oldcoeff,mets2418[[#This Row],[normalized coeffs]],_xlpm.gam,$J$2-$G$2,_xlfn.IFS(IFERROR(MATCH(_xlpm.id,{"atp","h2o"},0),0)&gt;0,_xlpm.oldcoeff-_xlpm.gam,IFERROR(MATCH(_xlpm.id,{"adp","h","pi"},0),0)&gt;0,_xlpm.oldcoeff+_xlpm.gam,TRUE,_xlpm.oldcoeff))</f>
        <v>-1.069268224354018E-3</v>
      </c>
      <c r="K68" t="str" cm="1">
        <f t="array" ref="K68">"BIOSYN-"&amp;_xlfn.IFS(IFERROR(MATCH(mets2418[[#This Row],[category]],{0,"0",""},0),0)&gt;0,mets2418[[#This Row],[name]],TRUE,mets2418[[#This Row],[category]]&amp;"-"&amp;mets2418[[#This Row],[name]])</f>
        <v>BIOSYN-COFACTOR-ribflv_c</v>
      </c>
      <c r="L68" s="149" t="str" cm="1">
        <f t="array" ref="L68">IF(IsElementOfSet_DIY(mets2418[[#This Row],[category]],{"ignore","PROT"}),"",_xlfn.LET(_xlpm.mw,mets2418[[#This Row],[MW for biomass normalization (g/mol)]],"MET-"&amp;mets2418[[#This Row],[name]]&amp;" --&gt; "&amp;IF((mets2418[[#This Row],[category]]="DNA")+(mets2418[[#This Row],[category]]="RNA"),"MET-ppi_c + ","")&amp;ROUND(ABS(_xlpm.mw/1000),6)&amp;" BIO-"&amp;mets2418[[#This Row],[name]]))</f>
        <v>MET-ribflv_c --&gt; 0.375356 BIO-ribflv_c</v>
      </c>
      <c r="M68" s="149" cm="1">
        <f t="array" ref="M6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-1.069268224354018E-3</v>
      </c>
      <c r="N68" s="149"/>
      <c r="O68" s="149"/>
      <c r="P68" s="149"/>
      <c r="Q68" s="149"/>
      <c r="R68" s="149"/>
      <c r="S68" s="149"/>
      <c r="T68" s="149"/>
      <c r="U68" s="149"/>
      <c r="V68" s="149"/>
      <c r="AB68" t="str">
        <v>BIOSYN-other-psphings_r</v>
      </c>
      <c r="AC68" t="str">
        <v>MET-psphings_r --&gt; 0.318515 BIO-psphings_r</v>
      </c>
    </row>
    <row r="69" spans="1:29" ht="16" x14ac:dyDescent="0.2">
      <c r="A69" s="142" t="s">
        <v>792</v>
      </c>
      <c r="B69" t="str">
        <f>SUBSTITUTE(_xlfn.TEXTBEFORE(mets2418[[#This Row],[pasted JSON metabolite keys and values from GSM biomass rxn]],":"),CHAR(34),"")</f>
        <v>sertrna_c</v>
      </c>
      <c r="C69" t="str">
        <f>_xlfn.TEXTBEFORE(mets2418[[#This Row],[name]],"_",-1)</f>
        <v>sertrna</v>
      </c>
      <c r="D69" t="str">
        <f>_xlfn.XLOOKUP(mets2418[[#This Row],[name w/o location]],metaboliteInfo[name w/o location],metaboliteInfo[suggested category],"")</f>
        <v>PROT</v>
      </c>
      <c r="E69" s="21">
        <f>_xlfn.XLOOKUP(mets2418[[#This Row],[name w/o location]],metaboliteInfo[name w/o location],metaboliteInfo[MW for biomass normalization (g/mol)],0)</f>
        <v>88.085239999999999</v>
      </c>
      <c r="F69" s="21">
        <f>_xlfn.NUMBERVALUE(SUBSTITUTE(_xlfn.TEXTAFTER(mets2418[[#This Row],[pasted JSON metabolite keys and values from GSM biomass rxn]],":"),",",""))</f>
        <v>-0.33687</v>
      </c>
      <c r="G69" s="21" cm="1">
        <f t="array" ref="G69">_xlfn.LET(_xlpm.id,mets2418[[#This Row],[name w/o location]],IF(IsElementOfSet_DIY(_xlpm.id,{"atp","adp","h","pi","h2o"}),SIGN(mets2418[[#This Row],[raw (GSM) coefficient]])*(ABS(mets2418[[#This Row],[raw (GSM) coefficient]])-$J$2),mets2418[[#This Row],[raw (GSM) coefficient]]))</f>
        <v>-0.33687</v>
      </c>
      <c r="H69" s="21">
        <f>mets2418[[#This Row],[coeff. w/o GAM]]</f>
        <v>-0.33687</v>
      </c>
      <c r="I69" s="161">
        <f t="shared" si="0"/>
        <v>-0.36384281488700815</v>
      </c>
      <c r="J69" s="21" cm="1">
        <f t="array" ref="J69">_xlfn.LET(_xlpm.id,mets2418[[#This Row],[name w/o location]],_xlpm.oldcoeff,mets2418[[#This Row],[normalized coeffs]],_xlpm.gam,$J$2-$G$2,_xlfn.IFS(IFERROR(MATCH(_xlpm.id,{"atp","h2o"},0),0)&gt;0,_xlpm.oldcoeff-_xlpm.gam,IFERROR(MATCH(_xlpm.id,{"adp","h","pi"},0),0)&gt;0,_xlpm.oldcoeff+_xlpm.gam,TRUE,_xlpm.oldcoeff))</f>
        <v>-0.36384281488700815</v>
      </c>
      <c r="K69" t="str" cm="1">
        <f t="array" ref="K69">"BIOSYN-"&amp;_xlfn.IFS(IFERROR(MATCH(mets2418[[#This Row],[category]],{0,"0",""},0),0)&gt;0,mets2418[[#This Row],[name]],TRUE,mets2418[[#This Row],[category]]&amp;"-"&amp;mets2418[[#This Row],[name]])</f>
        <v>BIOSYN-PROT-sertrna_c</v>
      </c>
      <c r="L69" s="149" t="str" cm="1">
        <f t="array" ref="L69">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69" s="149" cm="1">
        <f t="array" ref="M6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-0.36384281488700815</v>
      </c>
      <c r="N69" s="149"/>
      <c r="O69" s="149"/>
      <c r="P69" s="149"/>
      <c r="Q69" s="149"/>
      <c r="R69" s="149"/>
      <c r="S69" s="149"/>
      <c r="T69" s="149"/>
      <c r="U69" s="149"/>
      <c r="V69" s="149"/>
      <c r="AB69" t="str">
        <v>BIOSYN-other-ptrc_c</v>
      </c>
      <c r="AC69" t="str">
        <v>MET-ptrc_c --&gt; 0.090167 BIO-ptrc_c</v>
      </c>
    </row>
    <row r="70" spans="1:29" ht="16" x14ac:dyDescent="0.2">
      <c r="A70" s="142" t="s">
        <v>793</v>
      </c>
      <c r="B70" t="str">
        <f>SUBSTITUTE(_xlfn.TEXTBEFORE(mets2418[[#This Row],[pasted JSON metabolite keys and values from GSM biomass rxn]],":"),CHAR(34),"")</f>
        <v>spmd_c</v>
      </c>
      <c r="C70" t="str">
        <f>_xlfn.TEXTBEFORE(mets2418[[#This Row],[name]],"_",-1)</f>
        <v>spmd</v>
      </c>
      <c r="D70" t="str">
        <f>_xlfn.XLOOKUP(mets2418[[#This Row],[name w/o location]],metaboliteInfo[name w/o location],metaboliteInfo[suggested category],"")</f>
        <v>COFACTOR</v>
      </c>
      <c r="E70" s="21">
        <f>_xlfn.XLOOKUP(mets2418[[#This Row],[name w/o location]],metaboliteInfo[name w/o location],metaboliteInfo[MW for biomass normalization (g/mol)],0)</f>
        <v>148.26967999999999</v>
      </c>
      <c r="F70" s="21">
        <f>_xlfn.NUMBERVALUE(SUBSTITUTE(_xlfn.TEXTAFTER(mets2418[[#This Row],[pasted JSON metabolite keys and values from GSM biomass rxn]],":"),",",""))</f>
        <v>-3.967E-3</v>
      </c>
      <c r="G70" s="21" cm="1">
        <f t="array" ref="G70">_xlfn.LET(_xlpm.id,mets2418[[#This Row],[name w/o location]],IF(IsElementOfSet_DIY(_xlpm.id,{"atp","adp","h","pi","h2o"}),SIGN(mets2418[[#This Row],[raw (GSM) coefficient]])*(ABS(mets2418[[#This Row],[raw (GSM) coefficient]])-$J$2),mets2418[[#This Row],[raw (GSM) coefficient]]))</f>
        <v>-3.967E-3</v>
      </c>
      <c r="H70" s="21">
        <f>mets2418[[#This Row],[coeff. w/o GAM]]</f>
        <v>-3.967E-3</v>
      </c>
      <c r="I70" s="161">
        <f t="shared" ref="I70:I82" si="2">H70/($H$3)</f>
        <v>-4.2846333798104942E-3</v>
      </c>
      <c r="J70" s="21" cm="1">
        <f t="array" ref="J70">_xlfn.LET(_xlpm.id,mets2418[[#This Row],[name w/o location]],_xlpm.oldcoeff,mets2418[[#This Row],[normalized coeffs]],_xlpm.gam,$J$2-$G$2,_xlfn.IFS(IFERROR(MATCH(_xlpm.id,{"atp","h2o"},0),0)&gt;0,_xlpm.oldcoeff-_xlpm.gam,IFERROR(MATCH(_xlpm.id,{"adp","h","pi"},0),0)&gt;0,_xlpm.oldcoeff+_xlpm.gam,TRUE,_xlpm.oldcoeff))</f>
        <v>-4.2846333798104942E-3</v>
      </c>
      <c r="K70" t="str" cm="1">
        <f t="array" ref="K70">"BIOSYN-"&amp;_xlfn.IFS(IFERROR(MATCH(mets2418[[#This Row],[category]],{0,"0",""},0),0)&gt;0,mets2418[[#This Row],[name]],TRUE,mets2418[[#This Row],[category]]&amp;"-"&amp;mets2418[[#This Row],[name]])</f>
        <v>BIOSYN-COFACTOR-spmd_c</v>
      </c>
      <c r="L70" s="149" t="str" cm="1">
        <f t="array" ref="L70">IF(IsElementOfSet_DIY(mets2418[[#This Row],[category]],{"ignore","PROT"}),"",_xlfn.LET(_xlpm.mw,mets2418[[#This Row],[MW for biomass normalization (g/mol)]],"MET-"&amp;mets2418[[#This Row],[name]]&amp;" --&gt; "&amp;IF((mets2418[[#This Row],[category]]="DNA")+(mets2418[[#This Row],[category]]="RNA"),"MET-ppi_c + ","")&amp;ROUND(ABS(_xlpm.mw/1000),6)&amp;" BIO-"&amp;mets2418[[#This Row],[name]]))</f>
        <v>MET-spmd_c --&gt; 0.14827 BIO-spmd_c</v>
      </c>
      <c r="M70" s="149" cm="1">
        <f t="array" ref="M7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-4.2846333798104942E-3</v>
      </c>
      <c r="N70" s="149"/>
      <c r="O70" s="149"/>
      <c r="P70" s="149"/>
      <c r="Q70" s="149"/>
      <c r="R70" s="149"/>
      <c r="S70" s="149"/>
      <c r="T70" s="149"/>
      <c r="U70" s="149"/>
      <c r="V70" s="149"/>
      <c r="AB70" t="str">
        <v>BIOSYN-other-q9_m</v>
      </c>
      <c r="AC70" t="str">
        <v>MET-q9_m --&gt; 0.795226 BIO-q9_m</v>
      </c>
    </row>
    <row r="71" spans="1:29" ht="16" x14ac:dyDescent="0.2">
      <c r="A71" s="142" t="s">
        <v>794</v>
      </c>
      <c r="B71" t="str">
        <f>SUBSTITUTE(_xlfn.TEXTBEFORE(mets2418[[#This Row],[pasted JSON metabolite keys and values from GSM biomass rxn]],":"),CHAR(34),"")</f>
        <v>thf_c</v>
      </c>
      <c r="C71" t="str">
        <f>_xlfn.TEXTBEFORE(mets2418[[#This Row],[name]],"_",-1)</f>
        <v>thf</v>
      </c>
      <c r="D71" t="str">
        <f>_xlfn.XLOOKUP(mets2418[[#This Row],[name w/o location]],metaboliteInfo[name w/o location],metaboliteInfo[suggested category],"")</f>
        <v>COFACTOR</v>
      </c>
      <c r="E71" s="21">
        <f>_xlfn.XLOOKUP(mets2418[[#This Row],[name w/o location]],metaboliteInfo[name w/o location],metaboliteInfo[MW for biomass normalization (g/mol)],0)</f>
        <v>443.41334000000001</v>
      </c>
      <c r="F71" s="21">
        <f>_xlfn.NUMBERVALUE(SUBSTITUTE(_xlfn.TEXTAFTER(mets2418[[#This Row],[pasted JSON metabolite keys and values from GSM biomass rxn]],":"),",",""))</f>
        <v>-1.3270000000000001E-3</v>
      </c>
      <c r="G71" s="21" cm="1">
        <f t="array" ref="G71">_xlfn.LET(_xlpm.id,mets2418[[#This Row],[name w/o location]],IF(IsElementOfSet_DIY(_xlpm.id,{"atp","adp","h","pi","h2o"}),SIGN(mets2418[[#This Row],[raw (GSM) coefficient]])*(ABS(mets2418[[#This Row],[raw (GSM) coefficient]])-$J$2),mets2418[[#This Row],[raw (GSM) coefficient]]))</f>
        <v>-1.3270000000000001E-3</v>
      </c>
      <c r="H71" s="21">
        <f>mets2418[[#This Row],[coeff. w/o GAM]]</f>
        <v>-1.3270000000000001E-3</v>
      </c>
      <c r="I71" s="161">
        <f t="shared" si="2"/>
        <v>-1.4332514481997798E-3</v>
      </c>
      <c r="J71" s="21" cm="1">
        <f t="array" ref="J71">_xlfn.LET(_xlpm.id,mets2418[[#This Row],[name w/o location]],_xlpm.oldcoeff,mets2418[[#This Row],[normalized coeffs]],_xlpm.gam,$J$2-$G$2,_xlfn.IFS(IFERROR(MATCH(_xlpm.id,{"atp","h2o"},0),0)&gt;0,_xlpm.oldcoeff-_xlpm.gam,IFERROR(MATCH(_xlpm.id,{"adp","h","pi"},0),0)&gt;0,_xlpm.oldcoeff+_xlpm.gam,TRUE,_xlpm.oldcoeff))</f>
        <v>-1.4332514481997798E-3</v>
      </c>
      <c r="K71" t="str" cm="1">
        <f t="array" ref="K71">"BIOSYN-"&amp;_xlfn.IFS(IFERROR(MATCH(mets2418[[#This Row],[category]],{0,"0",""},0),0)&gt;0,mets2418[[#This Row],[name]],TRUE,mets2418[[#This Row],[category]]&amp;"-"&amp;mets2418[[#This Row],[name]])</f>
        <v>BIOSYN-COFACTOR-thf_c</v>
      </c>
      <c r="L71" s="149" t="str" cm="1">
        <f t="array" ref="L71">IF(IsElementOfSet_DIY(mets2418[[#This Row],[category]],{"ignore","PROT"}),"",_xlfn.LET(_xlpm.mw,mets2418[[#This Row],[MW for biomass normalization (g/mol)]],"MET-"&amp;mets2418[[#This Row],[name]]&amp;" --&gt; "&amp;IF((mets2418[[#This Row],[category]]="DNA")+(mets2418[[#This Row],[category]]="RNA"),"MET-ppi_c + ","")&amp;ROUND(ABS(_xlpm.mw/1000),6)&amp;" BIO-"&amp;mets2418[[#This Row],[name]]))</f>
        <v>MET-thf_c --&gt; 0.443413 BIO-thf_c</v>
      </c>
      <c r="M71" s="149" cm="1">
        <f t="array" ref="M7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-1.4332514481997798E-3</v>
      </c>
      <c r="N71" s="149"/>
      <c r="O71" s="149"/>
      <c r="P71" s="149"/>
      <c r="Q71" s="149"/>
      <c r="R71" s="149"/>
      <c r="S71" s="149"/>
      <c r="T71" s="149"/>
      <c r="U71" s="149"/>
      <c r="V71" s="149"/>
      <c r="AB71" t="str">
        <v>BIOSYN-other-zymst_rm</v>
      </c>
      <c r="AC71" t="str">
        <v>MET-zymst_rm --&gt; 0.384638 BIO-zymst_rm</v>
      </c>
    </row>
    <row r="72" spans="1:29" ht="16" x14ac:dyDescent="0.2">
      <c r="A72" s="142" t="s">
        <v>795</v>
      </c>
      <c r="B72" t="str">
        <f>SUBSTITUTE(_xlfn.TEXTBEFORE(mets2418[[#This Row],[pasted JSON metabolite keys and values from GSM biomass rxn]],":"),CHAR(34),"")</f>
        <v>thmpp_c</v>
      </c>
      <c r="C72" t="str">
        <f>_xlfn.TEXTBEFORE(mets2418[[#This Row],[name]],"_",-1)</f>
        <v>thmpp</v>
      </c>
      <c r="D72" t="str">
        <f>_xlfn.XLOOKUP(mets2418[[#This Row],[name w/o location]],metaboliteInfo[name w/o location],metaboliteInfo[suggested category],"")</f>
        <v>COFACTOR</v>
      </c>
      <c r="E72" s="21">
        <f>_xlfn.XLOOKUP(mets2418[[#This Row],[name w/o location]],metaboliteInfo[name w/o location],metaboliteInfo[MW for biomass normalization (g/mol)],0)</f>
        <v>422.29056200000002</v>
      </c>
      <c r="F72" s="21">
        <f>_xlfn.NUMBERVALUE(SUBSTITUTE(_xlfn.TEXTAFTER(mets2418[[#This Row],[pasted JSON metabolite keys and values from GSM biomass rxn]],":"),",",""))</f>
        <v>-1.3929999999999999E-3</v>
      </c>
      <c r="G72" s="21" cm="1">
        <f t="array" ref="G72">_xlfn.LET(_xlpm.id,mets2418[[#This Row],[name w/o location]],IF(IsElementOfSet_DIY(_xlpm.id,{"atp","adp","h","pi","h2o"}),SIGN(mets2418[[#This Row],[raw (GSM) coefficient]])*(ABS(mets2418[[#This Row],[raw (GSM) coefficient]])-$J$2),mets2418[[#This Row],[raw (GSM) coefficient]]))</f>
        <v>-1.3929999999999999E-3</v>
      </c>
      <c r="H72" s="21">
        <f>mets2418[[#This Row],[coeff. w/o GAM]]</f>
        <v>-1.3929999999999999E-3</v>
      </c>
      <c r="I72" s="161">
        <f t="shared" si="2"/>
        <v>-1.5045359964900476E-3</v>
      </c>
      <c r="J72" s="21" cm="1">
        <f t="array" ref="J72">_xlfn.LET(_xlpm.id,mets2418[[#This Row],[name w/o location]],_xlpm.oldcoeff,mets2418[[#This Row],[normalized coeffs]],_xlpm.gam,$J$2-$G$2,_xlfn.IFS(IFERROR(MATCH(_xlpm.id,{"atp","h2o"},0),0)&gt;0,_xlpm.oldcoeff-_xlpm.gam,IFERROR(MATCH(_xlpm.id,{"adp","h","pi"},0),0)&gt;0,_xlpm.oldcoeff+_xlpm.gam,TRUE,_xlpm.oldcoeff))</f>
        <v>-1.5045359964900476E-3</v>
      </c>
      <c r="K72" t="str" cm="1">
        <f t="array" ref="K72">"BIOSYN-"&amp;_xlfn.IFS(IFERROR(MATCH(mets2418[[#This Row],[category]],{0,"0",""},0),0)&gt;0,mets2418[[#This Row],[name]],TRUE,mets2418[[#This Row],[category]]&amp;"-"&amp;mets2418[[#This Row],[name]])</f>
        <v>BIOSYN-COFACTOR-thmpp_c</v>
      </c>
      <c r="L72" s="149" t="str" cm="1">
        <f t="array" ref="L72">IF(IsElementOfSet_DIY(mets2418[[#This Row],[category]],{"ignore","PROT"}),"",_xlfn.LET(_xlpm.mw,mets2418[[#This Row],[MW for biomass normalization (g/mol)]],"MET-"&amp;mets2418[[#This Row],[name]]&amp;" --&gt; "&amp;IF((mets2418[[#This Row],[category]]="DNA")+(mets2418[[#This Row],[category]]="RNA"),"MET-ppi_c + ","")&amp;ROUND(ABS(_xlpm.mw/1000),6)&amp;" BIO-"&amp;mets2418[[#This Row],[name]]))</f>
        <v>MET-thmpp_c --&gt; 0.422291 BIO-thmpp_c</v>
      </c>
      <c r="M72" s="149" cm="1">
        <f t="array" ref="M7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-1.5045359964900476E-3</v>
      </c>
      <c r="N72" s="149"/>
      <c r="O72" s="149"/>
      <c r="P72" s="149"/>
      <c r="Q72" s="149"/>
      <c r="R72" s="149"/>
      <c r="S72" s="149"/>
      <c r="T72" s="149"/>
      <c r="U72" s="149"/>
      <c r="V72" s="149"/>
      <c r="AB72" t="str">
        <v>BIOSYN-other-zymstest_RT_rm</v>
      </c>
      <c r="AC72" t="str">
        <v>MET-zymstest_RT_rm --&gt; 64.359575 BIO-zymstest_RT_rm</v>
      </c>
    </row>
    <row r="73" spans="1:29" ht="16" x14ac:dyDescent="0.2">
      <c r="A73" s="142" t="s">
        <v>796</v>
      </c>
      <c r="B73" t="str">
        <f>SUBSTITUTE(_xlfn.TEXTBEFORE(mets2418[[#This Row],[pasted JSON metabolite keys and values from GSM biomass rxn]],":"),CHAR(34),"")</f>
        <v>thrtrna_c</v>
      </c>
      <c r="C73" t="str">
        <f>_xlfn.TEXTBEFORE(mets2418[[#This Row],[name]],"_",-1)</f>
        <v>thrtrna</v>
      </c>
      <c r="D73" t="str">
        <f>_xlfn.XLOOKUP(mets2418[[#This Row],[name w/o location]],metaboliteInfo[name w/o location],metaboliteInfo[suggested category],"")</f>
        <v>PROT</v>
      </c>
      <c r="E73" s="21">
        <f>_xlfn.XLOOKUP(mets2418[[#This Row],[name w/o location]],metaboliteInfo[name w/o location],metaboliteInfo[MW for biomass normalization (g/mol)],0)</f>
        <v>102.11181999999999</v>
      </c>
      <c r="F73" s="21">
        <f>_xlfn.NUMBERVALUE(SUBSTITUTE(_xlfn.TEXTAFTER(mets2418[[#This Row],[pasted JSON metabolite keys and values from GSM biomass rxn]],":"),",",""))</f>
        <v>-0.21812999999999999</v>
      </c>
      <c r="G73" s="21" cm="1">
        <f t="array" ref="G73">_xlfn.LET(_xlpm.id,mets2418[[#This Row],[name w/o location]],IF(IsElementOfSet_DIY(_xlpm.id,{"atp","adp","h","pi","h2o"}),SIGN(mets2418[[#This Row],[raw (GSM) coefficient]])*(ABS(mets2418[[#This Row],[raw (GSM) coefficient]])-$J$2),mets2418[[#This Row],[raw (GSM) coefficient]]))</f>
        <v>-0.21812999999999999</v>
      </c>
      <c r="H73" s="21">
        <f>mets2418[[#This Row],[coeff. w/o GAM]]</f>
        <v>-0.21812999999999999</v>
      </c>
      <c r="I73" s="161">
        <f t="shared" si="2"/>
        <v>-0.23559543209933528</v>
      </c>
      <c r="J73" s="21" cm="1">
        <f t="array" ref="J73">_xlfn.LET(_xlpm.id,mets2418[[#This Row],[name w/o location]],_xlpm.oldcoeff,mets2418[[#This Row],[normalized coeffs]],_xlpm.gam,$J$2-$G$2,_xlfn.IFS(IFERROR(MATCH(_xlpm.id,{"atp","h2o"},0),0)&gt;0,_xlpm.oldcoeff-_xlpm.gam,IFERROR(MATCH(_xlpm.id,{"adp","h","pi"},0),0)&gt;0,_xlpm.oldcoeff+_xlpm.gam,TRUE,_xlpm.oldcoeff))</f>
        <v>-0.23559543209933528</v>
      </c>
      <c r="K73" t="str" cm="1">
        <f t="array" ref="K73">"BIOSYN-"&amp;_xlfn.IFS(IFERROR(MATCH(mets2418[[#This Row],[category]],{0,"0",""},0),0)&gt;0,mets2418[[#This Row],[name]],TRUE,mets2418[[#This Row],[category]]&amp;"-"&amp;mets2418[[#This Row],[name]])</f>
        <v>BIOSYN-PROT-thrtrna_c</v>
      </c>
      <c r="L73" s="149" t="str" cm="1">
        <f t="array" ref="L73">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73" s="149" cm="1">
        <f t="array" ref="M73">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-0.23559543209933528</v>
      </c>
      <c r="N73" s="149"/>
      <c r="O73" s="149"/>
      <c r="P73" s="149"/>
      <c r="Q73" s="149"/>
      <c r="R73" s="149"/>
      <c r="S73" s="149"/>
      <c r="T73" s="149"/>
      <c r="U73" s="149"/>
      <c r="V73" s="149"/>
      <c r="AB73" t="str">
        <v>BIOSYN-PI-pi_c</v>
      </c>
      <c r="AC73" t="str">
        <v>MET-pi_c --&gt; 0.095979 BIO-pi_c</v>
      </c>
    </row>
    <row r="74" spans="1:29" ht="16" x14ac:dyDescent="0.2">
      <c r="A74" s="142" t="s">
        <v>797</v>
      </c>
      <c r="B74" t="str">
        <f>SUBSTITUTE(_xlfn.TEXTBEFORE(mets2418[[#This Row],[pasted JSON metabolite keys and values from GSM biomass rxn]],":"),CHAR(34),"")</f>
        <v>tre_c</v>
      </c>
      <c r="C74" t="str">
        <f>_xlfn.TEXTBEFORE(mets2418[[#This Row],[name]],"_",-1)</f>
        <v>tre</v>
      </c>
      <c r="D74" t="str">
        <f>_xlfn.XLOOKUP(mets2418[[#This Row],[name w/o location]],metaboliteInfo[name w/o location],metaboliteInfo[suggested category],"")</f>
        <v>CARB</v>
      </c>
      <c r="E74" s="21">
        <f>_xlfn.XLOOKUP(mets2418[[#This Row],[name w/o location]],metaboliteInfo[name w/o location],metaboliteInfo[MW for biomass normalization (g/mol)],0)</f>
        <v>342.29647999999997</v>
      </c>
      <c r="F74" s="21">
        <f>_xlfn.NUMBERVALUE(SUBSTITUTE(_xlfn.TEXTAFTER(mets2418[[#This Row],[pasted JSON metabolite keys and values from GSM biomass rxn]],":"),",",""))</f>
        <v>-2.3372E-2</v>
      </c>
      <c r="G74" s="21" cm="1">
        <f t="array" ref="G74">_xlfn.LET(_xlpm.id,mets2418[[#This Row],[name w/o location]],IF(IsElementOfSet_DIY(_xlpm.id,{"atp","adp","h","pi","h2o"}),SIGN(mets2418[[#This Row],[raw (GSM) coefficient]])*(ABS(mets2418[[#This Row],[raw (GSM) coefficient]])-$J$2),mets2418[[#This Row],[raw (GSM) coefficient]]))</f>
        <v>-2.3372E-2</v>
      </c>
      <c r="H74" s="21">
        <f>mets2418[[#This Row],[coeff. w/o GAM]]</f>
        <v>-2.3372E-2</v>
      </c>
      <c r="I74" s="161">
        <f t="shared" si="2"/>
        <v>-2.5243370646062736E-2</v>
      </c>
      <c r="J74" s="21" cm="1">
        <f t="array" ref="J74">_xlfn.LET(_xlpm.id,mets2418[[#This Row],[name w/o location]],_xlpm.oldcoeff,mets2418[[#This Row],[normalized coeffs]],_xlpm.gam,$J$2-$G$2,_xlfn.IFS(IFERROR(MATCH(_xlpm.id,{"atp","h2o"},0),0)&gt;0,_xlpm.oldcoeff-_xlpm.gam,IFERROR(MATCH(_xlpm.id,{"adp","h","pi"},0),0)&gt;0,_xlpm.oldcoeff+_xlpm.gam,TRUE,_xlpm.oldcoeff))</f>
        <v>-2.5243370646062736E-2</v>
      </c>
      <c r="K74" t="str" cm="1">
        <f t="array" ref="K74">"BIOSYN-"&amp;_xlfn.IFS(IFERROR(MATCH(mets2418[[#This Row],[category]],{0,"0",""},0),0)&gt;0,mets2418[[#This Row],[name]],TRUE,mets2418[[#This Row],[category]]&amp;"-"&amp;mets2418[[#This Row],[name]])</f>
        <v>BIOSYN-CARB-tre_c</v>
      </c>
      <c r="L74" s="149" t="str" cm="1">
        <f t="array" ref="L74">IF(IsElementOfSet_DIY(mets2418[[#This Row],[category]],{"ignore","PROT"}),"",_xlfn.LET(_xlpm.mw,mets2418[[#This Row],[MW for biomass normalization (g/mol)]],"MET-"&amp;mets2418[[#This Row],[name]]&amp;" --&gt; "&amp;IF((mets2418[[#This Row],[category]]="DNA")+(mets2418[[#This Row],[category]]="RNA"),"MET-ppi_c + ","")&amp;ROUND(ABS(_xlpm.mw/1000),6)&amp;" BIO-"&amp;mets2418[[#This Row],[name]]))</f>
        <v>MET-tre_c --&gt; 0.342296 BIO-tre_c</v>
      </c>
      <c r="M74" s="149" cm="1">
        <f t="array" ref="M74">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-2.5243370646062736E-2</v>
      </c>
      <c r="N74" s="149"/>
      <c r="O74" s="149"/>
      <c r="P74" s="149"/>
      <c r="Q74" s="149"/>
      <c r="R74" s="149"/>
      <c r="S74" s="149"/>
      <c r="T74" s="149"/>
      <c r="U74" s="149"/>
      <c r="V74" s="149"/>
      <c r="AB74" t="str">
        <v>BIOSYN-RNA-atp_c</v>
      </c>
      <c r="AC74" t="str">
        <v>MET-atp_c --&gt; MET-ppi_c + 0.328198 BIO-atp_c</v>
      </c>
    </row>
    <row r="75" spans="1:29" ht="16" x14ac:dyDescent="0.2">
      <c r="A75" s="142" t="s">
        <v>798</v>
      </c>
      <c r="B75" t="str">
        <f>SUBSTITUTE(_xlfn.TEXTBEFORE(mets2418[[#This Row],[pasted JSON metabolite keys and values from GSM biomass rxn]],":"),CHAR(34),"")</f>
        <v>tag_rm</v>
      </c>
      <c r="C75" t="str">
        <f>_xlfn.TEXTBEFORE(mets2418[[#This Row],[name]],"_",-1)</f>
        <v>tag</v>
      </c>
      <c r="D75" t="str">
        <f>_xlfn.XLOOKUP(mets2418[[#This Row],[name w/o location]],metaboliteInfo[name w/o location],metaboliteInfo[suggested category],"")</f>
        <v>LIPID</v>
      </c>
      <c r="E75" s="21">
        <f>_xlfn.XLOOKUP(mets2418[[#This Row],[name w/o location]],metaboliteInfo[name w/o location],metaboliteInfo[MW for biomass normalization (g/mol)],0)</f>
        <v>885.51292863263996</v>
      </c>
      <c r="F75" s="21">
        <f>_xlfn.NUMBERVALUE(SUBSTITUTE(_xlfn.TEXTAFTER(mets2418[[#This Row],[pasted JSON metabolite keys and values from GSM biomass rxn]],":"),",",""))</f>
        <v>-4.3199999999999998E-4</v>
      </c>
      <c r="G75" s="21" cm="1">
        <f t="array" ref="G75">_xlfn.LET(_xlpm.id,mets2418[[#This Row],[name w/o location]],IF(IsElementOfSet_DIY(_xlpm.id,{"atp","adp","h","pi","h2o"}),SIGN(mets2418[[#This Row],[raw (GSM) coefficient]])*(ABS(mets2418[[#This Row],[raw (GSM) coefficient]])-$J$2),mets2418[[#This Row],[raw (GSM) coefficient]]))</f>
        <v>-4.3199999999999998E-4</v>
      </c>
      <c r="H75" s="21">
        <f>mets2418[[#This Row],[coeff. w/o GAM]]</f>
        <v>-4.3199999999999998E-4</v>
      </c>
      <c r="I75" s="161">
        <f t="shared" si="2"/>
        <v>-4.6658977062720783E-4</v>
      </c>
      <c r="J75" s="21" cm="1">
        <f t="array" ref="J75">_xlfn.LET(_xlpm.id,mets2418[[#This Row],[name w/o location]],_xlpm.oldcoeff,mets2418[[#This Row],[normalized coeffs]],_xlpm.gam,$J$2-$G$2,_xlfn.IFS(IFERROR(MATCH(_xlpm.id,{"atp","h2o"},0),0)&gt;0,_xlpm.oldcoeff-_xlpm.gam,IFERROR(MATCH(_xlpm.id,{"adp","h","pi"},0),0)&gt;0,_xlpm.oldcoeff+_xlpm.gam,TRUE,_xlpm.oldcoeff))</f>
        <v>-4.6658977062720783E-4</v>
      </c>
      <c r="K75" t="str" cm="1">
        <f t="array" ref="K75">"BIOSYN-"&amp;_xlfn.IFS(IFERROR(MATCH(mets2418[[#This Row],[category]],{0,"0",""},0),0)&gt;0,mets2418[[#This Row],[name]],TRUE,mets2418[[#This Row],[category]]&amp;"-"&amp;mets2418[[#This Row],[name]])</f>
        <v>BIOSYN-LIPID-tag_rm</v>
      </c>
      <c r="L75" s="149" t="str" cm="1">
        <f t="array" ref="L75">IF(IsElementOfSet_DIY(mets2418[[#This Row],[category]],{"ignore","PROT"}),"",_xlfn.LET(_xlpm.mw,mets2418[[#This Row],[MW for biomass normalization (g/mol)]],"MET-"&amp;mets2418[[#This Row],[name]]&amp;" --&gt; "&amp;IF((mets2418[[#This Row],[category]]="DNA")+(mets2418[[#This Row],[category]]="RNA"),"MET-ppi_c + ","")&amp;ROUND(ABS(_xlpm.mw/1000),6)&amp;" BIO-"&amp;mets2418[[#This Row],[name]]))</f>
        <v>MET-tag_rm --&gt; 0.885513 BIO-tag_rm</v>
      </c>
      <c r="M75" s="149" cm="1">
        <f t="array" ref="M75">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-4.6658977062720783E-4</v>
      </c>
      <c r="N75" s="149"/>
      <c r="O75" s="149"/>
      <c r="P75" s="149"/>
      <c r="Q75" s="149"/>
      <c r="R75" s="149"/>
      <c r="S75" s="149"/>
      <c r="T75" s="149"/>
      <c r="U75" s="149"/>
      <c r="V75" s="149"/>
      <c r="AB75" t="str">
        <v>BIOSYN-RNA-ctp_c</v>
      </c>
      <c r="AC75" t="str">
        <v>MET-ctp_c --&gt; MET-ppi_c + 0.304173 BIO-ctp_c</v>
      </c>
    </row>
    <row r="76" spans="1:29" ht="16" x14ac:dyDescent="0.2">
      <c r="A76" s="142" t="s">
        <v>799</v>
      </c>
      <c r="B76" t="str">
        <f>SUBSTITUTE(_xlfn.TEXTBEFORE(mets2418[[#This Row],[pasted JSON metabolite keys and values from GSM biomass rxn]],":"),CHAR(34),"")</f>
        <v>trptrna_c</v>
      </c>
      <c r="C76" t="str">
        <f>_xlfn.TEXTBEFORE(mets2418[[#This Row],[name]],"_",-1)</f>
        <v>trptrna</v>
      </c>
      <c r="D76" t="str">
        <f>_xlfn.XLOOKUP(mets2418[[#This Row],[name w/o location]],metaboliteInfo[name w/o location],metaboliteInfo[suggested category],"")</f>
        <v>PROT</v>
      </c>
      <c r="E76" s="21">
        <f>_xlfn.XLOOKUP(mets2418[[#This Row],[name w/o location]],metaboliteInfo[name w/o location],metaboliteInfo[MW for biomass normalization (g/mol)],0)</f>
        <v>187.21784</v>
      </c>
      <c r="F76" s="21">
        <f>_xlfn.NUMBERVALUE(SUBSTITUTE(_xlfn.TEXTAFTER(mets2418[[#This Row],[pasted JSON metabolite keys and values from GSM biomass rxn]],":"),",",""))</f>
        <v>-2.3318999999999999E-2</v>
      </c>
      <c r="G76" s="21" cm="1">
        <f t="array" ref="G76">_xlfn.LET(_xlpm.id,mets2418[[#This Row],[name w/o location]],IF(IsElementOfSet_DIY(_xlpm.id,{"atp","adp","h","pi","h2o"}),SIGN(mets2418[[#This Row],[raw (GSM) coefficient]])*(ABS(mets2418[[#This Row],[raw (GSM) coefficient]])-$J$2),mets2418[[#This Row],[raw (GSM) coefficient]]))</f>
        <v>-2.3318999999999999E-2</v>
      </c>
      <c r="H76" s="21">
        <f>mets2418[[#This Row],[coeff. w/o GAM]]</f>
        <v>-2.3318999999999999E-2</v>
      </c>
      <c r="I76" s="161">
        <f t="shared" si="2"/>
        <v>-2.5186126993647823E-2</v>
      </c>
      <c r="J76" s="21" cm="1">
        <f t="array" ref="J76">_xlfn.LET(_xlpm.id,mets2418[[#This Row],[name w/o location]],_xlpm.oldcoeff,mets2418[[#This Row],[normalized coeffs]],_xlpm.gam,$J$2-$G$2,_xlfn.IFS(IFERROR(MATCH(_xlpm.id,{"atp","h2o"},0),0)&gt;0,_xlpm.oldcoeff-_xlpm.gam,IFERROR(MATCH(_xlpm.id,{"adp","h","pi"},0),0)&gt;0,_xlpm.oldcoeff+_xlpm.gam,TRUE,_xlpm.oldcoeff))</f>
        <v>-2.5186126993647823E-2</v>
      </c>
      <c r="K76" t="str" cm="1">
        <f t="array" ref="K76">"BIOSYN-"&amp;_xlfn.IFS(IFERROR(MATCH(mets2418[[#This Row],[category]],{0,"0",""},0),0)&gt;0,mets2418[[#This Row],[name]],TRUE,mets2418[[#This Row],[category]]&amp;"-"&amp;mets2418[[#This Row],[name]])</f>
        <v>BIOSYN-PROT-trptrna_c</v>
      </c>
      <c r="L76" s="149" t="str" cm="1">
        <f t="array" ref="L76">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76" s="149" cm="1">
        <f t="array" ref="M76">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-2.5186126993647823E-2</v>
      </c>
      <c r="N76" s="149"/>
      <c r="O76" s="149"/>
      <c r="P76" s="149"/>
      <c r="Q76" s="149"/>
      <c r="R76" s="149"/>
      <c r="S76" s="149"/>
      <c r="T76" s="149"/>
      <c r="U76" s="149"/>
      <c r="V76" s="149"/>
      <c r="AB76" t="str">
        <v>BIOSYN-RNA-gtp_c</v>
      </c>
      <c r="AC76" t="str">
        <v>MET-gtp_c --&gt; MET-ppi_c + 0.344197 BIO-gtp_c</v>
      </c>
    </row>
    <row r="77" spans="1:29" ht="16" x14ac:dyDescent="0.2">
      <c r="A77" s="142" t="s">
        <v>800</v>
      </c>
      <c r="B77" t="str">
        <f>SUBSTITUTE(_xlfn.TEXTBEFORE(mets2418[[#This Row],[pasted JSON metabolite keys and values from GSM biomass rxn]],":"),CHAR(34),"")</f>
        <v>tyrtrna_c</v>
      </c>
      <c r="C77" t="str">
        <f>_xlfn.TEXTBEFORE(mets2418[[#This Row],[name]],"_",-1)</f>
        <v>tyrtrna</v>
      </c>
      <c r="D77" t="str">
        <f>_xlfn.XLOOKUP(mets2418[[#This Row],[name w/o location]],metaboliteInfo[name w/o location],metaboliteInfo[suggested category],"")</f>
        <v>PROT</v>
      </c>
      <c r="E77" s="21">
        <f>_xlfn.XLOOKUP(mets2418[[#This Row],[name w/o location]],metaboliteInfo[name w/o location],metaboliteInfo[MW for biomass normalization (g/mol)],0)</f>
        <v>164.18119999999999</v>
      </c>
      <c r="F77" s="21">
        <f>_xlfn.NUMBERVALUE(SUBSTITUTE(_xlfn.TEXTAFTER(mets2418[[#This Row],[pasted JSON metabolite keys and values from GSM biomass rxn]],":"),",",""))</f>
        <v>-6.2363000000000002E-2</v>
      </c>
      <c r="G77" s="21" cm="1">
        <f t="array" ref="G77">_xlfn.LET(_xlpm.id,mets2418[[#This Row],[name w/o location]],IF(IsElementOfSet_DIY(_xlpm.id,{"atp","adp","h","pi","h2o"}),SIGN(mets2418[[#This Row],[raw (GSM) coefficient]])*(ABS(mets2418[[#This Row],[raw (GSM) coefficient]])-$J$2),mets2418[[#This Row],[raw (GSM) coefficient]]))</f>
        <v>-6.2363000000000002E-2</v>
      </c>
      <c r="H77" s="21">
        <f>mets2418[[#This Row],[coeff. w/o GAM]]</f>
        <v>-6.2363000000000002E-2</v>
      </c>
      <c r="I77" s="161">
        <f t="shared" si="2"/>
        <v>-6.735633765190871E-2</v>
      </c>
      <c r="J77" s="21" cm="1">
        <f t="array" ref="J77">_xlfn.LET(_xlpm.id,mets2418[[#This Row],[name w/o location]],_xlpm.oldcoeff,mets2418[[#This Row],[normalized coeffs]],_xlpm.gam,$J$2-$G$2,_xlfn.IFS(IFERROR(MATCH(_xlpm.id,{"atp","h2o"},0),0)&gt;0,_xlpm.oldcoeff-_xlpm.gam,IFERROR(MATCH(_xlpm.id,{"adp","h","pi"},0),0)&gt;0,_xlpm.oldcoeff+_xlpm.gam,TRUE,_xlpm.oldcoeff))</f>
        <v>-6.735633765190871E-2</v>
      </c>
      <c r="K77" t="str" cm="1">
        <f t="array" ref="K77">"BIOSYN-"&amp;_xlfn.IFS(IFERROR(MATCH(mets2418[[#This Row],[category]],{0,"0",""},0),0)&gt;0,mets2418[[#This Row],[name]],TRUE,mets2418[[#This Row],[category]]&amp;"-"&amp;mets2418[[#This Row],[name]])</f>
        <v>BIOSYN-PROT-tyrtrna_c</v>
      </c>
      <c r="L77" s="149" t="str" cm="1">
        <f t="array" ref="L77">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77" s="149" cm="1">
        <f t="array" ref="M77">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-6.735633765190871E-2</v>
      </c>
      <c r="N77" s="149"/>
      <c r="O77" s="149"/>
      <c r="P77" s="149"/>
      <c r="Q77" s="149"/>
      <c r="R77" s="149"/>
      <c r="S77" s="149"/>
      <c r="T77" s="149"/>
      <c r="U77" s="149"/>
      <c r="V77" s="149"/>
      <c r="AB77" t="str">
        <v>BIOSYN-RNA-utp_c</v>
      </c>
      <c r="AC77" t="str">
        <v>MET-utp_c --&gt; MET-ppi_c + 0.305158 BIO-utp_c</v>
      </c>
    </row>
    <row r="78" spans="1:29" ht="16" x14ac:dyDescent="0.2">
      <c r="A78" s="142" t="s">
        <v>801</v>
      </c>
      <c r="B78" t="str">
        <f>SUBSTITUTE(_xlfn.TEXTBEFORE(mets2418[[#This Row],[pasted JSON metabolite keys and values from GSM biomass rxn]],":"),CHAR(34),"")</f>
        <v>utp_c</v>
      </c>
      <c r="C78" t="str">
        <f>_xlfn.TEXTBEFORE(mets2418[[#This Row],[name]],"_",-1)</f>
        <v>utp</v>
      </c>
      <c r="D78" t="str">
        <f>_xlfn.XLOOKUP(mets2418[[#This Row],[name w/o location]],metaboliteInfo[name w/o location],metaboliteInfo[suggested category],"")</f>
        <v>RNA</v>
      </c>
      <c r="E78" s="21">
        <f>_xlfn.XLOOKUP(mets2418[[#This Row],[name w/o location]],metaboliteInfo[name w/o location],metaboliteInfo[MW for biomass normalization (g/mol)],0)</f>
        <v>305.15806099999998</v>
      </c>
      <c r="F78" s="21">
        <f>_xlfn.NUMBERVALUE(SUBSTITUTE(_xlfn.TEXTAFTER(mets2418[[#This Row],[pasted JSON metabolite keys and values from GSM biomass rxn]],":"),",",""))</f>
        <v>-5.1129000000000001E-2</v>
      </c>
      <c r="G78" s="21" cm="1">
        <f t="array" ref="G78">_xlfn.LET(_xlpm.id,mets2418[[#This Row],[name w/o location]],IF(IsElementOfSet_DIY(_xlpm.id,{"atp","adp","h","pi","h2o"}),SIGN(mets2418[[#This Row],[raw (GSM) coefficient]])*(ABS(mets2418[[#This Row],[raw (GSM) coefficient]])-$J$2),mets2418[[#This Row],[raw (GSM) coefficient]]))</f>
        <v>-5.1129000000000001E-2</v>
      </c>
      <c r="H78" s="21">
        <f>mets2418[[#This Row],[coeff. w/o GAM]]</f>
        <v>-5.1129000000000001E-2</v>
      </c>
      <c r="I78" s="161">
        <f t="shared" si="2"/>
        <v>-5.5222843477774335E-2</v>
      </c>
      <c r="J78" s="21" cm="1">
        <f t="array" ref="J78">_xlfn.LET(_xlpm.id,mets2418[[#This Row],[name w/o location]],_xlpm.oldcoeff,mets2418[[#This Row],[normalized coeffs]],_xlpm.gam,$J$2-$G$2,_xlfn.IFS(IFERROR(MATCH(_xlpm.id,{"atp","h2o"},0),0)&gt;0,_xlpm.oldcoeff-_xlpm.gam,IFERROR(MATCH(_xlpm.id,{"adp","h","pi"},0),0)&gt;0,_xlpm.oldcoeff+_xlpm.gam,TRUE,_xlpm.oldcoeff))</f>
        <v>-5.5222843477774335E-2</v>
      </c>
      <c r="K78" t="str" cm="1">
        <f t="array" ref="K78">"BIOSYN-"&amp;_xlfn.IFS(IFERROR(MATCH(mets2418[[#This Row],[category]],{0,"0",""},0),0)&gt;0,mets2418[[#This Row],[name]],TRUE,mets2418[[#This Row],[category]]&amp;"-"&amp;mets2418[[#This Row],[name]])</f>
        <v>BIOSYN-RNA-utp_c</v>
      </c>
      <c r="L78" s="149" t="str" cm="1">
        <f t="array" ref="L78">IF(IsElementOfSet_DIY(mets2418[[#This Row],[category]],{"ignore","PROT"}),"",_xlfn.LET(_xlpm.mw,mets2418[[#This Row],[MW for biomass normalization (g/mol)]],"MET-"&amp;mets2418[[#This Row],[name]]&amp;" --&gt; "&amp;IF((mets2418[[#This Row],[category]]="DNA")+(mets2418[[#This Row],[category]]="RNA"),"MET-ppi_c + ","")&amp;ROUND(ABS(_xlpm.mw/1000),6)&amp;" BIO-"&amp;mets2418[[#This Row],[name]]))</f>
        <v>MET-utp_c --&gt; MET-ppi_c + 0.305158 BIO-utp_c</v>
      </c>
      <c r="M78" s="149" cm="1">
        <f t="array" ref="M78">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-5.5222843477774335E-2</v>
      </c>
      <c r="N78" s="149"/>
      <c r="O78" s="149"/>
      <c r="P78" s="149"/>
      <c r="Q78" s="149"/>
      <c r="R78" s="149"/>
      <c r="S78" s="149"/>
      <c r="T78" s="149"/>
      <c r="U78" s="149"/>
      <c r="V78" s="149"/>
    </row>
    <row r="79" spans="1:29" ht="16" x14ac:dyDescent="0.2">
      <c r="A79" s="142" t="s">
        <v>802</v>
      </c>
      <c r="B79" t="str">
        <f>SUBSTITUTE(_xlfn.TEXTBEFORE(mets2418[[#This Row],[pasted JSON metabolite keys and values from GSM biomass rxn]],":"),CHAR(34),"")</f>
        <v>valtrna_c</v>
      </c>
      <c r="C79" t="str">
        <f>_xlfn.TEXTBEFORE(mets2418[[#This Row],[name]],"_",-1)</f>
        <v>valtrna</v>
      </c>
      <c r="D79" t="str">
        <f>_xlfn.XLOOKUP(mets2418[[#This Row],[name w/o location]],metaboliteInfo[name w/o location],metaboliteInfo[suggested category],"")</f>
        <v>PROT</v>
      </c>
      <c r="E79" s="21">
        <f>_xlfn.XLOOKUP(mets2418[[#This Row],[name w/o location]],metaboliteInfo[name w/o location],metaboliteInfo[MW for biomass normalization (g/mol)],0)</f>
        <v>100.139</v>
      </c>
      <c r="F79" s="21">
        <f>_xlfn.NUMBERVALUE(SUBSTITUTE(_xlfn.TEXTAFTER(mets2418[[#This Row],[pasted JSON metabolite keys and values from GSM biomass rxn]],":"),",",""))</f>
        <v>-0.27516800000000002</v>
      </c>
      <c r="G79" s="21" cm="1">
        <f t="array" ref="G79">_xlfn.LET(_xlpm.id,mets2418[[#This Row],[name w/o location]],IF(IsElementOfSet_DIY(_xlpm.id,{"atp","adp","h","pi","h2o"}),SIGN(mets2418[[#This Row],[raw (GSM) coefficient]])*(ABS(mets2418[[#This Row],[raw (GSM) coefficient]])-$J$2),mets2418[[#This Row],[raw (GSM) coefficient]]))</f>
        <v>-0.27516800000000002</v>
      </c>
      <c r="H79" s="21">
        <f>mets2418[[#This Row],[coeff. w/o GAM]]</f>
        <v>-0.27516800000000002</v>
      </c>
      <c r="I79" s="161">
        <f t="shared" si="2"/>
        <v>-0.29720040278691562</v>
      </c>
      <c r="J79" s="21" cm="1">
        <f t="array" ref="J79">_xlfn.LET(_xlpm.id,mets2418[[#This Row],[name w/o location]],_xlpm.oldcoeff,mets2418[[#This Row],[normalized coeffs]],_xlpm.gam,$J$2-$G$2,_xlfn.IFS(IFERROR(MATCH(_xlpm.id,{"atp","h2o"},0),0)&gt;0,_xlpm.oldcoeff-_xlpm.gam,IFERROR(MATCH(_xlpm.id,{"adp","h","pi"},0),0)&gt;0,_xlpm.oldcoeff+_xlpm.gam,TRUE,_xlpm.oldcoeff))</f>
        <v>-0.29720040278691562</v>
      </c>
      <c r="K79" t="str" cm="1">
        <f t="array" ref="K79">"BIOSYN-"&amp;_xlfn.IFS(IFERROR(MATCH(mets2418[[#This Row],[category]],{0,"0",""},0),0)&gt;0,mets2418[[#This Row],[name]],TRUE,mets2418[[#This Row],[category]]&amp;"-"&amp;mets2418[[#This Row],[name]])</f>
        <v>BIOSYN-PROT-valtrna_c</v>
      </c>
      <c r="L79" s="149" t="str" cm="1">
        <f t="array" ref="L79">IF(IsElementOfSet_DIY(mets2418[[#This Row],[category]],{"ignore","PROT"}),"",_xlfn.LET(_xlpm.mw,mets2418[[#This Row],[MW for biomass normalization (g/mol)]],"MET-"&amp;mets2418[[#This Row],[name]]&amp;" --&gt; "&amp;IF((mets2418[[#This Row],[category]]="DNA")+(mets2418[[#This Row],[category]]="RNA"),"MET-ppi_c + ","")&amp;ROUND(ABS(_xlpm.mw/1000),6)&amp;" BIO-"&amp;mets2418[[#This Row],[name]]))</f>
        <v/>
      </c>
      <c r="M79" s="149" cm="1">
        <f t="array" ref="M79">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-0.29720040278691562</v>
      </c>
      <c r="N79" s="149"/>
      <c r="O79" s="149"/>
      <c r="P79" s="149"/>
      <c r="Q79" s="149"/>
      <c r="R79" s="149"/>
      <c r="S79" s="149"/>
      <c r="T79" s="149"/>
      <c r="U79" s="149"/>
      <c r="V79" s="149"/>
    </row>
    <row r="80" spans="1:29" ht="16" x14ac:dyDescent="0.2">
      <c r="A80" s="142" t="s">
        <v>803</v>
      </c>
      <c r="B80" t="str">
        <f>SUBSTITUTE(_xlfn.TEXTBEFORE(mets2418[[#This Row],[pasted JSON metabolite keys and values from GSM biomass rxn]],":"),CHAR(34),"")</f>
        <v>zn2_c</v>
      </c>
      <c r="C80" t="str">
        <f>_xlfn.TEXTBEFORE(mets2418[[#This Row],[name]],"_",-1)</f>
        <v>zn2</v>
      </c>
      <c r="D80" t="str">
        <f>_xlfn.XLOOKUP(mets2418[[#This Row],[name w/o location]],metaboliteInfo[name w/o location],metaboliteInfo[suggested category],"")</f>
        <v>METAL</v>
      </c>
      <c r="E80" s="21">
        <f>_xlfn.XLOOKUP(mets2418[[#This Row],[name w/o location]],metaboliteInfo[name w/o location],metaboliteInfo[MW for biomass normalization (g/mol)],0)</f>
        <v>65.38</v>
      </c>
      <c r="F80" s="21">
        <f>_xlfn.NUMBERVALUE(SUBSTITUTE(_xlfn.TEXTAFTER(mets2418[[#This Row],[pasted JSON metabolite keys and values from GSM biomass rxn]],":"),",",""))</f>
        <v>-5.1000000000000004E-4</v>
      </c>
      <c r="G80" s="21" cm="1">
        <f t="array" ref="G80">_xlfn.LET(_xlpm.id,mets2418[[#This Row],[name w/o location]],IF(IsElementOfSet_DIY(_xlpm.id,{"atp","adp","h","pi","h2o"}),SIGN(mets2418[[#This Row],[raw (GSM) coefficient]])*(ABS(mets2418[[#This Row],[raw (GSM) coefficient]])-$J$2),mets2418[[#This Row],[raw (GSM) coefficient]]))</f>
        <v>-5.1000000000000004E-4</v>
      </c>
      <c r="H80" s="21">
        <f>mets2418[[#This Row],[coeff. w/o GAM]]</f>
        <v>-5.1000000000000004E-4</v>
      </c>
      <c r="I80" s="161">
        <f t="shared" si="2"/>
        <v>-5.5083514587934263E-4</v>
      </c>
      <c r="J80" s="21" cm="1">
        <f t="array" ref="J80">_xlfn.LET(_xlpm.id,mets2418[[#This Row],[name w/o location]],_xlpm.oldcoeff,mets2418[[#This Row],[normalized coeffs]],_xlpm.gam,$J$2-$G$2,_xlfn.IFS(IFERROR(MATCH(_xlpm.id,{"atp","h2o"},0),0)&gt;0,_xlpm.oldcoeff-_xlpm.gam,IFERROR(MATCH(_xlpm.id,{"adp","h","pi"},0),0)&gt;0,_xlpm.oldcoeff+_xlpm.gam,TRUE,_xlpm.oldcoeff))</f>
        <v>-5.5083514587934263E-4</v>
      </c>
      <c r="K80" t="str" cm="1">
        <f t="array" ref="K80">"BIOSYN-"&amp;_xlfn.IFS(IFERROR(MATCH(mets2418[[#This Row],[category]],{0,"0",""},0),0)&gt;0,mets2418[[#This Row],[name]],TRUE,mets2418[[#This Row],[category]]&amp;"-"&amp;mets2418[[#This Row],[name]])</f>
        <v>BIOSYN-METAL-zn2_c</v>
      </c>
      <c r="L80" s="149" t="str" cm="1">
        <f t="array" ref="L80">IF(IsElementOfSet_DIY(mets2418[[#This Row],[category]],{"ignore","PROT"}),"",_xlfn.LET(_xlpm.mw,mets2418[[#This Row],[MW for biomass normalization (g/mol)]],"MET-"&amp;mets2418[[#This Row],[name]]&amp;" --&gt; "&amp;IF((mets2418[[#This Row],[category]]="DNA")+(mets2418[[#This Row],[category]]="RNA"),"MET-ppi_c + ","")&amp;ROUND(ABS(_xlpm.mw/1000),6)&amp;" BIO-"&amp;mets2418[[#This Row],[name]]))</f>
        <v>MET-zn2_c --&gt; 0.06538 BIO-zn2_c</v>
      </c>
      <c r="M80" s="149" cm="1">
        <f t="array" ref="M80">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-5.5083514587934263E-4</v>
      </c>
      <c r="N80" s="149"/>
      <c r="O80" s="149"/>
      <c r="P80" s="149"/>
      <c r="Q80" s="149"/>
      <c r="R80" s="149"/>
      <c r="S80" s="149"/>
      <c r="T80" s="149"/>
      <c r="U80" s="149"/>
      <c r="V80" s="149"/>
    </row>
    <row r="81" spans="1:22" ht="16" x14ac:dyDescent="0.2">
      <c r="A81" s="142" t="s">
        <v>804</v>
      </c>
      <c r="B81" t="str">
        <f>SUBSTITUTE(_xlfn.TEXTBEFORE(mets2418[[#This Row],[pasted JSON metabolite keys and values from GSM biomass rxn]],":"),CHAR(34),"")</f>
        <v>zymst_rm</v>
      </c>
      <c r="C81" t="str">
        <f>_xlfn.TEXTBEFORE(mets2418[[#This Row],[name]],"_",-1)</f>
        <v>zymst</v>
      </c>
      <c r="D81" t="str">
        <f>_xlfn.XLOOKUP(mets2418[[#This Row],[name w/o location]],metaboliteInfo[name w/o location],metaboliteInfo[suggested category],"")</f>
        <v>other</v>
      </c>
      <c r="E81" s="21">
        <f>_xlfn.XLOOKUP(mets2418[[#This Row],[name w/o location]],metaboliteInfo[name w/o location],metaboliteInfo[MW for biomass normalization (g/mol)],0)</f>
        <v>384.63765999999998</v>
      </c>
      <c r="F81" s="21">
        <f>_xlfn.NUMBERVALUE(SUBSTITUTE(_xlfn.TEXTAFTER(mets2418[[#This Row],[pasted JSON metabolite keys and values from GSM biomass rxn]],":"),",",""))</f>
        <v>-4.156E-3</v>
      </c>
      <c r="G81" s="21" cm="1">
        <f t="array" ref="G81">_xlfn.LET(_xlpm.id,mets2418[[#This Row],[name w/o location]],IF(IsElementOfSet_DIY(_xlpm.id,{"atp","adp","h","pi","h2o"}),SIGN(mets2418[[#This Row],[raw (GSM) coefficient]])*(ABS(mets2418[[#This Row],[raw (GSM) coefficient]])-$J$2),mets2418[[#This Row],[raw (GSM) coefficient]]))</f>
        <v>-4.156E-3</v>
      </c>
      <c r="H81" s="21">
        <f>mets2418[[#This Row],[coeff. w/o GAM]]</f>
        <v>-4.156E-3</v>
      </c>
      <c r="I81" s="161">
        <f t="shared" si="2"/>
        <v>-4.4887664044598978E-3</v>
      </c>
      <c r="J81" s="21" cm="1">
        <f t="array" ref="J81">_xlfn.LET(_xlpm.id,mets2418[[#This Row],[name w/o location]],_xlpm.oldcoeff,mets2418[[#This Row],[normalized coeffs]],_xlpm.gam,$J$2-$G$2,_xlfn.IFS(IFERROR(MATCH(_xlpm.id,{"atp","h2o"},0),0)&gt;0,_xlpm.oldcoeff-_xlpm.gam,IFERROR(MATCH(_xlpm.id,{"adp","h","pi"},0),0)&gt;0,_xlpm.oldcoeff+_xlpm.gam,TRUE,_xlpm.oldcoeff))</f>
        <v>-4.4887664044598978E-3</v>
      </c>
      <c r="K81" t="str" cm="1">
        <f t="array" ref="K81">"BIOSYN-"&amp;_xlfn.IFS(IFERROR(MATCH(mets2418[[#This Row],[category]],{0,"0",""},0),0)&gt;0,mets2418[[#This Row],[name]],TRUE,mets2418[[#This Row],[category]]&amp;"-"&amp;mets2418[[#This Row],[name]])</f>
        <v>BIOSYN-other-zymst_rm</v>
      </c>
      <c r="L81" s="149" t="str" cm="1">
        <f t="array" ref="L81">IF(IsElementOfSet_DIY(mets2418[[#This Row],[category]],{"ignore","PROT"}),"",_xlfn.LET(_xlpm.mw,mets2418[[#This Row],[MW for biomass normalization (g/mol)]],"MET-"&amp;mets2418[[#This Row],[name]]&amp;" --&gt; "&amp;IF((mets2418[[#This Row],[category]]="DNA")+(mets2418[[#This Row],[category]]="RNA"),"MET-ppi_c + ","")&amp;ROUND(ABS(_xlpm.mw/1000),6)&amp;" BIO-"&amp;mets2418[[#This Row],[name]]))</f>
        <v>MET-zymst_rm --&gt; 0.384638 BIO-zymst_rm</v>
      </c>
      <c r="M81" s="149" cm="1">
        <f t="array" ref="M81">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-4.4887664044598978E-3</v>
      </c>
      <c r="N81" s="149"/>
      <c r="O81" s="149"/>
      <c r="P81" s="149"/>
      <c r="Q81" s="149"/>
      <c r="R81" s="149"/>
      <c r="S81" s="149"/>
      <c r="T81" s="149"/>
      <c r="U81" s="149"/>
      <c r="V81" s="149"/>
    </row>
    <row r="82" spans="1:22" ht="16" x14ac:dyDescent="0.2">
      <c r="A82" s="142" t="s">
        <v>805</v>
      </c>
      <c r="B82" t="str">
        <f>SUBSTITUTE(_xlfn.TEXTBEFORE(mets2418[[#This Row],[pasted JSON metabolite keys and values from GSM biomass rxn]],":"),CHAR(34),"")</f>
        <v>zymstest_RT_rm</v>
      </c>
      <c r="C82" t="str">
        <f>_xlfn.TEXTBEFORE(mets2418[[#This Row],[name]],"_",-1)</f>
        <v>zymstest_RT</v>
      </c>
      <c r="D82" t="str">
        <f>_xlfn.XLOOKUP(mets2418[[#This Row],[name w/o location]],metaboliteInfo[name w/o location],metaboliteInfo[suggested category],"")</f>
        <v>other</v>
      </c>
      <c r="E82" s="21">
        <f>_xlfn.XLOOKUP(mets2418[[#This Row],[name w/o location]],metaboliteInfo[name w/o location],metaboliteInfo[MW for biomass normalization (g/mol)],0)</f>
        <v>64359.575239999998</v>
      </c>
      <c r="F82" s="21">
        <f>_xlfn.NUMBERVALUE(SUBSTITUTE(_xlfn.TEXTAFTER(mets2418[[#This Row],[pasted JSON metabolite keys and values from GSM biomass rxn]],":"),",",""))</f>
        <v>-1.7E-5</v>
      </c>
      <c r="G82" s="21" cm="1">
        <f t="array" ref="G82">_xlfn.LET(_xlpm.id,mets2418[[#This Row],[name w/o location]],IF(IsElementOfSet_DIY(_xlpm.id,{"atp","adp","h","pi","h2o"}),SIGN(mets2418[[#This Row],[raw (GSM) coefficient]])*(ABS(mets2418[[#This Row],[raw (GSM) coefficient]])-$J$2),mets2418[[#This Row],[raw (GSM) coefficient]]))</f>
        <v>-1.7E-5</v>
      </c>
      <c r="H82" s="21">
        <f>mets2418[[#This Row],[coeff. w/o GAM]]</f>
        <v>-1.7E-5</v>
      </c>
      <c r="I82" s="161">
        <f t="shared" si="2"/>
        <v>-1.8361171529311421E-5</v>
      </c>
      <c r="J82" s="21" cm="1">
        <f t="array" ref="J82">_xlfn.LET(_xlpm.id,mets2418[[#This Row],[name w/o location]],_xlpm.oldcoeff,mets2418[[#This Row],[normalized coeffs]],_xlpm.gam,$J$2-$G$2,_xlfn.IFS(IFERROR(MATCH(_xlpm.id,{"atp","h2o"},0),0)&gt;0,_xlpm.oldcoeff-_xlpm.gam,IFERROR(MATCH(_xlpm.id,{"adp","h","pi"},0),0)&gt;0,_xlpm.oldcoeff+_xlpm.gam,TRUE,_xlpm.oldcoeff))</f>
        <v>-1.8361171529311421E-5</v>
      </c>
      <c r="K82" t="str" cm="1">
        <f t="array" ref="K82">"BIOSYN-"&amp;_xlfn.IFS(IFERROR(MATCH(mets2418[[#This Row],[category]],{0,"0",""},0),0)&gt;0,mets2418[[#This Row],[name]],TRUE,mets2418[[#This Row],[category]]&amp;"-"&amp;mets2418[[#This Row],[name]])</f>
        <v>BIOSYN-other-zymstest_RT_rm</v>
      </c>
      <c r="L82" s="149" t="str" cm="1">
        <f t="array" ref="L82">IF(IsElementOfSet_DIY(mets2418[[#This Row],[category]],{"ignore","PROT"}),"",_xlfn.LET(_xlpm.mw,mets2418[[#This Row],[MW for biomass normalization (g/mol)]],"MET-"&amp;mets2418[[#This Row],[name]]&amp;" --&gt; "&amp;IF((mets2418[[#This Row],[category]]="DNA")+(mets2418[[#This Row],[category]]="RNA"),"MET-ppi_c + ","")&amp;ROUND(ABS(_xlpm.mw/1000),6)&amp;" BIO-"&amp;mets2418[[#This Row],[name]]))</f>
        <v>MET-zymstest_RT_rm --&gt; 64.359575 BIO-zymstest_RT_rm</v>
      </c>
      <c r="M82" s="149" cm="1">
        <f t="array" ref="M82">_xlfn.LET(_xlpm.gam,$J$2,_xlpm.cat,IF(LEFT(mets2418[[#This Row],[name w/o location]],4)="trna","PROT",mets2418[[#This Row],[category]]),_xlpm.multipliers,_xlfn._xlws.FILTER(_xlfn.HSTACK(biomassComponents2317[normalized coeffs],biomassComponents2317[original coeffs from input]),(biomassComponents2317[rxn name]="BIOSYN-"&amp;_xlpm.cat)+IF(mets2418[[#This Row],[name w/o location]]="ppi",((biomassComponents2317[rxn name]="BIOSYN-DNA"))+((biomassComponents2317[rxn name]="BIOSYN-RNA"))&gt;0,FALSE),{1,1}),mets2418[[#This Row],[normalized coeffs]]*(SUM(_xlfn.CHOOSECOLS(_xlpm.multipliers,1))/SUM(IF(_xlfn.CHOOSECOLS(_xlpm.multipliers,2)=0,1,_xlfn.CHOOSECOLS(_xlpm.multipliers,2))))+_xlfn.IFS(OR(mets2418[[#This Row],[name w/o location]]={"atp","h2o"}),-_xlpm.gam,OR(mets2418[[#This Row],[name w/o location]]={"adp","h","pi"}),_xlpm.gam,TRUE,0))</f>
        <v>-1.8361171529311421E-5</v>
      </c>
      <c r="N82" s="149"/>
      <c r="O82" s="149"/>
      <c r="P82" s="149"/>
      <c r="Q82" s="149"/>
      <c r="R82" s="149"/>
      <c r="S82" s="149"/>
      <c r="T82" s="149"/>
      <c r="U82" s="149"/>
      <c r="V82" s="149"/>
    </row>
  </sheetData>
  <mergeCells count="3">
    <mergeCell ref="A1:F1"/>
    <mergeCell ref="A2:F2"/>
    <mergeCell ref="D4:E4"/>
  </mergeCells>
  <conditionalFormatting sqref="S6:S14">
    <cfRule type="expression" dxfId="31" priority="1" stopIfTrue="1">
      <formula>NOT(_xlfn.ISFORMULA(S6))</formula>
    </cfRule>
  </conditionalFormatting>
  <conditionalFormatting sqref="T6:T14">
    <cfRule type="expression" dxfId="30" priority="2" stopIfTrue="1">
      <formula>NOT(_xlfn.ISFORMULA(T6))</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741E-D6B2-8647-BA9A-B26860D5ABC8}">
  <sheetPr codeName="Sheet4"/>
  <dimension ref="A1:S95"/>
  <sheetViews>
    <sheetView topLeftCell="L1" workbookViewId="0">
      <selection activeCell="V18" sqref="V18"/>
    </sheetView>
  </sheetViews>
  <sheetFormatPr baseColWidth="10" defaultRowHeight="13" x14ac:dyDescent="0.15"/>
  <cols>
    <col min="2" max="2" width="18.83203125" customWidth="1"/>
    <col min="6" max="6" width="18.83203125" customWidth="1"/>
    <col min="8" max="8" width="18.83203125" customWidth="1"/>
    <col min="9" max="9" width="10.83203125" customWidth="1"/>
    <col min="10" max="10" width="16.6640625" customWidth="1"/>
    <col min="11" max="11" width="12.1640625" bestFit="1" customWidth="1"/>
    <col min="12" max="12" width="56.33203125" customWidth="1"/>
    <col min="13" max="13" width="21.33203125" customWidth="1"/>
    <col min="15" max="15" width="25.83203125" customWidth="1"/>
    <col min="16" max="16" width="42.5" customWidth="1"/>
    <col min="17" max="17" width="16.1640625" customWidth="1"/>
    <col min="18" max="18" width="11.33203125" customWidth="1"/>
    <col min="19" max="19" width="13.83203125" customWidth="1"/>
    <col min="20" max="20" width="9.1640625" customWidth="1"/>
    <col min="21" max="21" width="15.83203125" customWidth="1"/>
    <col min="22" max="22" width="31.83203125" customWidth="1"/>
    <col min="23" max="28" width="8.6640625"/>
  </cols>
  <sheetData>
    <row r="1" spans="1:19" x14ac:dyDescent="0.15">
      <c r="K1">
        <f>D43*E43</f>
        <v>-0.58821170954000002</v>
      </c>
      <c r="L1" cm="1">
        <f t="array" ref="L1">SUM(_xlfn._xlws.FILTER(Table1[coeff w/o ATPM]*Table1[MW w/o pyrophosphate (g/mol)],(Table1[auto or manually found?]&lt;&gt;"")*(IFERROR(_xlfn.NUMBERVALUE(Table1[coeff w/o ATPM]),0)&lt;0)))/1000</f>
        <v>-0.99194927734559113</v>
      </c>
      <c r="M1">
        <f>SUMIF(Table1[n coeffs * MW],"&lt;0")</f>
        <v>-999.99999999999966</v>
      </c>
      <c r="S1" t="s">
        <v>1305</v>
      </c>
    </row>
    <row r="2" spans="1:19" x14ac:dyDescent="0.15">
      <c r="A2" t="s">
        <v>546</v>
      </c>
      <c r="B2" t="s">
        <v>307</v>
      </c>
      <c r="C2" t="s">
        <v>544</v>
      </c>
      <c r="D2" t="s">
        <v>629</v>
      </c>
      <c r="E2" t="s">
        <v>632</v>
      </c>
      <c r="F2" t="s">
        <v>308</v>
      </c>
      <c r="G2" t="s">
        <v>431</v>
      </c>
      <c r="H2" t="s">
        <v>532</v>
      </c>
      <c r="I2" t="s">
        <v>533</v>
      </c>
      <c r="J2" t="s">
        <v>534</v>
      </c>
      <c r="K2" t="s">
        <v>630</v>
      </c>
      <c r="L2" t="s">
        <v>627</v>
      </c>
      <c r="M2" t="s">
        <v>628</v>
      </c>
      <c r="N2" t="s">
        <v>866</v>
      </c>
      <c r="O2" t="s">
        <v>1300</v>
      </c>
      <c r="P2" t="s">
        <v>1298</v>
      </c>
      <c r="Q2" t="s">
        <v>1304</v>
      </c>
      <c r="S2" t="str" cm="1">
        <f t="array" ref="S2:S27">_xlfn.UNIQUE(Table1[in batch biom?])</f>
        <v/>
      </c>
    </row>
    <row r="3" spans="1:19" ht="16" x14ac:dyDescent="0.2">
      <c r="A3" s="144" t="s">
        <v>548</v>
      </c>
      <c r="B3" s="141" t="s">
        <v>309</v>
      </c>
      <c r="C3" s="141">
        <v>-0.95750199999999996</v>
      </c>
      <c r="D3" s="141">
        <v>-0.95750199999999996</v>
      </c>
      <c r="E3">
        <v>162.14060000000001</v>
      </c>
      <c r="F3" s="141" t="s">
        <v>387</v>
      </c>
      <c r="G3" t="s">
        <v>302</v>
      </c>
      <c r="H3" t="s">
        <v>495</v>
      </c>
      <c r="I3" t="s">
        <v>867</v>
      </c>
      <c r="J3" t="s">
        <v>199</v>
      </c>
      <c r="L3">
        <v>-0.96527314638731287</v>
      </c>
      <c r="M3">
        <v>-156.50996711912674</v>
      </c>
      <c r="N3" t="s">
        <v>826</v>
      </c>
      <c r="O3" s="141">
        <v>162.14060000000001</v>
      </c>
      <c r="P3">
        <f>IFERROR(_xlfn.NUMBERVALUE(Table1[[#This Row],[Kim MW]]),0)-Table1[[#This Row],[MW w/o pyrophosphate (g/mol)]]</f>
        <v>0</v>
      </c>
      <c r="Q3" t="str">
        <f>IF(_xlfn.XLOOKUP(Table1[[#This Row],[auto or manually found?]],mets9[name],mets9[name],"")="",Table1[[#This Row],[auto or manually found?]],"")</f>
        <v/>
      </c>
      <c r="S3" t="str">
        <v>5mthf_c</v>
      </c>
    </row>
    <row r="4" spans="1:19" ht="16" x14ac:dyDescent="0.2">
      <c r="A4" s="144" t="s">
        <v>549</v>
      </c>
      <c r="B4" s="141" t="s">
        <v>310</v>
      </c>
      <c r="C4" s="141">
        <v>-0.177315</v>
      </c>
      <c r="D4" s="141">
        <v>-0.177315</v>
      </c>
      <c r="E4">
        <v>162.14060000000001</v>
      </c>
      <c r="F4" s="141" t="s">
        <v>388</v>
      </c>
      <c r="G4" t="s">
        <v>302</v>
      </c>
      <c r="H4" t="s">
        <v>489</v>
      </c>
      <c r="I4" t="s">
        <v>868</v>
      </c>
      <c r="J4" t="s">
        <v>73</v>
      </c>
      <c r="L4">
        <v>-0.17875409967986111</v>
      </c>
      <c r="M4">
        <v>-28.983296974552491</v>
      </c>
      <c r="N4" t="s">
        <v>827</v>
      </c>
      <c r="O4" s="141">
        <v>162.14060000000001</v>
      </c>
      <c r="P4">
        <f>IFERROR(_xlfn.NUMBERVALUE(Table1[[#This Row],[Kim MW]]),0)-Table1[[#This Row],[MW w/o pyrophosphate (g/mol)]]</f>
        <v>0</v>
      </c>
      <c r="Q4" t="str">
        <f>IF(_xlfn.XLOOKUP(Table1[[#This Row],[auto or manually found?]],mets9[name],mets9[name],"")="",Table1[[#This Row],[auto or manually found?]],"")</f>
        <v/>
      </c>
      <c r="S4" t="str">
        <v>btn_m</v>
      </c>
    </row>
    <row r="5" spans="1:19" ht="16" x14ac:dyDescent="0.2">
      <c r="A5" s="144" t="s">
        <v>550</v>
      </c>
      <c r="B5" s="141" t="s">
        <v>311</v>
      </c>
      <c r="C5" s="141">
        <v>-1.2830000000000001E-3</v>
      </c>
      <c r="D5" s="141">
        <v>-1.2830000000000001E-3</v>
      </c>
      <c r="E5">
        <v>458.44785999999999</v>
      </c>
      <c r="F5" s="141" t="s">
        <v>389</v>
      </c>
      <c r="G5" t="s">
        <v>496</v>
      </c>
      <c r="H5" t="s">
        <v>497</v>
      </c>
      <c r="I5" t="s">
        <v>869</v>
      </c>
      <c r="J5" t="s">
        <v>496</v>
      </c>
      <c r="L5">
        <v>-1.2934129086048097E-3</v>
      </c>
      <c r="M5">
        <v>-0.59296238004625057</v>
      </c>
      <c r="N5" t="s">
        <v>828</v>
      </c>
      <c r="O5" s="141">
        <v>458.44785999999999</v>
      </c>
      <c r="P5">
        <f>IFERROR(_xlfn.NUMBERVALUE(Table1[[#This Row],[Kim MW]]),0)-Table1[[#This Row],[MW w/o pyrophosphate (g/mol)]]</f>
        <v>0</v>
      </c>
      <c r="Q5" t="str">
        <f>IF(_xlfn.XLOOKUP(Table1[[#This Row],[auto or manually found?]],mets9[name],mets9[name],"")="",Table1[[#This Row],[auto or manually found?]],"")</f>
        <v>5mthf_c</v>
      </c>
      <c r="S5" t="str">
        <v>camp_c</v>
      </c>
    </row>
    <row r="6" spans="1:19" ht="16" x14ac:dyDescent="0.2">
      <c r="A6" s="144" t="s">
        <v>551</v>
      </c>
      <c r="B6" s="141" t="s">
        <v>312</v>
      </c>
      <c r="C6" s="141">
        <v>139.639453</v>
      </c>
      <c r="D6" s="141">
        <v>0</v>
      </c>
      <c r="E6">
        <v>424.177302</v>
      </c>
      <c r="F6" s="141" t="s">
        <v>312</v>
      </c>
      <c r="G6" t="s">
        <v>433</v>
      </c>
      <c r="H6" t="s">
        <v>434</v>
      </c>
      <c r="I6" t="s">
        <v>445</v>
      </c>
      <c r="J6" t="s">
        <v>433</v>
      </c>
      <c r="L6">
        <v>0</v>
      </c>
      <c r="M6">
        <v>0</v>
      </c>
      <c r="N6" t="s">
        <v>829</v>
      </c>
      <c r="O6" s="141">
        <v>424.177302</v>
      </c>
      <c r="P6">
        <f>IFERROR(_xlfn.NUMBERVALUE(Table1[[#This Row],[Kim MW]]),0)-Table1[[#This Row],[MW w/o pyrophosphate (g/mol)]]</f>
        <v>0</v>
      </c>
      <c r="Q6" t="str">
        <f>IF(_xlfn.XLOOKUP(Table1[[#This Row],[auto or manually found?]],mets9[name],mets9[name],"")="",Table1[[#This Row],[auto or manually found?]],"")</f>
        <v/>
      </c>
      <c r="S6" t="str">
        <v>clpn_mm</v>
      </c>
    </row>
    <row r="7" spans="1:19" ht="16" x14ac:dyDescent="0.2">
      <c r="A7" s="144" t="s">
        <v>552</v>
      </c>
      <c r="B7" s="141" t="s">
        <v>313</v>
      </c>
      <c r="C7" s="141">
        <v>-0.57757400000000003</v>
      </c>
      <c r="D7" s="141">
        <v>-0.57757400000000003</v>
      </c>
      <c r="E7">
        <v>72.085840000000005</v>
      </c>
      <c r="F7" s="141" t="s">
        <v>313</v>
      </c>
      <c r="G7" t="s">
        <v>252</v>
      </c>
      <c r="H7" t="s">
        <v>501</v>
      </c>
      <c r="I7" t="s">
        <v>870</v>
      </c>
      <c r="J7" t="s">
        <v>252</v>
      </c>
      <c r="L7">
        <v>-0.58226162687023719</v>
      </c>
      <c r="M7">
        <v>-41.972818472707623</v>
      </c>
      <c r="N7" t="s">
        <v>830</v>
      </c>
      <c r="O7" s="141" t="s">
        <v>1299</v>
      </c>
      <c r="P7">
        <f>IFERROR(_xlfn.NUMBERVALUE(Table1[[#This Row],[Kim MW]]),0)-Table1[[#This Row],[MW w/o pyrophosphate (g/mol)]]</f>
        <v>-72.085840000000005</v>
      </c>
      <c r="Q7" t="str">
        <f>IF(_xlfn.XLOOKUP(Table1[[#This Row],[auto or manually found?]],mets9[name],mets9[name],"")="",Table1[[#This Row],[auto or manually found?]],"")</f>
        <v/>
      </c>
      <c r="S7" t="str">
        <v>ergst_r</v>
      </c>
    </row>
    <row r="8" spans="1:19" ht="16" x14ac:dyDescent="0.2">
      <c r="A8" s="144" t="s">
        <v>553</v>
      </c>
      <c r="B8" s="141" t="s">
        <v>314</v>
      </c>
      <c r="C8" s="141">
        <v>-0.146675</v>
      </c>
      <c r="D8" s="141">
        <v>-0.146675</v>
      </c>
      <c r="E8">
        <v>158.20156</v>
      </c>
      <c r="F8" s="141" t="s">
        <v>390</v>
      </c>
      <c r="G8" t="s">
        <v>253</v>
      </c>
      <c r="H8" t="s">
        <v>506</v>
      </c>
      <c r="I8" t="s">
        <v>871</v>
      </c>
      <c r="J8" t="s">
        <v>253</v>
      </c>
      <c r="L8">
        <v>-0.14786542351489512</v>
      </c>
      <c r="M8">
        <v>-23.392540670117093</v>
      </c>
      <c r="N8" t="s">
        <v>831</v>
      </c>
      <c r="O8" s="141" t="s">
        <v>1299</v>
      </c>
      <c r="P8">
        <f>IFERROR(_xlfn.NUMBERVALUE(Table1[[#This Row],[Kim MW]]),0)-Table1[[#This Row],[MW w/o pyrophosphate (g/mol)]]</f>
        <v>-158.20156</v>
      </c>
      <c r="Q8" t="str">
        <f>IF(_xlfn.XLOOKUP(Table1[[#This Row],[auto or manually found?]],mets9[name],mets9[name],"")="",Table1[[#This Row],[auto or manually found?]],"")</f>
        <v/>
      </c>
      <c r="S8" t="str">
        <v>ergstest_rm</v>
      </c>
    </row>
    <row r="9" spans="1:19" ht="16" x14ac:dyDescent="0.2">
      <c r="A9" s="144" t="s">
        <v>554</v>
      </c>
      <c r="B9" s="141" t="s">
        <v>315</v>
      </c>
      <c r="C9" s="141">
        <v>-0.10797</v>
      </c>
      <c r="D9" s="141">
        <v>-0.10797</v>
      </c>
      <c r="E9">
        <v>115.11058</v>
      </c>
      <c r="F9" s="141" t="s">
        <v>314</v>
      </c>
      <c r="G9" t="s">
        <v>254</v>
      </c>
      <c r="H9" t="s">
        <v>507</v>
      </c>
      <c r="I9" t="s">
        <v>872</v>
      </c>
      <c r="J9" t="s">
        <v>254</v>
      </c>
      <c r="L9">
        <v>-0.1088462913032434</v>
      </c>
      <c r="M9">
        <v>-12.529359722765303</v>
      </c>
      <c r="N9" t="s">
        <v>832</v>
      </c>
      <c r="O9" s="141" t="s">
        <v>1299</v>
      </c>
      <c r="P9">
        <f>IFERROR(_xlfn.NUMBERVALUE(Table1[[#This Row],[Kim MW]]),0)-Table1[[#This Row],[MW w/o pyrophosphate (g/mol)]]</f>
        <v>-115.11058</v>
      </c>
      <c r="Q9" t="str">
        <f>IF(_xlfn.XLOOKUP(Table1[[#This Row],[auto or manually found?]],mets9[name],mets9[name],"")="",Table1[[#This Row],[auto or manually found?]],"")</f>
        <v/>
      </c>
      <c r="S9" t="str">
        <v>fe3_c</v>
      </c>
    </row>
    <row r="10" spans="1:19" ht="16" x14ac:dyDescent="0.2">
      <c r="A10" s="144" t="s">
        <v>555</v>
      </c>
      <c r="B10" s="141" t="s">
        <v>316</v>
      </c>
      <c r="C10" s="141">
        <v>-0.197296</v>
      </c>
      <c r="D10" s="141">
        <v>-0.197296</v>
      </c>
      <c r="E10">
        <v>115.0874</v>
      </c>
      <c r="F10" s="141" t="s">
        <v>315</v>
      </c>
      <c r="G10" t="s">
        <v>255</v>
      </c>
      <c r="H10" t="s">
        <v>480</v>
      </c>
      <c r="I10" t="s">
        <v>873</v>
      </c>
      <c r="J10" t="s">
        <v>255</v>
      </c>
      <c r="L10">
        <v>-0.19889726673117267</v>
      </c>
      <c r="M10">
        <v>-22.89056929519716</v>
      </c>
      <c r="N10" t="s">
        <v>833</v>
      </c>
      <c r="O10" s="141" t="s">
        <v>1299</v>
      </c>
      <c r="P10">
        <f>IFERROR(_xlfn.NUMBERVALUE(Table1[[#This Row],[Kim MW]]),0)-Table1[[#This Row],[MW w/o pyrophosphate (g/mol)]]</f>
        <v>-115.0874</v>
      </c>
      <c r="Q10" t="str">
        <f>IF(_xlfn.XLOOKUP(Table1[[#This Row],[auto or manually found?]],mets9[name],mets9[name],"")="",Table1[[#This Row],[auto or manually found?]],"")</f>
        <v/>
      </c>
      <c r="S10" t="str">
        <v>glycogen_c</v>
      </c>
    </row>
    <row r="11" spans="1:19" ht="16" x14ac:dyDescent="0.2">
      <c r="A11" s="144" t="s">
        <v>556</v>
      </c>
      <c r="B11" s="141" t="s">
        <v>317</v>
      </c>
      <c r="C11" s="141">
        <v>-139.68870000000001</v>
      </c>
      <c r="D11" s="141">
        <v>-4.9247000000008256E-2</v>
      </c>
      <c r="E11">
        <v>328.19800099999998</v>
      </c>
      <c r="F11" s="141" t="s">
        <v>316</v>
      </c>
      <c r="G11" t="s">
        <v>84</v>
      </c>
      <c r="H11" t="s">
        <v>435</v>
      </c>
      <c r="I11" t="s">
        <v>874</v>
      </c>
      <c r="J11" t="s">
        <v>84</v>
      </c>
      <c r="L11">
        <v>-4.9646691745963943E-2</v>
      </c>
      <c r="M11">
        <v>-16.293944987288565</v>
      </c>
      <c r="N11" t="s">
        <v>834</v>
      </c>
      <c r="O11" s="141">
        <v>503.14926300000002</v>
      </c>
      <c r="P11">
        <f>IFERROR(_xlfn.NUMBERVALUE(Table1[[#This Row],[Kim MW]]),0)-Table1[[#This Row],[MW w/o pyrophosphate (g/mol)]]</f>
        <v>174.95126200000004</v>
      </c>
      <c r="Q11" t="str">
        <f>IF(_xlfn.XLOOKUP(Table1[[#This Row],[auto or manually found?]],mets9[name],mets9[name],"")="",Table1[[#This Row],[auto or manually found?]],"")</f>
        <v/>
      </c>
      <c r="S11" t="str">
        <v>gthrd_c</v>
      </c>
    </row>
    <row r="12" spans="1:19" ht="16" x14ac:dyDescent="0.2">
      <c r="A12" s="144" t="s">
        <v>557</v>
      </c>
      <c r="B12" s="141" t="s">
        <v>318</v>
      </c>
      <c r="C12" s="141">
        <v>-2.418E-3</v>
      </c>
      <c r="D12" s="141">
        <v>-2.418E-3</v>
      </c>
      <c r="E12">
        <v>243.30269999999999</v>
      </c>
      <c r="F12" s="141" t="s">
        <v>317</v>
      </c>
      <c r="G12" t="s">
        <v>522</v>
      </c>
      <c r="H12" t="s">
        <v>448</v>
      </c>
      <c r="I12" t="s">
        <v>446</v>
      </c>
      <c r="J12" t="s">
        <v>522</v>
      </c>
      <c r="L12">
        <v>-2.4376246399114808E-3</v>
      </c>
      <c r="M12">
        <v>-0.59308065647699104</v>
      </c>
      <c r="N12" t="s">
        <v>835</v>
      </c>
      <c r="O12" s="141">
        <v>243.30269999999999</v>
      </c>
      <c r="P12">
        <f>IFERROR(_xlfn.NUMBERVALUE(Table1[[#This Row],[Kim MW]]),0)-Table1[[#This Row],[MW w/o pyrophosphate (g/mol)]]</f>
        <v>0</v>
      </c>
      <c r="Q12" t="str">
        <f>IF(_xlfn.XLOOKUP(Table1[[#This Row],[auto or manually found?]],mets9[name],mets9[name],"")="",Table1[[#This Row],[auto or manually found?]],"")</f>
        <v>btn_m</v>
      </c>
      <c r="S12" t="str">
        <v>hemeA_m</v>
      </c>
    </row>
    <row r="13" spans="1:19" ht="16" x14ac:dyDescent="0.2">
      <c r="A13" s="144" t="s">
        <v>558</v>
      </c>
      <c r="B13" s="141" t="s">
        <v>319</v>
      </c>
      <c r="C13" s="141">
        <v>-8.3199999999999995E-4</v>
      </c>
      <c r="D13" s="141">
        <v>-8.3199999999999995E-4</v>
      </c>
      <c r="E13">
        <v>40.078000000000003</v>
      </c>
      <c r="F13" s="141" t="s">
        <v>391</v>
      </c>
      <c r="G13" t="s">
        <v>143</v>
      </c>
      <c r="H13" t="s">
        <v>521</v>
      </c>
      <c r="I13" t="s">
        <v>875</v>
      </c>
      <c r="J13" t="s">
        <v>143</v>
      </c>
      <c r="L13">
        <v>-8.3875256427061689E-4</v>
      </c>
      <c r="M13">
        <v>-3.3615525270837783E-2</v>
      </c>
      <c r="N13" t="s">
        <v>836</v>
      </c>
      <c r="O13" s="141">
        <v>40.078000000000003</v>
      </c>
      <c r="P13">
        <f>IFERROR(_xlfn.NUMBERVALUE(Table1[[#This Row],[Kim MW]]),0)-Table1[[#This Row],[MW w/o pyrophosphate (g/mol)]]</f>
        <v>0</v>
      </c>
      <c r="Q13" t="str">
        <f>IF(_xlfn.XLOOKUP(Table1[[#This Row],[auto or manually found?]],mets9[name],mets9[name],"")="",Table1[[#This Row],[auto or manually found?]],"")</f>
        <v/>
      </c>
      <c r="S13" t="str">
        <v>mannan_r</v>
      </c>
    </row>
    <row r="14" spans="1:19" ht="16" x14ac:dyDescent="0.2">
      <c r="A14" s="144" t="s">
        <v>559</v>
      </c>
      <c r="B14" s="141" t="s">
        <v>320</v>
      </c>
      <c r="C14" s="141">
        <v>-1.792E-3</v>
      </c>
      <c r="D14" s="141">
        <v>-1.792E-3</v>
      </c>
      <c r="E14">
        <v>328.19800099999998</v>
      </c>
      <c r="F14" s="141" t="s">
        <v>319</v>
      </c>
      <c r="G14" t="s">
        <v>486</v>
      </c>
      <c r="H14" t="s">
        <v>487</v>
      </c>
      <c r="I14" t="s">
        <v>876</v>
      </c>
      <c r="J14" t="s">
        <v>486</v>
      </c>
      <c r="L14">
        <v>-1.8065439845828674E-3</v>
      </c>
      <c r="M14">
        <v>-0.5929041244586718</v>
      </c>
      <c r="N14" t="s">
        <v>837</v>
      </c>
      <c r="O14" s="141">
        <v>328.19800099999998</v>
      </c>
      <c r="P14">
        <f>IFERROR(_xlfn.NUMBERVALUE(Table1[[#This Row],[Kim MW]]),0)-Table1[[#This Row],[MW w/o pyrophosphate (g/mol)]]</f>
        <v>0</v>
      </c>
      <c r="Q14" t="str">
        <f>IF(_xlfn.XLOOKUP(Table1[[#This Row],[auto or manually found?]],mets9[name],mets9[name],"")="",Table1[[#This Row],[auto or manually found?]],"")</f>
        <v>camp_c</v>
      </c>
      <c r="S14" t="str">
        <v>mlthf_c</v>
      </c>
    </row>
    <row r="15" spans="1:19" ht="16" x14ac:dyDescent="0.2">
      <c r="A15" s="144" t="s">
        <v>560</v>
      </c>
      <c r="B15" s="141" t="s">
        <v>321</v>
      </c>
      <c r="C15" s="141">
        <v>-3.1005000000000001E-2</v>
      </c>
      <c r="D15" s="141">
        <v>-3.1005000000000001E-2</v>
      </c>
      <c r="E15">
        <v>203.19252</v>
      </c>
      <c r="F15" s="141" t="s">
        <v>392</v>
      </c>
      <c r="G15" t="s">
        <v>302</v>
      </c>
      <c r="H15" t="s">
        <v>449</v>
      </c>
      <c r="I15" t="s">
        <v>877</v>
      </c>
      <c r="J15" s="142" t="s">
        <v>75</v>
      </c>
      <c r="K15" s="142"/>
      <c r="L15">
        <v>-3.1256638527897215E-2</v>
      </c>
      <c r="M15">
        <v>-6.351115149212526</v>
      </c>
      <c r="N15" t="s">
        <v>838</v>
      </c>
      <c r="O15" s="141">
        <v>203.19252</v>
      </c>
      <c r="P15">
        <f>IFERROR(_xlfn.NUMBERVALUE(Table1[[#This Row],[Kim MW]]),0)-Table1[[#This Row],[MW w/o pyrophosphate (g/mol)]]</f>
        <v>0</v>
      </c>
      <c r="Q15" t="str">
        <f>IF(_xlfn.XLOOKUP(Table1[[#This Row],[auto or manually found?]],mets9[name],mets9[name],"")="",Table1[[#This Row],[auto or manually found?]],"")</f>
        <v/>
      </c>
      <c r="S15" t="str">
        <v>na1_c</v>
      </c>
    </row>
    <row r="16" spans="1:19" ht="16" x14ac:dyDescent="0.2">
      <c r="A16" s="144" t="s">
        <v>561</v>
      </c>
      <c r="B16" s="141" t="s">
        <v>322</v>
      </c>
      <c r="C16" s="141">
        <v>-1.8E-5</v>
      </c>
      <c r="D16" s="141">
        <v>-1.8E-5</v>
      </c>
      <c r="E16">
        <v>144970.98955999999</v>
      </c>
      <c r="F16" s="141" t="s">
        <v>323</v>
      </c>
      <c r="G16" t="s">
        <v>302</v>
      </c>
      <c r="H16" t="s">
        <v>510</v>
      </c>
      <c r="I16" t="s">
        <v>878</v>
      </c>
      <c r="J16" t="s">
        <v>631</v>
      </c>
      <c r="K16" t="s">
        <v>535</v>
      </c>
      <c r="L16">
        <v>-1.8146089130854693E-5</v>
      </c>
      <c r="M16">
        <v>-2.6306564979439648</v>
      </c>
      <c r="N16" t="s">
        <v>839</v>
      </c>
      <c r="O16" s="141">
        <v>144970.98955999999</v>
      </c>
      <c r="P16">
        <f>IFERROR(_xlfn.NUMBERVALUE(Table1[[#This Row],[Kim MW]]),0)-Table1[[#This Row],[MW w/o pyrophosphate (g/mol)]]</f>
        <v>0</v>
      </c>
      <c r="Q16" t="str">
        <f>IF(_xlfn.XLOOKUP(Table1[[#This Row],[auto or manually found?]],mets9[name],mets9[name],"")="",Table1[[#This Row],[auto or manually found?]],"")</f>
        <v>clpn_mm</v>
      </c>
      <c r="S16" t="str">
        <v>pa_rm</v>
      </c>
    </row>
    <row r="17" spans="1:19" ht="16" x14ac:dyDescent="0.2">
      <c r="A17" s="144" t="s">
        <v>562</v>
      </c>
      <c r="B17" s="141" t="s">
        <v>323</v>
      </c>
      <c r="C17" s="141">
        <v>-7.6999999999999996E-4</v>
      </c>
      <c r="D17" s="141">
        <v>-7.6999999999999996E-4</v>
      </c>
      <c r="E17">
        <v>763.50236299999995</v>
      </c>
      <c r="F17" s="141" t="s">
        <v>324</v>
      </c>
      <c r="G17" t="s">
        <v>166</v>
      </c>
      <c r="H17" t="s">
        <v>444</v>
      </c>
      <c r="I17" t="s">
        <v>493</v>
      </c>
      <c r="J17" t="s">
        <v>166</v>
      </c>
      <c r="L17">
        <v>-7.7624936837545082E-4</v>
      </c>
      <c r="M17">
        <v>-0.59266822703191413</v>
      </c>
      <c r="N17" t="s">
        <v>840</v>
      </c>
      <c r="O17" s="141">
        <v>763.50236299999995</v>
      </c>
      <c r="P17">
        <f>IFERROR(_xlfn.NUMBERVALUE(Table1[[#This Row],[Kim MW]]),0)-Table1[[#This Row],[MW w/o pyrophosphate (g/mol)]]</f>
        <v>0</v>
      </c>
      <c r="Q17" t="str">
        <f>IF(_xlfn.XLOOKUP(Table1[[#This Row],[auto or manually found?]],mets9[name],mets9[name],"")="",Table1[[#This Row],[auto or manually found?]],"")</f>
        <v/>
      </c>
      <c r="S17" t="str">
        <v>pc_rm</v>
      </c>
    </row>
    <row r="18" spans="1:19" ht="16" x14ac:dyDescent="0.2">
      <c r="A18" s="144" t="s">
        <v>563</v>
      </c>
      <c r="B18" s="141" t="s">
        <v>324</v>
      </c>
      <c r="C18" s="141">
        <v>-4.4880999999999997E-2</v>
      </c>
      <c r="D18" s="141">
        <v>-4.4880999999999997E-2</v>
      </c>
      <c r="E18">
        <v>304.17330100000004</v>
      </c>
      <c r="F18" s="141" t="s">
        <v>325</v>
      </c>
      <c r="G18" t="s">
        <v>87</v>
      </c>
      <c r="H18" t="s">
        <v>457</v>
      </c>
      <c r="I18" t="s">
        <v>879</v>
      </c>
      <c r="J18" t="s">
        <v>87</v>
      </c>
      <c r="L18">
        <v>-4.5245257015660525E-2</v>
      </c>
      <c r="M18">
        <v>-13.762399181046872</v>
      </c>
      <c r="N18" t="s">
        <v>841</v>
      </c>
      <c r="O18" s="141">
        <v>479.12456300000002</v>
      </c>
      <c r="P18">
        <f>IFERROR(_xlfn.NUMBERVALUE(Table1[[#This Row],[Kim MW]]),0)-Table1[[#This Row],[MW w/o pyrophosphate (g/mol)]]</f>
        <v>174.95126199999999</v>
      </c>
      <c r="Q18" t="str">
        <f>IF(_xlfn.XLOOKUP(Table1[[#This Row],[auto or manually found?]],mets9[name],mets9[name],"")="",Table1[[#This Row],[auto or manually found?]],"")</f>
        <v/>
      </c>
      <c r="S18" t="str">
        <v>pe_rm</v>
      </c>
    </row>
    <row r="19" spans="1:19" ht="16" x14ac:dyDescent="0.2">
      <c r="A19" s="144" t="s">
        <v>564</v>
      </c>
      <c r="B19" s="141" t="s">
        <v>325</v>
      </c>
      <c r="C19" s="141">
        <v>-5.2499999999999997E-4</v>
      </c>
      <c r="D19" s="141">
        <v>-5.2499999999999997E-4</v>
      </c>
      <c r="E19">
        <v>63.545999999999999</v>
      </c>
      <c r="F19" s="141" t="s">
        <v>326</v>
      </c>
      <c r="G19" t="s">
        <v>146</v>
      </c>
      <c r="H19" t="s">
        <v>518</v>
      </c>
      <c r="I19" t="s">
        <v>880</v>
      </c>
      <c r="J19" t="s">
        <v>146</v>
      </c>
      <c r="L19">
        <v>-5.2926093298326187E-4</v>
      </c>
      <c r="M19">
        <v>-3.3632415247354358E-2</v>
      </c>
      <c r="N19" t="s">
        <v>842</v>
      </c>
      <c r="O19" s="141">
        <v>63.545999999999999</v>
      </c>
      <c r="P19">
        <f>IFERROR(_xlfn.NUMBERVALUE(Table1[[#This Row],[Kim MW]]),0)-Table1[[#This Row],[MW w/o pyrophosphate (g/mol)]]</f>
        <v>0</v>
      </c>
      <c r="Q19" t="str">
        <f>IF(_xlfn.XLOOKUP(Table1[[#This Row],[auto or manually found?]],mets9[name],mets9[name],"")="",Table1[[#This Row],[auto or manually found?]],"")</f>
        <v/>
      </c>
      <c r="S19" t="str">
        <v>ps_rm</v>
      </c>
    </row>
    <row r="20" spans="1:19" ht="16" x14ac:dyDescent="0.2">
      <c r="A20" s="144" t="s">
        <v>565</v>
      </c>
      <c r="B20" s="141" t="s">
        <v>326</v>
      </c>
      <c r="C20" s="141">
        <v>-3.4269000000000001E-2</v>
      </c>
      <c r="D20" s="141">
        <v>-3.4269000000000001E-2</v>
      </c>
      <c r="E20">
        <v>104.15084</v>
      </c>
      <c r="F20" s="141" t="s">
        <v>327</v>
      </c>
      <c r="G20" t="s">
        <v>256</v>
      </c>
      <c r="H20" t="s">
        <v>488</v>
      </c>
      <c r="I20" t="s">
        <v>881</v>
      </c>
      <c r="J20" t="s">
        <v>256</v>
      </c>
      <c r="L20">
        <v>-3.4547129356958861E-2</v>
      </c>
      <c r="M20">
        <v>-3.5981125421159255</v>
      </c>
      <c r="N20" t="s">
        <v>843</v>
      </c>
      <c r="O20" s="141" t="s">
        <v>1299</v>
      </c>
      <c r="P20">
        <f>IFERROR(_xlfn.NUMBERVALUE(Table1[[#This Row],[Kim MW]]),0)-Table1[[#This Row],[MW w/o pyrophosphate (g/mol)]]</f>
        <v>-104.15084</v>
      </c>
      <c r="Q20" t="str">
        <f>IF(_xlfn.XLOOKUP(Table1[[#This Row],[auto or manually found?]],mets9[name],mets9[name],"")="",Table1[[#This Row],[auto or manually found?]],"")</f>
        <v/>
      </c>
      <c r="S20" t="str">
        <v>psphings_r</v>
      </c>
    </row>
    <row r="21" spans="1:19" ht="16" x14ac:dyDescent="0.2">
      <c r="A21" s="144" t="s">
        <v>566</v>
      </c>
      <c r="B21" s="141" t="s">
        <v>327</v>
      </c>
      <c r="C21" s="141">
        <v>-2.4510000000000001E-3</v>
      </c>
      <c r="D21" s="141">
        <v>-2.4510000000000001E-3</v>
      </c>
      <c r="E21">
        <v>312.19860099999994</v>
      </c>
      <c r="F21" s="141" t="s">
        <v>328</v>
      </c>
      <c r="G21" t="s">
        <v>130</v>
      </c>
      <c r="H21" t="s">
        <v>450</v>
      </c>
      <c r="I21" t="s">
        <v>882</v>
      </c>
      <c r="J21" t="s">
        <v>130</v>
      </c>
      <c r="L21">
        <v>-2.4708924699847145E-3</v>
      </c>
      <c r="M21">
        <v>-0.7714091723506622</v>
      </c>
      <c r="N21" t="s">
        <v>844</v>
      </c>
      <c r="O21" s="141">
        <v>487.14986299999998</v>
      </c>
      <c r="P21">
        <f>IFERROR(_xlfn.NUMBERVALUE(Table1[[#This Row],[Kim MW]]),0)-Table1[[#This Row],[MW w/o pyrophosphate (g/mol)]]</f>
        <v>174.95126200000004</v>
      </c>
      <c r="Q21" t="str">
        <f>IF(_xlfn.XLOOKUP(Table1[[#This Row],[auto or manually found?]],mets9[name],mets9[name],"")="",Table1[[#This Row],[auto or manually found?]],"")</f>
        <v/>
      </c>
      <c r="S21" t="str">
        <v>pail_rm</v>
      </c>
    </row>
    <row r="22" spans="1:19" ht="16" x14ac:dyDescent="0.2">
      <c r="A22" s="144" t="s">
        <v>567</v>
      </c>
      <c r="B22" s="141" t="s">
        <v>328</v>
      </c>
      <c r="C22" s="141">
        <v>-4.2849999999999997E-3</v>
      </c>
      <c r="D22" s="141">
        <v>-4.2849999999999997E-3</v>
      </c>
      <c r="E22">
        <v>288.173901</v>
      </c>
      <c r="F22" s="141" t="s">
        <v>329</v>
      </c>
      <c r="G22" t="s">
        <v>133</v>
      </c>
      <c r="H22" t="s">
        <v>455</v>
      </c>
      <c r="I22" t="s">
        <v>883</v>
      </c>
      <c r="J22" t="s">
        <v>133</v>
      </c>
      <c r="L22">
        <v>-4.3197773292062425E-3</v>
      </c>
      <c r="M22">
        <v>-1.244847084408724</v>
      </c>
      <c r="N22" t="s">
        <v>845</v>
      </c>
      <c r="O22" s="141">
        <v>463.12516299999999</v>
      </c>
      <c r="P22">
        <f>IFERROR(_xlfn.NUMBERVALUE(Table1[[#This Row],[Kim MW]]),0)-Table1[[#This Row],[MW w/o pyrophosphate (g/mol)]]</f>
        <v>174.95126199999999</v>
      </c>
      <c r="Q22" t="str">
        <f>IF(_xlfn.XLOOKUP(Table1[[#This Row],[auto or manually found?]],mets9[name],mets9[name],"")="",Table1[[#This Row],[auto or manually found?]],"")</f>
        <v/>
      </c>
      <c r="S22" t="str">
        <v>ptrc_c</v>
      </c>
    </row>
    <row r="23" spans="1:19" ht="16" x14ac:dyDescent="0.2">
      <c r="A23" s="144" t="s">
        <v>568</v>
      </c>
      <c r="B23" s="141" t="s">
        <v>329</v>
      </c>
      <c r="C23" s="141">
        <v>-3.7629999999999999E-3</v>
      </c>
      <c r="D23" s="141">
        <v>-3.7629999999999999E-3</v>
      </c>
      <c r="E23">
        <v>328.19800099999998</v>
      </c>
      <c r="F23" s="141" t="s">
        <v>393</v>
      </c>
      <c r="G23" t="s">
        <v>136</v>
      </c>
      <c r="H23" t="s">
        <v>482</v>
      </c>
      <c r="I23" t="s">
        <v>884</v>
      </c>
      <c r="J23" t="s">
        <v>136</v>
      </c>
      <c r="L23">
        <v>-3.7935407444114563E-3</v>
      </c>
      <c r="M23">
        <v>-1.2450324890278919</v>
      </c>
      <c r="N23" t="s">
        <v>846</v>
      </c>
      <c r="O23" s="141">
        <v>503.14926300000002</v>
      </c>
      <c r="P23">
        <f>IFERROR(_xlfn.NUMBERVALUE(Table1[[#This Row],[Kim MW]]),0)-Table1[[#This Row],[MW w/o pyrophosphate (g/mol)]]</f>
        <v>174.95126200000004</v>
      </c>
      <c r="Q23" t="str">
        <f>IF(_xlfn.XLOOKUP(Table1[[#This Row],[auto or manually found?]],mets9[name],mets9[name],"")="",Table1[[#This Row],[auto or manually found?]],"")</f>
        <v/>
      </c>
      <c r="S23" t="str">
        <v>q9_m</v>
      </c>
    </row>
    <row r="24" spans="1:19" ht="16" x14ac:dyDescent="0.2">
      <c r="A24" s="144" t="s">
        <v>569</v>
      </c>
      <c r="B24" s="141" t="s">
        <v>330</v>
      </c>
      <c r="C24" s="141">
        <v>-2.5230000000000001E-3</v>
      </c>
      <c r="D24" s="141">
        <v>-2.5230000000000001E-3</v>
      </c>
      <c r="E24">
        <v>303.18524100000002</v>
      </c>
      <c r="F24" s="141" t="s">
        <v>330</v>
      </c>
      <c r="G24" t="s">
        <v>138</v>
      </c>
      <c r="H24" t="s">
        <v>485</v>
      </c>
      <c r="I24" t="s">
        <v>885</v>
      </c>
      <c r="J24" t="s">
        <v>138</v>
      </c>
      <c r="L24">
        <v>-2.543476826508133E-3</v>
      </c>
      <c r="M24">
        <v>-0.7711446346227836</v>
      </c>
      <c r="N24" t="s">
        <v>847</v>
      </c>
      <c r="O24" s="141">
        <v>478.136503</v>
      </c>
      <c r="P24">
        <f>IFERROR(_xlfn.NUMBERVALUE(Table1[[#This Row],[Kim MW]]),0)-Table1[[#This Row],[MW w/o pyrophosphate (g/mol)]]</f>
        <v>174.95126199999999</v>
      </c>
      <c r="Q24" t="str">
        <f>IF(_xlfn.XLOOKUP(Table1[[#This Row],[auto or manually found?]],mets9[name],mets9[name],"")="",Table1[[#This Row],[auto or manually found?]],"")</f>
        <v/>
      </c>
      <c r="S24" t="str">
        <v>tre_c</v>
      </c>
    </row>
    <row r="25" spans="1:19" ht="16" x14ac:dyDescent="0.2">
      <c r="A25" s="144" t="s">
        <v>570</v>
      </c>
      <c r="B25" s="141" t="s">
        <v>331</v>
      </c>
      <c r="C25" s="141">
        <v>-4.0309999999999999E-3</v>
      </c>
      <c r="D25" s="141">
        <v>-4.0309999999999999E-3</v>
      </c>
      <c r="E25">
        <v>396.648359999999</v>
      </c>
      <c r="F25" s="141" t="s">
        <v>394</v>
      </c>
      <c r="G25" t="s">
        <v>498</v>
      </c>
      <c r="H25" t="s">
        <v>469</v>
      </c>
      <c r="I25" t="s">
        <v>886</v>
      </c>
      <c r="J25" t="s">
        <v>498</v>
      </c>
      <c r="L25">
        <v>-4.0637158492486261E-3</v>
      </c>
      <c r="M25">
        <v>-1.6118662271104707</v>
      </c>
      <c r="N25" t="s">
        <v>848</v>
      </c>
      <c r="O25" s="141">
        <v>396.648359999999</v>
      </c>
      <c r="P25">
        <f>IFERROR(_xlfn.NUMBERVALUE(Table1[[#This Row],[Kim MW]]),0)-Table1[[#This Row],[MW w/o pyrophosphate (g/mol)]]</f>
        <v>0</v>
      </c>
      <c r="Q25" t="str">
        <f>IF(_xlfn.XLOOKUP(Table1[[#This Row],[auto or manually found?]],mets9[name],mets9[name],"")="",Table1[[#This Row],[auto or manually found?]],"")</f>
        <v>ergst_r</v>
      </c>
      <c r="S25" t="str">
        <v>tag_rm</v>
      </c>
    </row>
    <row r="26" spans="1:19" ht="16" x14ac:dyDescent="0.2">
      <c r="A26" s="144" t="s">
        <v>571</v>
      </c>
      <c r="B26" s="141" t="s">
        <v>332</v>
      </c>
      <c r="C26" s="141">
        <v>-1.5999999999999999E-5</v>
      </c>
      <c r="D26" s="141">
        <v>-1.5999999999999999E-5</v>
      </c>
      <c r="E26">
        <v>65560.645239999998</v>
      </c>
      <c r="F26" s="141" t="s">
        <v>333</v>
      </c>
      <c r="G26" t="s">
        <v>302</v>
      </c>
      <c r="H26" t="s">
        <v>527</v>
      </c>
      <c r="I26" t="s">
        <v>887</v>
      </c>
      <c r="J26" t="s">
        <v>536</v>
      </c>
      <c r="L26">
        <v>-1.6129857005204172E-5</v>
      </c>
      <c r="M26">
        <v>-1.0574838328901195</v>
      </c>
      <c r="N26" t="s">
        <v>849</v>
      </c>
      <c r="O26" s="141">
        <v>65560.645239999998</v>
      </c>
      <c r="P26">
        <f>IFERROR(_xlfn.NUMBERVALUE(Table1[[#This Row],[Kim MW]]),0)-Table1[[#This Row],[MW w/o pyrophosphate (g/mol)]]</f>
        <v>0</v>
      </c>
      <c r="Q26" t="str">
        <f>IF(_xlfn.XLOOKUP(Table1[[#This Row],[auto or manually found?]],mets9[name],mets9[name],"")="",Table1[[#This Row],[auto or manually found?]],"")</f>
        <v>ergstest_rm</v>
      </c>
      <c r="S26" t="str">
        <v>zymst_rm</v>
      </c>
    </row>
    <row r="27" spans="1:19" ht="16" x14ac:dyDescent="0.2">
      <c r="A27" s="144" t="s">
        <v>572</v>
      </c>
      <c r="B27" s="141" t="s">
        <v>333</v>
      </c>
      <c r="C27" s="141">
        <v>-7.5100000000000004E-4</v>
      </c>
      <c r="D27" s="141">
        <v>-7.5100000000000004E-4</v>
      </c>
      <c r="E27">
        <v>783.533862</v>
      </c>
      <c r="F27" s="141" t="s">
        <v>334</v>
      </c>
      <c r="G27" t="s">
        <v>168</v>
      </c>
      <c r="H27" t="s">
        <v>458</v>
      </c>
      <c r="I27" t="s">
        <v>888</v>
      </c>
      <c r="J27" t="s">
        <v>168</v>
      </c>
      <c r="L27">
        <v>-7.5709516318177089E-4</v>
      </c>
      <c r="M27">
        <v>-0.59320969710933313</v>
      </c>
      <c r="N27" t="s">
        <v>850</v>
      </c>
      <c r="O27" s="141">
        <v>783.533862</v>
      </c>
      <c r="P27">
        <f>IFERROR(_xlfn.NUMBERVALUE(Table1[[#This Row],[Kim MW]]),0)-Table1[[#This Row],[MW w/o pyrophosphate (g/mol)]]</f>
        <v>0</v>
      </c>
      <c r="Q27" t="str">
        <f>IF(_xlfn.XLOOKUP(Table1[[#This Row],[auto or manually found?]],mets9[name],mets9[name],"")="",Table1[[#This Row],[auto or manually found?]],"")</f>
        <v/>
      </c>
      <c r="S27" t="str">
        <v>zymstest_RT_rm</v>
      </c>
    </row>
    <row r="28" spans="1:19" ht="16" x14ac:dyDescent="0.2">
      <c r="A28" s="144" t="s">
        <v>573</v>
      </c>
      <c r="B28" s="141" t="s">
        <v>334</v>
      </c>
      <c r="C28" s="141">
        <v>-5.9699999999999998E-4</v>
      </c>
      <c r="D28" s="141">
        <v>-5.9699999999999998E-4</v>
      </c>
      <c r="E28">
        <v>55.844999999999999</v>
      </c>
      <c r="F28" s="141" t="s">
        <v>336</v>
      </c>
      <c r="G28" t="s">
        <v>149</v>
      </c>
      <c r="H28" t="s">
        <v>460</v>
      </c>
      <c r="I28" t="s">
        <v>889</v>
      </c>
      <c r="J28" t="s">
        <v>149</v>
      </c>
      <c r="L28">
        <v>-6.0184528950668072E-4</v>
      </c>
      <c r="M28">
        <v>-3.3610050192500587E-2</v>
      </c>
      <c r="N28" t="s">
        <v>851</v>
      </c>
      <c r="O28" s="141">
        <v>55.844999999999999</v>
      </c>
      <c r="P28">
        <f>IFERROR(_xlfn.NUMBERVALUE(Table1[[#This Row],[Kim MW]]),0)-Table1[[#This Row],[MW w/o pyrophosphate (g/mol)]]</f>
        <v>0</v>
      </c>
      <c r="Q28" t="str">
        <f>IF(_xlfn.XLOOKUP(Table1[[#This Row],[auto or manually found?]],mets9[name],mets9[name],"")="",Table1[[#This Row],[auto or manually found?]],"")</f>
        <v/>
      </c>
    </row>
    <row r="29" spans="1:19" ht="16" x14ac:dyDescent="0.2">
      <c r="A29" s="144" t="s">
        <v>574</v>
      </c>
      <c r="B29" s="141" t="s">
        <v>335</v>
      </c>
      <c r="C29" s="141">
        <v>-5.9699999999999998E-4</v>
      </c>
      <c r="D29" s="141">
        <v>-5.9699999999999998E-4</v>
      </c>
      <c r="E29">
        <v>55.844999999999999</v>
      </c>
      <c r="F29" s="141" t="s">
        <v>337</v>
      </c>
      <c r="G29" t="s">
        <v>519</v>
      </c>
      <c r="H29" t="s">
        <v>520</v>
      </c>
      <c r="I29" t="s">
        <v>890</v>
      </c>
      <c r="J29" t="s">
        <v>519</v>
      </c>
      <c r="L29">
        <v>-6.0184528950668072E-4</v>
      </c>
      <c r="M29">
        <v>-3.3610050192500587E-2</v>
      </c>
      <c r="N29" t="s">
        <v>852</v>
      </c>
      <c r="O29" s="141">
        <v>55.844999999999999</v>
      </c>
      <c r="P29">
        <f>IFERROR(_xlfn.NUMBERVALUE(Table1[[#This Row],[Kim MW]]),0)-Table1[[#This Row],[MW w/o pyrophosphate (g/mol)]]</f>
        <v>0</v>
      </c>
      <c r="Q29" t="str">
        <f>IF(_xlfn.XLOOKUP(Table1[[#This Row],[auto or manually found?]],mets9[name],mets9[name],"")="",Table1[[#This Row],[auto or manually found?]],"")</f>
        <v>fe3_c</v>
      </c>
    </row>
    <row r="30" spans="1:19" ht="16" x14ac:dyDescent="0.2">
      <c r="A30" s="144" t="s">
        <v>575</v>
      </c>
      <c r="B30" s="141" t="s">
        <v>336</v>
      </c>
      <c r="C30" s="141">
        <v>-0.117898</v>
      </c>
      <c r="D30" s="141">
        <v>-0.117898</v>
      </c>
      <c r="E30">
        <v>129.13715999999999</v>
      </c>
      <c r="F30" s="141" t="s">
        <v>339</v>
      </c>
      <c r="G30" t="s">
        <v>257</v>
      </c>
      <c r="H30" t="s">
        <v>502</v>
      </c>
      <c r="I30" t="s">
        <v>891</v>
      </c>
      <c r="J30" t="s">
        <v>257</v>
      </c>
      <c r="L30">
        <v>-0.1188548675749726</v>
      </c>
      <c r="M30">
        <v>-15.348580050808048</v>
      </c>
      <c r="N30" t="s">
        <v>853</v>
      </c>
      <c r="O30" s="141" t="s">
        <v>1299</v>
      </c>
      <c r="P30">
        <f>IFERROR(_xlfn.NUMBERVALUE(Table1[[#This Row],[Kim MW]]),0)-Table1[[#This Row],[MW w/o pyrophosphate (g/mol)]]</f>
        <v>-129.13715999999999</v>
      </c>
      <c r="Q30" t="str">
        <f>IF(_xlfn.XLOOKUP(Table1[[#This Row],[auto or manually found?]],mets9[name],mets9[name],"")="",Table1[[#This Row],[auto or manually found?]],"")</f>
        <v/>
      </c>
    </row>
    <row r="31" spans="1:19" ht="16" x14ac:dyDescent="0.2">
      <c r="A31" s="144" t="s">
        <v>576</v>
      </c>
      <c r="B31" s="141" t="s">
        <v>337</v>
      </c>
      <c r="C31" s="141">
        <v>-0.208673</v>
      </c>
      <c r="D31" s="141">
        <v>-0.208673</v>
      </c>
      <c r="E31">
        <v>129.11398</v>
      </c>
      <c r="F31" s="141" t="s">
        <v>395</v>
      </c>
      <c r="G31" t="s">
        <v>258</v>
      </c>
      <c r="H31" t="s">
        <v>461</v>
      </c>
      <c r="I31" t="s">
        <v>892</v>
      </c>
      <c r="J31" t="s">
        <v>258</v>
      </c>
      <c r="L31">
        <v>-0.21036660317793565</v>
      </c>
      <c r="M31">
        <v>-27.161269395383918</v>
      </c>
      <c r="N31" t="s">
        <v>854</v>
      </c>
      <c r="O31" s="141" t="s">
        <v>1299</v>
      </c>
      <c r="P31">
        <f>IFERROR(_xlfn.NUMBERVALUE(Table1[[#This Row],[Kim MW]]),0)-Table1[[#This Row],[MW w/o pyrophosphate (g/mol)]]</f>
        <v>-129.11398</v>
      </c>
      <c r="Q31" t="str">
        <f>IF(_xlfn.XLOOKUP(Table1[[#This Row],[auto or manually found?]],mets9[name],mets9[name],"")="",Table1[[#This Row],[auto or manually found?]],"")</f>
        <v/>
      </c>
    </row>
    <row r="32" spans="1:19" ht="16" x14ac:dyDescent="0.2">
      <c r="A32" s="144" t="s">
        <v>577</v>
      </c>
      <c r="B32" s="141" t="s">
        <v>338</v>
      </c>
      <c r="C32" s="141">
        <v>-0.518069</v>
      </c>
      <c r="D32" s="141">
        <v>-0.518069</v>
      </c>
      <c r="E32">
        <v>162.14060000000001</v>
      </c>
      <c r="F32" s="141" t="s">
        <v>341</v>
      </c>
      <c r="G32" t="s">
        <v>491</v>
      </c>
      <c r="H32" t="s">
        <v>492</v>
      </c>
      <c r="I32" t="s">
        <v>893</v>
      </c>
      <c r="J32" t="s">
        <v>491</v>
      </c>
      <c r="L32">
        <v>-0.52227368055182</v>
      </c>
      <c r="M32">
        <v>-84.681767928880433</v>
      </c>
      <c r="N32" t="s">
        <v>855</v>
      </c>
      <c r="O32" s="141">
        <v>162.14060000000001</v>
      </c>
      <c r="P32">
        <f>IFERROR(_xlfn.NUMBERVALUE(Table1[[#This Row],[Kim MW]]),0)-Table1[[#This Row],[MW w/o pyrophosphate (g/mol)]]</f>
        <v>0</v>
      </c>
      <c r="Q32" t="str">
        <f>IF(_xlfn.XLOOKUP(Table1[[#This Row],[auto or manually found?]],mets9[name],mets9[name],"")="",Table1[[#This Row],[auto or manually found?]],"")</f>
        <v>glycogen_c</v>
      </c>
    </row>
    <row r="33" spans="1:17" ht="16" x14ac:dyDescent="0.2">
      <c r="A33" s="144" t="s">
        <v>578</v>
      </c>
      <c r="B33" s="141" t="s">
        <v>339</v>
      </c>
      <c r="C33" s="141">
        <v>-0.51322000000000001</v>
      </c>
      <c r="D33" s="141">
        <v>-0.51322000000000001</v>
      </c>
      <c r="E33">
        <v>58.059260000000002</v>
      </c>
      <c r="F33" s="141" t="s">
        <v>342</v>
      </c>
      <c r="G33" t="s">
        <v>259</v>
      </c>
      <c r="H33" t="s">
        <v>456</v>
      </c>
      <c r="I33" t="s">
        <v>440</v>
      </c>
      <c r="J33" t="s">
        <v>259</v>
      </c>
      <c r="L33">
        <v>-0.5173853257631803</v>
      </c>
      <c r="M33">
        <v>-30.039009148669184</v>
      </c>
      <c r="N33" t="s">
        <v>856</v>
      </c>
      <c r="O33" s="141" t="s">
        <v>1299</v>
      </c>
      <c r="P33">
        <f>IFERROR(_xlfn.NUMBERVALUE(Table1[[#This Row],[Kim MW]]),0)-Table1[[#This Row],[MW w/o pyrophosphate (g/mol)]]</f>
        <v>-58.059260000000002</v>
      </c>
      <c r="Q33" t="str">
        <f>IF(_xlfn.XLOOKUP(Table1[[#This Row],[auto or manually found?]],mets9[name],mets9[name],"")="",Table1[[#This Row],[auto or manually found?]],"")</f>
        <v/>
      </c>
    </row>
    <row r="34" spans="1:17" ht="16" x14ac:dyDescent="0.2">
      <c r="A34" s="144" t="s">
        <v>579</v>
      </c>
      <c r="B34" s="141" t="s">
        <v>340</v>
      </c>
      <c r="C34" s="141">
        <v>-1.92E-3</v>
      </c>
      <c r="D34" s="141">
        <v>-1.92E-3</v>
      </c>
      <c r="E34">
        <v>306.31554</v>
      </c>
      <c r="F34" s="141" t="s">
        <v>343</v>
      </c>
      <c r="G34" t="s">
        <v>453</v>
      </c>
      <c r="H34" t="s">
        <v>454</v>
      </c>
      <c r="I34" t="s">
        <v>437</v>
      </c>
      <c r="J34" t="s">
        <v>453</v>
      </c>
      <c r="L34">
        <v>-1.9355828406245007E-3</v>
      </c>
      <c r="M34">
        <v>-0.59289910304062787</v>
      </c>
      <c r="N34" t="s">
        <v>857</v>
      </c>
      <c r="O34" s="141">
        <v>306.31554</v>
      </c>
      <c r="P34">
        <f>IFERROR(_xlfn.NUMBERVALUE(Table1[[#This Row],[Kim MW]]),0)-Table1[[#This Row],[MW w/o pyrophosphate (g/mol)]]</f>
        <v>0</v>
      </c>
      <c r="Q34" t="str">
        <f>IF(_xlfn.XLOOKUP(Table1[[#This Row],[auto or manually found?]],mets9[name],mets9[name],"")="",Table1[[#This Row],[auto or manually found?]],"")</f>
        <v>gthrd_c</v>
      </c>
    </row>
    <row r="35" spans="1:17" ht="16" x14ac:dyDescent="0.2">
      <c r="A35" s="144" t="s">
        <v>580</v>
      </c>
      <c r="B35" s="141" t="s">
        <v>341</v>
      </c>
      <c r="C35" s="141">
        <v>-5.1084999999999998E-2</v>
      </c>
      <c r="D35" s="141">
        <v>-5.1084999999999998E-2</v>
      </c>
      <c r="E35">
        <v>344.19740100000001</v>
      </c>
      <c r="F35" s="141" t="s">
        <v>396</v>
      </c>
      <c r="G35" t="s">
        <v>90</v>
      </c>
      <c r="H35" t="s">
        <v>447</v>
      </c>
      <c r="I35" t="s">
        <v>894</v>
      </c>
      <c r="J35" t="s">
        <v>90</v>
      </c>
      <c r="L35">
        <v>-5.1499609069428444E-2</v>
      </c>
      <c r="M35">
        <v>-17.7260315942133</v>
      </c>
      <c r="N35" t="s">
        <v>858</v>
      </c>
      <c r="O35" s="141">
        <v>519.14866300000006</v>
      </c>
      <c r="P35">
        <f>IFERROR(_xlfn.NUMBERVALUE(Table1[[#This Row],[Kim MW]]),0)-Table1[[#This Row],[MW w/o pyrophosphate (g/mol)]]</f>
        <v>174.95126200000004</v>
      </c>
      <c r="Q35" t="str">
        <f>IF(_xlfn.XLOOKUP(Table1[[#This Row],[auto or manually found?]],mets9[name],mets9[name],"")="",Table1[[#This Row],[auto or manually found?]],"")</f>
        <v/>
      </c>
    </row>
    <row r="36" spans="1:17" ht="16" x14ac:dyDescent="0.2">
      <c r="A36" s="144" t="s">
        <v>581</v>
      </c>
      <c r="B36" s="141" t="s">
        <v>342</v>
      </c>
      <c r="C36" s="141">
        <v>-135.719639</v>
      </c>
      <c r="D36" s="141">
        <v>3.9198140000000024</v>
      </c>
      <c r="E36">
        <v>18.015280000000001</v>
      </c>
      <c r="F36" s="141" t="s">
        <v>397</v>
      </c>
      <c r="G36" t="s">
        <v>441</v>
      </c>
      <c r="H36" t="s">
        <v>439</v>
      </c>
      <c r="I36" t="s">
        <v>895</v>
      </c>
      <c r="J36" t="s">
        <v>441</v>
      </c>
      <c r="L36">
        <v>3.9516274566873393</v>
      </c>
      <c r="M36">
        <v>71.189675087910288</v>
      </c>
      <c r="N36" t="s">
        <v>859</v>
      </c>
      <c r="O36" s="141">
        <v>18.015280000000001</v>
      </c>
      <c r="P36">
        <f>IFERROR(_xlfn.NUMBERVALUE(Table1[[#This Row],[Kim MW]]),0)-Table1[[#This Row],[MW w/o pyrophosphate (g/mol)]]</f>
        <v>0</v>
      </c>
      <c r="Q36" t="str">
        <f>IF(_xlfn.XLOOKUP(Table1[[#This Row],[auto or manually found?]],mets9[name],mets9[name],"")="",Table1[[#This Row],[auto or manually found?]],"")</f>
        <v/>
      </c>
    </row>
    <row r="37" spans="1:17" ht="16" x14ac:dyDescent="0.2">
      <c r="A37" s="144" t="s">
        <v>582</v>
      </c>
      <c r="B37" s="141" t="s">
        <v>343</v>
      </c>
      <c r="C37" s="141">
        <v>139.639453</v>
      </c>
      <c r="D37" s="141">
        <v>0</v>
      </c>
      <c r="E37">
        <v>1.0079400000000001</v>
      </c>
      <c r="F37" s="141" t="s">
        <v>345</v>
      </c>
      <c r="G37" t="s">
        <v>436</v>
      </c>
      <c r="H37" t="s">
        <v>437</v>
      </c>
      <c r="I37" t="s">
        <v>896</v>
      </c>
      <c r="J37" t="s">
        <v>436</v>
      </c>
      <c r="L37">
        <v>0</v>
      </c>
      <c r="M37">
        <v>0</v>
      </c>
      <c r="N37" t="s">
        <v>860</v>
      </c>
      <c r="O37" s="141">
        <v>1.0079400000000001</v>
      </c>
      <c r="P37">
        <f>IFERROR(_xlfn.NUMBERVALUE(Table1[[#This Row],[Kim MW]]),0)-Table1[[#This Row],[MW w/o pyrophosphate (g/mol)]]</f>
        <v>0</v>
      </c>
      <c r="Q37" t="str">
        <f>IF(_xlfn.XLOOKUP(Table1[[#This Row],[auto or manually found?]],mets9[name],mets9[name],"")="",Table1[[#This Row],[auto or manually found?]],"")</f>
        <v/>
      </c>
    </row>
    <row r="38" spans="1:17" ht="16" x14ac:dyDescent="0.2">
      <c r="A38" s="144" t="s">
        <v>583</v>
      </c>
      <c r="B38" s="141" t="s">
        <v>344</v>
      </c>
      <c r="C38" s="141">
        <v>-6.9099999999999999E-4</v>
      </c>
      <c r="D38" s="141">
        <v>-6.9099999999999999E-4</v>
      </c>
      <c r="E38">
        <v>850.82126000000005</v>
      </c>
      <c r="F38" s="141" t="s">
        <v>346</v>
      </c>
      <c r="G38" t="s">
        <v>515</v>
      </c>
      <c r="H38" t="s">
        <v>516</v>
      </c>
      <c r="I38" t="s">
        <v>897</v>
      </c>
      <c r="J38" t="s">
        <v>515</v>
      </c>
      <c r="L38">
        <v>-6.9660819941225519E-4</v>
      </c>
      <c r="M38">
        <v>-0.59268906595026627</v>
      </c>
      <c r="N38" t="s">
        <v>861</v>
      </c>
      <c r="O38" s="141">
        <v>850.82126000000005</v>
      </c>
      <c r="P38">
        <f>IFERROR(_xlfn.NUMBERVALUE(Table1[[#This Row],[Kim MW]]),0)-Table1[[#This Row],[MW w/o pyrophosphate (g/mol)]]</f>
        <v>0</v>
      </c>
      <c r="Q38" t="str">
        <f>IF(_xlfn.XLOOKUP(Table1[[#This Row],[auto or manually found?]],mets9[name],mets9[name],"")="",Table1[[#This Row],[auto or manually found?]],"")</f>
        <v>hemeA_m</v>
      </c>
    </row>
    <row r="39" spans="1:17" ht="16" x14ac:dyDescent="0.2">
      <c r="A39" s="144" t="s">
        <v>584</v>
      </c>
      <c r="B39" s="141" t="s">
        <v>345</v>
      </c>
      <c r="C39" s="141">
        <v>-6.1166999999999999E-2</v>
      </c>
      <c r="D39" s="141">
        <v>-6.1166999999999999E-2</v>
      </c>
      <c r="E39">
        <v>138.14722</v>
      </c>
      <c r="F39" s="141" t="s">
        <v>398</v>
      </c>
      <c r="G39" t="s">
        <v>260</v>
      </c>
      <c r="H39" t="s">
        <v>464</v>
      </c>
      <c r="I39" t="s">
        <v>898</v>
      </c>
      <c r="J39" t="s">
        <v>260</v>
      </c>
      <c r="L39">
        <v>-6.1663435214832724E-2</v>
      </c>
      <c r="M39">
        <v>-8.5186321505792435</v>
      </c>
      <c r="N39" t="s">
        <v>862</v>
      </c>
      <c r="O39" s="141" t="s">
        <v>1299</v>
      </c>
      <c r="P39">
        <f>IFERROR(_xlfn.NUMBERVALUE(Table1[[#This Row],[Kim MW]]),0)-Table1[[#This Row],[MW w/o pyrophosphate (g/mol)]]</f>
        <v>-138.14722</v>
      </c>
      <c r="Q39" t="str">
        <f>IF(_xlfn.XLOOKUP(Table1[[#This Row],[auto or manually found?]],mets9[name],mets9[name],"")="",Table1[[#This Row],[auto or manually found?]],"")</f>
        <v/>
      </c>
    </row>
    <row r="40" spans="1:17" ht="16" x14ac:dyDescent="0.2">
      <c r="A40" s="144" t="s">
        <v>585</v>
      </c>
      <c r="B40" s="141" t="s">
        <v>346</v>
      </c>
      <c r="C40" s="141">
        <v>-0.15856899999999999</v>
      </c>
      <c r="D40" s="141">
        <v>-0.15856899999999999</v>
      </c>
      <c r="E40">
        <v>114.16558000000001</v>
      </c>
      <c r="F40" s="141" t="s">
        <v>347</v>
      </c>
      <c r="G40" t="s">
        <v>261</v>
      </c>
      <c r="H40" t="s">
        <v>479</v>
      </c>
      <c r="I40" t="s">
        <v>899</v>
      </c>
      <c r="J40" t="s">
        <v>261</v>
      </c>
      <c r="L40">
        <v>-0.15985595596613877</v>
      </c>
      <c r="M40">
        <v>-18.250047929328694</v>
      </c>
      <c r="N40" t="s">
        <v>863</v>
      </c>
      <c r="O40" s="141" t="s">
        <v>1299</v>
      </c>
      <c r="P40">
        <f>IFERROR(_xlfn.NUMBERVALUE(Table1[[#This Row],[Kim MW]]),0)-Table1[[#This Row],[MW w/o pyrophosphate (g/mol)]]</f>
        <v>-114.16558000000001</v>
      </c>
      <c r="Q40" t="str">
        <f>IF(_xlfn.XLOOKUP(Table1[[#This Row],[auto or manually found?]],mets9[name],mets9[name],"")="",Table1[[#This Row],[auto or manually found?]],"")</f>
        <v/>
      </c>
    </row>
    <row r="41" spans="1:17" ht="16" x14ac:dyDescent="0.2">
      <c r="A41" s="144" t="s">
        <v>586</v>
      </c>
      <c r="B41" s="141" t="s">
        <v>347</v>
      </c>
      <c r="C41" s="141">
        <v>-0.58570299999999997</v>
      </c>
      <c r="D41" s="141">
        <v>-0.58570299999999997</v>
      </c>
      <c r="E41">
        <v>39.098300000000002</v>
      </c>
      <c r="F41" s="141" t="s">
        <v>348</v>
      </c>
      <c r="G41" t="s">
        <v>152</v>
      </c>
      <c r="H41" t="s">
        <v>517</v>
      </c>
      <c r="I41" t="s">
        <v>900</v>
      </c>
      <c r="J41" t="s">
        <v>152</v>
      </c>
      <c r="L41">
        <v>-0.59045660234494368</v>
      </c>
      <c r="M41">
        <v>-23.085849375463312</v>
      </c>
      <c r="N41" t="s">
        <v>864</v>
      </c>
      <c r="O41" s="141">
        <v>39.098300000000002</v>
      </c>
      <c r="P41">
        <f>IFERROR(_xlfn.NUMBERVALUE(Table1[[#This Row],[Kim MW]]),0)-Table1[[#This Row],[MW w/o pyrophosphate (g/mol)]]</f>
        <v>0</v>
      </c>
      <c r="Q41" t="str">
        <f>IF(_xlfn.XLOOKUP(Table1[[#This Row],[auto or manually found?]],mets9[name],mets9[name],"")="",Table1[[#This Row],[auto or manually found?]],"")</f>
        <v/>
      </c>
    </row>
    <row r="42" spans="1:17" ht="16" x14ac:dyDescent="0.2">
      <c r="A42" s="144" t="s">
        <v>587</v>
      </c>
      <c r="B42" s="141" t="s">
        <v>348</v>
      </c>
      <c r="C42" s="141">
        <v>-0.32020500000000002</v>
      </c>
      <c r="D42" s="141">
        <v>-0.32020500000000002</v>
      </c>
      <c r="E42">
        <v>114.16558000000001</v>
      </c>
      <c r="F42" s="141" t="s">
        <v>399</v>
      </c>
      <c r="G42" t="s">
        <v>262</v>
      </c>
      <c r="H42" t="s">
        <v>490</v>
      </c>
      <c r="I42" t="s">
        <v>901</v>
      </c>
      <c r="J42" t="s">
        <v>262</v>
      </c>
      <c r="L42">
        <v>-0.32280380389696267</v>
      </c>
      <c r="M42">
        <v>-36.853083498103004</v>
      </c>
      <c r="N42" t="s">
        <v>865</v>
      </c>
      <c r="O42" s="141" t="s">
        <v>1299</v>
      </c>
      <c r="P42">
        <f>IFERROR(_xlfn.NUMBERVALUE(Table1[[#This Row],[Kim MW]]),0)-Table1[[#This Row],[MW w/o pyrophosphate (g/mol)]]</f>
        <v>-114.16558000000001</v>
      </c>
      <c r="Q42" t="str">
        <f>IF(_xlfn.XLOOKUP(Table1[[#This Row],[auto or manually found?]],mets9[name],mets9[name],"")="",Table1[[#This Row],[auto or manually found?]],"")</f>
        <v/>
      </c>
    </row>
    <row r="43" spans="1:17" ht="16" x14ac:dyDescent="0.2">
      <c r="A43" s="144" t="s">
        <v>588</v>
      </c>
      <c r="B43" s="141" t="s">
        <v>349</v>
      </c>
      <c r="C43" s="141">
        <v>-3.107E-3</v>
      </c>
      <c r="D43" s="141">
        <v>-3.107E-3</v>
      </c>
      <c r="E43">
        <v>189.31822</v>
      </c>
      <c r="F43" s="141" t="s">
        <v>400</v>
      </c>
      <c r="G43" t="s">
        <v>302</v>
      </c>
      <c r="H43" t="s">
        <v>525</v>
      </c>
      <c r="I43" t="s">
        <v>902</v>
      </c>
      <c r="J43" t="s">
        <v>302</v>
      </c>
      <c r="L43">
        <v>0</v>
      </c>
      <c r="M43">
        <v>0</v>
      </c>
      <c r="N43" t="s">
        <v>302</v>
      </c>
      <c r="O43" s="141">
        <v>189.31822</v>
      </c>
      <c r="P43">
        <f>IFERROR(_xlfn.NUMBERVALUE(Table1[[#This Row],[Kim MW]]),0)-Table1[[#This Row],[MW w/o pyrophosphate (g/mol)]]</f>
        <v>0</v>
      </c>
      <c r="Q43" t="str">
        <f>IF(_xlfn.XLOOKUP(Table1[[#This Row],[auto or manually found?]],mets9[name],mets9[name],"")="",Table1[[#This Row],[auto or manually found?]],"")</f>
        <v/>
      </c>
    </row>
    <row r="44" spans="1:17" ht="16" x14ac:dyDescent="0.2">
      <c r="A44" s="144" t="s">
        <v>589</v>
      </c>
      <c r="B44" s="141" t="s">
        <v>350</v>
      </c>
      <c r="C44" s="141">
        <v>-0.17233399999999999</v>
      </c>
      <c r="D44" s="141">
        <v>-0.17233399999999999</v>
      </c>
      <c r="E44">
        <v>130.18816000000001</v>
      </c>
      <c r="F44" s="141" t="s">
        <v>350</v>
      </c>
      <c r="G44" t="s">
        <v>263</v>
      </c>
      <c r="H44" t="s">
        <v>512</v>
      </c>
      <c r="I44" t="s">
        <v>903</v>
      </c>
      <c r="J44" t="s">
        <v>263</v>
      </c>
      <c r="L44">
        <v>-0.17373267357092848</v>
      </c>
      <c r="M44">
        <v>-22.617937104079811</v>
      </c>
      <c r="N44" t="s">
        <v>769</v>
      </c>
      <c r="O44" s="141" t="s">
        <v>1299</v>
      </c>
      <c r="P44">
        <f>IFERROR(_xlfn.NUMBERVALUE(Table1[[#This Row],[Kim MW]]),0)-Table1[[#This Row],[MW w/o pyrophosphate (g/mol)]]</f>
        <v>-130.18816000000001</v>
      </c>
      <c r="Q44" t="str">
        <f>IF(_xlfn.XLOOKUP(Table1[[#This Row],[auto or manually found?]],mets9[name],mets9[name],"")="",Table1[[#This Row],[auto or manually found?]],"")</f>
        <v/>
      </c>
    </row>
    <row r="45" spans="1:17" ht="16" x14ac:dyDescent="0.2">
      <c r="A45" s="144" t="s">
        <v>590</v>
      </c>
      <c r="B45" s="141" t="s">
        <v>351</v>
      </c>
      <c r="C45" s="141">
        <v>-0.80794100000000002</v>
      </c>
      <c r="D45" s="141">
        <v>-0.80794100000000002</v>
      </c>
      <c r="E45">
        <v>162.14060000000001</v>
      </c>
      <c r="F45" s="141" t="s">
        <v>352</v>
      </c>
      <c r="G45" t="s">
        <v>483</v>
      </c>
      <c r="H45" t="s">
        <v>484</v>
      </c>
      <c r="I45" t="s">
        <v>904</v>
      </c>
      <c r="J45" t="s">
        <v>483</v>
      </c>
      <c r="L45">
        <v>-0.81449829991510403</v>
      </c>
      <c r="M45">
        <v>-132.06324304721491</v>
      </c>
      <c r="N45" t="s">
        <v>770</v>
      </c>
      <c r="O45" s="141">
        <v>162.14060000000001</v>
      </c>
      <c r="P45">
        <f>IFERROR(_xlfn.NUMBERVALUE(Table1[[#This Row],[Kim MW]]),0)-Table1[[#This Row],[MW w/o pyrophosphate (g/mol)]]</f>
        <v>0</v>
      </c>
      <c r="Q45" t="str">
        <f>IF(_xlfn.XLOOKUP(Table1[[#This Row],[auto or manually found?]],mets9[name],mets9[name],"")="",Table1[[#This Row],[auto or manually found?]],"")</f>
        <v>mannan_r</v>
      </c>
    </row>
    <row r="46" spans="1:17" ht="16" x14ac:dyDescent="0.2">
      <c r="A46" s="144" t="s">
        <v>591</v>
      </c>
      <c r="B46" s="141" t="s">
        <v>352</v>
      </c>
      <c r="C46" s="141">
        <v>-5.7049999999999997E-2</v>
      </c>
      <c r="D46" s="141">
        <v>-5.7049999999999997E-2</v>
      </c>
      <c r="E46">
        <v>132.20400000000001</v>
      </c>
      <c r="F46" s="141" t="s">
        <v>353</v>
      </c>
      <c r="G46" t="s">
        <v>264</v>
      </c>
      <c r="H46" t="s">
        <v>472</v>
      </c>
      <c r="I46" t="s">
        <v>905</v>
      </c>
      <c r="J46" t="s">
        <v>264</v>
      </c>
      <c r="L46">
        <v>-5.7513021384181122E-2</v>
      </c>
      <c r="M46">
        <v>-7.6034514790742813</v>
      </c>
      <c r="N46" t="s">
        <v>771</v>
      </c>
      <c r="O46" s="141" t="s">
        <v>1299</v>
      </c>
      <c r="P46">
        <f>IFERROR(_xlfn.NUMBERVALUE(Table1[[#This Row],[Kim MW]]),0)-Table1[[#This Row],[MW w/o pyrophosphate (g/mol)]]</f>
        <v>-132.20400000000001</v>
      </c>
      <c r="Q46" t="str">
        <f>IF(_xlfn.XLOOKUP(Table1[[#This Row],[auto or manually found?]],mets9[name],mets9[name],"")="",Table1[[#This Row],[auto or manually found?]],"")</f>
        <v/>
      </c>
    </row>
    <row r="47" spans="1:17" ht="16" x14ac:dyDescent="0.2">
      <c r="A47" s="144" t="s">
        <v>592</v>
      </c>
      <c r="B47" s="141" t="s">
        <v>353</v>
      </c>
      <c r="C47" s="141">
        <v>-6.1716E-2</v>
      </c>
      <c r="D47" s="141">
        <v>-6.1716E-2</v>
      </c>
      <c r="E47">
        <v>24.305</v>
      </c>
      <c r="F47" s="141" t="s">
        <v>355</v>
      </c>
      <c r="G47" t="s">
        <v>155</v>
      </c>
      <c r="H47" t="s">
        <v>529</v>
      </c>
      <c r="I47" t="s">
        <v>906</v>
      </c>
      <c r="J47" t="s">
        <v>155</v>
      </c>
      <c r="L47">
        <v>-6.2216890933323797E-2</v>
      </c>
      <c r="M47">
        <v>-1.5121815341344349</v>
      </c>
      <c r="N47" t="s">
        <v>772</v>
      </c>
      <c r="O47" s="141">
        <v>24.305</v>
      </c>
      <c r="P47">
        <f>IFERROR(_xlfn.NUMBERVALUE(Table1[[#This Row],[Kim MW]]),0)-Table1[[#This Row],[MW w/o pyrophosphate (g/mol)]]</f>
        <v>0</v>
      </c>
      <c r="Q47" t="str">
        <f>IF(_xlfn.XLOOKUP(Table1[[#This Row],[auto or manually found?]],mets9[name],mets9[name],"")="",Table1[[#This Row],[auto or manually found?]],"")</f>
        <v/>
      </c>
    </row>
    <row r="48" spans="1:17" ht="16" x14ac:dyDescent="0.2">
      <c r="A48" s="144" t="s">
        <v>593</v>
      </c>
      <c r="B48" s="141" t="s">
        <v>354</v>
      </c>
      <c r="C48" s="141">
        <v>-1.292E-3</v>
      </c>
      <c r="D48" s="141">
        <v>-1.292E-3</v>
      </c>
      <c r="E48">
        <v>455.42403999999999</v>
      </c>
      <c r="F48" s="141" t="s">
        <v>357</v>
      </c>
      <c r="G48" t="s">
        <v>470</v>
      </c>
      <c r="H48" t="s">
        <v>471</v>
      </c>
      <c r="I48" t="s">
        <v>907</v>
      </c>
      <c r="J48" t="s">
        <v>470</v>
      </c>
      <c r="L48">
        <v>-1.3024859531702369E-3</v>
      </c>
      <c r="M48">
        <v>-0.59318341483604009</v>
      </c>
      <c r="N48" t="s">
        <v>773</v>
      </c>
      <c r="O48" s="141">
        <v>455.42403999999999</v>
      </c>
      <c r="P48">
        <f>IFERROR(_xlfn.NUMBERVALUE(Table1[[#This Row],[Kim MW]]),0)-Table1[[#This Row],[MW w/o pyrophosphate (g/mol)]]</f>
        <v>0</v>
      </c>
      <c r="Q48" t="str">
        <f>IF(_xlfn.XLOOKUP(Table1[[#This Row],[auto or manually found?]],mets9[name],mets9[name],"")="",Table1[[#This Row],[auto or manually found?]],"")</f>
        <v>mlthf_c</v>
      </c>
    </row>
    <row r="49" spans="1:17" ht="16" x14ac:dyDescent="0.2">
      <c r="A49" s="144" t="s">
        <v>594</v>
      </c>
      <c r="B49" s="141" t="s">
        <v>355</v>
      </c>
      <c r="C49" s="141">
        <v>-6.0700000000000001E-4</v>
      </c>
      <c r="D49" s="141">
        <v>-6.0700000000000001E-4</v>
      </c>
      <c r="E49">
        <v>54.938048999999999</v>
      </c>
      <c r="F49" s="141" t="s">
        <v>358</v>
      </c>
      <c r="G49" t="s">
        <v>158</v>
      </c>
      <c r="H49" t="s">
        <v>530</v>
      </c>
      <c r="I49" t="s">
        <v>908</v>
      </c>
      <c r="J49" t="s">
        <v>158</v>
      </c>
      <c r="L49">
        <v>-6.1192645013493328E-4</v>
      </c>
      <c r="M49">
        <v>-3.3618045301909018E-2</v>
      </c>
      <c r="N49" t="s">
        <v>774</v>
      </c>
      <c r="O49" s="141">
        <v>54.938048999999999</v>
      </c>
      <c r="P49">
        <f>IFERROR(_xlfn.NUMBERVALUE(Table1[[#This Row],[Kim MW]]),0)-Table1[[#This Row],[MW w/o pyrophosphate (g/mol)]]</f>
        <v>0</v>
      </c>
      <c r="Q49" t="str">
        <f>IF(_xlfn.XLOOKUP(Table1[[#This Row],[auto or manually found?]],mets9[name],mets9[name],"")="",Table1[[#This Row],[auto or manually found?]],"")</f>
        <v/>
      </c>
    </row>
    <row r="50" spans="1:17" ht="16" x14ac:dyDescent="0.2">
      <c r="A50" s="144" t="s">
        <v>595</v>
      </c>
      <c r="B50" s="141" t="s">
        <v>356</v>
      </c>
      <c r="C50" s="141">
        <v>-2.6099000000000001E-2</v>
      </c>
      <c r="D50" s="141">
        <v>-2.6099000000000001E-2</v>
      </c>
      <c r="E50">
        <v>22.98977</v>
      </c>
      <c r="F50" s="141" t="s">
        <v>401</v>
      </c>
      <c r="G50" t="s">
        <v>474</v>
      </c>
      <c r="H50" t="s">
        <v>475</v>
      </c>
      <c r="I50" t="s">
        <v>909</v>
      </c>
      <c r="J50" t="s">
        <v>474</v>
      </c>
      <c r="L50">
        <v>-2.6310821123676484E-2</v>
      </c>
      <c r="M50">
        <v>-0.60487972614446395</v>
      </c>
      <c r="N50" t="s">
        <v>775</v>
      </c>
      <c r="O50" s="141">
        <v>22.98977</v>
      </c>
      <c r="P50">
        <f>IFERROR(_xlfn.NUMBERVALUE(Table1[[#This Row],[Kim MW]]),0)-Table1[[#This Row],[MW w/o pyrophosphate (g/mol)]]</f>
        <v>0</v>
      </c>
      <c r="Q50" t="str">
        <f>IF(_xlfn.XLOOKUP(Table1[[#This Row],[auto or manually found?]],mets9[name],mets9[name],"")="",Table1[[#This Row],[auto or manually found?]],"")</f>
        <v>na1_c</v>
      </c>
    </row>
    <row r="51" spans="1:17" ht="16" x14ac:dyDescent="0.2">
      <c r="A51" s="144" t="s">
        <v>596</v>
      </c>
      <c r="B51" s="141" t="s">
        <v>357</v>
      </c>
      <c r="C51" s="141">
        <v>-8.8800000000000001E-4</v>
      </c>
      <c r="D51" s="141">
        <v>-8.8800000000000001E-4</v>
      </c>
      <c r="E51">
        <v>662.41716199999996</v>
      </c>
      <c r="F51" s="141" t="s">
        <v>402</v>
      </c>
      <c r="G51" t="s">
        <v>173</v>
      </c>
      <c r="H51" t="s">
        <v>442</v>
      </c>
      <c r="I51" t="s">
        <v>910</v>
      </c>
      <c r="J51" t="s">
        <v>173</v>
      </c>
      <c r="L51">
        <v>-8.9520706378883161E-4</v>
      </c>
      <c r="M51">
        <v>-0.59300052259735081</v>
      </c>
      <c r="N51" t="s">
        <v>776</v>
      </c>
      <c r="O51" s="141">
        <v>662.41716199999996</v>
      </c>
      <c r="P51">
        <f>IFERROR(_xlfn.NUMBERVALUE(Table1[[#This Row],[Kim MW]]),0)-Table1[[#This Row],[MW w/o pyrophosphate (g/mol)]]</f>
        <v>0</v>
      </c>
      <c r="Q51" t="str">
        <f>IF(_xlfn.XLOOKUP(Table1[[#This Row],[auto or manually found?]],mets9[name],mets9[name],"")="",Table1[[#This Row],[auto or manually found?]],"")</f>
        <v/>
      </c>
    </row>
    <row r="52" spans="1:17" ht="16" x14ac:dyDescent="0.2">
      <c r="A52" s="144" t="s">
        <v>597</v>
      </c>
      <c r="B52" s="141" t="s">
        <v>358</v>
      </c>
      <c r="C52" s="141">
        <v>-7.9500000000000003E-4</v>
      </c>
      <c r="D52" s="141">
        <v>-7.9500000000000003E-4</v>
      </c>
      <c r="E52">
        <v>740.38118299999996</v>
      </c>
      <c r="F52" s="141" t="s">
        <v>403</v>
      </c>
      <c r="G52" t="s">
        <v>177</v>
      </c>
      <c r="H52" t="s">
        <v>438</v>
      </c>
      <c r="I52" t="s">
        <v>911</v>
      </c>
      <c r="J52" t="s">
        <v>177</v>
      </c>
      <c r="L52">
        <v>-8.0145226994608233E-4</v>
      </c>
      <c r="M52">
        <v>-0.59338017974071577</v>
      </c>
      <c r="N52" t="s">
        <v>777</v>
      </c>
      <c r="O52" s="141">
        <v>740.38118299999996</v>
      </c>
      <c r="P52">
        <f>IFERROR(_xlfn.NUMBERVALUE(Table1[[#This Row],[Kim MW]]),0)-Table1[[#This Row],[MW w/o pyrophosphate (g/mol)]]</f>
        <v>0</v>
      </c>
      <c r="Q52" t="str">
        <f>IF(_xlfn.XLOOKUP(Table1[[#This Row],[auto or manually found?]],mets9[name],mets9[name],"")="",Table1[[#This Row],[auto or manually found?]],"")</f>
        <v/>
      </c>
    </row>
    <row r="53" spans="1:17" ht="16" x14ac:dyDescent="0.2">
      <c r="A53" s="144" t="s">
        <v>598</v>
      </c>
      <c r="B53" s="141" t="s">
        <v>359</v>
      </c>
      <c r="C53" s="141">
        <v>-1.4E-5</v>
      </c>
      <c r="D53" s="141">
        <v>-1.4E-5</v>
      </c>
      <c r="E53">
        <v>69581.537779999999</v>
      </c>
      <c r="F53" s="141" t="s">
        <v>404</v>
      </c>
      <c r="G53" t="s">
        <v>302</v>
      </c>
      <c r="H53" t="s">
        <v>513</v>
      </c>
      <c r="I53" t="s">
        <v>912</v>
      </c>
      <c r="J53" t="s">
        <v>537</v>
      </c>
      <c r="L53">
        <v>-1.4113624879553651E-5</v>
      </c>
      <c r="M53">
        <v>-0.98204772276941033</v>
      </c>
      <c r="N53" t="s">
        <v>778</v>
      </c>
      <c r="O53" s="141">
        <v>69581.537779999999</v>
      </c>
      <c r="P53">
        <f>IFERROR(_xlfn.NUMBERVALUE(Table1[[#This Row],[Kim MW]]),0)-Table1[[#This Row],[MW w/o pyrophosphate (g/mol)]]</f>
        <v>0</v>
      </c>
      <c r="Q53" t="str">
        <f>IF(_xlfn.XLOOKUP(Table1[[#This Row],[auto or manually found?]],mets9[name],mets9[name],"")="",Table1[[#This Row],[auto or manually found?]],"")</f>
        <v>pa_rm</v>
      </c>
    </row>
    <row r="54" spans="1:17" ht="16" x14ac:dyDescent="0.2">
      <c r="A54" s="144" t="s">
        <v>599</v>
      </c>
      <c r="B54" s="141" t="s">
        <v>360</v>
      </c>
      <c r="C54" s="141">
        <v>-1.7200000000000001E-4</v>
      </c>
      <c r="D54" s="141">
        <v>-1.7200000000000001E-4</v>
      </c>
      <c r="E54">
        <v>78297.879779999901</v>
      </c>
      <c r="F54" s="141" t="s">
        <v>405</v>
      </c>
      <c r="G54" t="s">
        <v>302</v>
      </c>
      <c r="H54" t="s">
        <v>452</v>
      </c>
      <c r="I54" t="s">
        <v>913</v>
      </c>
      <c r="J54" t="s">
        <v>538</v>
      </c>
      <c r="L54">
        <v>-1.7339596280594488E-4</v>
      </c>
      <c r="M54">
        <v>-13.576536250117206</v>
      </c>
      <c r="N54" t="s">
        <v>779</v>
      </c>
      <c r="O54" s="141">
        <v>78297.879779999901</v>
      </c>
      <c r="P54">
        <f>IFERROR(_xlfn.NUMBERVALUE(Table1[[#This Row],[Kim MW]]),0)-Table1[[#This Row],[MW w/o pyrophosphate (g/mol)]]</f>
        <v>0</v>
      </c>
      <c r="Q54" t="str">
        <f>IF(_xlfn.XLOOKUP(Table1[[#This Row],[auto or manually found?]],mets9[name],mets9[name],"")="",Table1[[#This Row],[auto or manually found?]],"")</f>
        <v>pc_rm</v>
      </c>
    </row>
    <row r="55" spans="1:17" ht="16" x14ac:dyDescent="0.2">
      <c r="A55" s="144" t="s">
        <v>600</v>
      </c>
      <c r="B55" s="141" t="s">
        <v>361</v>
      </c>
      <c r="C55" s="141">
        <v>-1.2999999999999999E-4</v>
      </c>
      <c r="D55" s="141">
        <v>-1.2999999999999999E-4</v>
      </c>
      <c r="E55">
        <v>74089.905780000001</v>
      </c>
      <c r="F55" s="141" t="s">
        <v>406</v>
      </c>
      <c r="G55" t="s">
        <v>302</v>
      </c>
      <c r="H55" t="s">
        <v>459</v>
      </c>
      <c r="I55" t="s">
        <v>459</v>
      </c>
      <c r="J55" s="142" t="s">
        <v>540</v>
      </c>
      <c r="K55" s="142"/>
      <c r="L55">
        <v>-1.310550881672839E-4</v>
      </c>
      <c r="M55">
        <v>-9.7098591343036578</v>
      </c>
      <c r="N55" t="s">
        <v>780</v>
      </c>
      <c r="O55" s="141">
        <v>74089.905780000001</v>
      </c>
      <c r="P55">
        <f>IFERROR(_xlfn.NUMBERVALUE(Table1[[#This Row],[Kim MW]]),0)-Table1[[#This Row],[MW w/o pyrophosphate (g/mol)]]</f>
        <v>0</v>
      </c>
      <c r="Q55" t="str">
        <f>IF(_xlfn.XLOOKUP(Table1[[#This Row],[auto or manually found?]],mets9[name],mets9[name],"")="",Table1[[#This Row],[auto or manually found?]],"")</f>
        <v>pe_rm</v>
      </c>
    </row>
    <row r="56" spans="1:17" ht="16" x14ac:dyDescent="0.2">
      <c r="A56" s="144" t="s">
        <v>601</v>
      </c>
      <c r="B56" s="141" t="s">
        <v>362</v>
      </c>
      <c r="C56" s="141">
        <v>-9.5163999999999999E-2</v>
      </c>
      <c r="D56" s="141">
        <v>-9.5163999999999999E-2</v>
      </c>
      <c r="E56">
        <v>148.18180000000001</v>
      </c>
      <c r="F56" s="141" t="s">
        <v>362</v>
      </c>
      <c r="G56" t="s">
        <v>265</v>
      </c>
      <c r="H56" t="s">
        <v>465</v>
      </c>
      <c r="I56" t="s">
        <v>914</v>
      </c>
      <c r="J56" t="s">
        <v>265</v>
      </c>
      <c r="L56">
        <v>-9.5936357002703115E-2</v>
      </c>
      <c r="M56">
        <v>-14.216022066103154</v>
      </c>
      <c r="N56" t="s">
        <v>781</v>
      </c>
      <c r="O56" s="141" t="s">
        <v>1299</v>
      </c>
      <c r="P56">
        <f>IFERROR(_xlfn.NUMBERVALUE(Table1[[#This Row],[Kim MW]]),0)-Table1[[#This Row],[MW w/o pyrophosphate (g/mol)]]</f>
        <v>-148.18180000000001</v>
      </c>
      <c r="Q56" t="str">
        <f>IF(_xlfn.XLOOKUP(Table1[[#This Row],[auto or manually found?]],mets9[name],mets9[name],"")="",Table1[[#This Row],[auto or manually found?]],"")</f>
        <v/>
      </c>
    </row>
    <row r="57" spans="1:17" ht="16" x14ac:dyDescent="0.2">
      <c r="A57" s="144" t="s">
        <v>602</v>
      </c>
      <c r="B57" s="141" t="s">
        <v>363</v>
      </c>
      <c r="C57" s="141">
        <v>139.639453</v>
      </c>
      <c r="D57" s="141">
        <v>0</v>
      </c>
      <c r="E57">
        <v>95.979300999999893</v>
      </c>
      <c r="F57" s="141" t="s">
        <v>363</v>
      </c>
      <c r="G57" t="s">
        <v>193</v>
      </c>
      <c r="H57" t="s">
        <v>33</v>
      </c>
      <c r="I57" t="s">
        <v>915</v>
      </c>
      <c r="J57" t="s">
        <v>193</v>
      </c>
      <c r="L57">
        <v>0</v>
      </c>
      <c r="M57">
        <v>0</v>
      </c>
      <c r="N57" t="s">
        <v>782</v>
      </c>
      <c r="O57" s="141">
        <v>95.979300999999893</v>
      </c>
      <c r="P57">
        <f>IFERROR(_xlfn.NUMBERVALUE(Table1[[#This Row],[Kim MW]]),0)-Table1[[#This Row],[MW w/o pyrophosphate (g/mol)]]</f>
        <v>0</v>
      </c>
      <c r="Q57" t="str">
        <f>IF(_xlfn.XLOOKUP(Table1[[#This Row],[auto or manually found?]],mets9[name],mets9[name],"")="",Table1[[#This Row],[auto or manually found?]],"")</f>
        <v/>
      </c>
    </row>
    <row r="58" spans="1:17" ht="16" x14ac:dyDescent="0.2">
      <c r="A58" s="144" t="s">
        <v>603</v>
      </c>
      <c r="B58" s="141" t="s">
        <v>364</v>
      </c>
      <c r="C58" s="141">
        <v>0.20936399999999999</v>
      </c>
      <c r="D58" s="141">
        <v>0.20936399999999999</v>
      </c>
      <c r="E58">
        <v>174.95126200000001</v>
      </c>
      <c r="F58" s="141" t="s">
        <v>364</v>
      </c>
      <c r="G58" t="s">
        <v>232</v>
      </c>
      <c r="H58" t="s">
        <v>443</v>
      </c>
      <c r="I58" t="s">
        <v>916</v>
      </c>
      <c r="J58" t="s">
        <v>232</v>
      </c>
      <c r="L58">
        <v>0.2110632113773479</v>
      </c>
      <c r="M58">
        <v>36.925775192239776</v>
      </c>
      <c r="N58" t="s">
        <v>783</v>
      </c>
      <c r="O58" s="141">
        <v>174.95126200000001</v>
      </c>
      <c r="P58">
        <f>IFERROR(_xlfn.NUMBERVALUE(Table1[[#This Row],[Kim MW]]),0)-Table1[[#This Row],[MW w/o pyrophosphate (g/mol)]]</f>
        <v>0</v>
      </c>
      <c r="Q58" t="str">
        <f>IF(_xlfn.XLOOKUP(Table1[[#This Row],[auto or manually found?]],mets9[name],mets9[name],"")="",Table1[[#This Row],[auto or manually found?]],"")</f>
        <v/>
      </c>
    </row>
    <row r="59" spans="1:17" ht="16" x14ac:dyDescent="0.2">
      <c r="A59" s="144" t="s">
        <v>604</v>
      </c>
      <c r="B59" s="141" t="s">
        <v>365</v>
      </c>
      <c r="C59" s="141">
        <v>-0.235897</v>
      </c>
      <c r="D59" s="141">
        <v>-0.235897</v>
      </c>
      <c r="E59">
        <v>97.115179999999995</v>
      </c>
      <c r="F59" s="141" t="s">
        <v>365</v>
      </c>
      <c r="G59" t="s">
        <v>266</v>
      </c>
      <c r="H59" t="s">
        <v>511</v>
      </c>
      <c r="I59" t="s">
        <v>917</v>
      </c>
      <c r="J59" t="s">
        <v>266</v>
      </c>
      <c r="L59">
        <v>-0.23781155487229055</v>
      </c>
      <c r="M59">
        <v>-23.095111957502372</v>
      </c>
      <c r="N59" t="s">
        <v>784</v>
      </c>
      <c r="O59" s="141" t="s">
        <v>1299</v>
      </c>
      <c r="P59">
        <f>IFERROR(_xlfn.NUMBERVALUE(Table1[[#This Row],[Kim MW]]),0)-Table1[[#This Row],[MW w/o pyrophosphate (g/mol)]]</f>
        <v>-97.115179999999995</v>
      </c>
      <c r="Q59" t="str">
        <f>IF(_xlfn.XLOOKUP(Table1[[#This Row],[auto or manually found?]],mets9[name],mets9[name],"")="",Table1[[#This Row],[auto or manually found?]],"")</f>
        <v/>
      </c>
    </row>
    <row r="60" spans="1:17" ht="16" x14ac:dyDescent="0.2">
      <c r="A60" s="144" t="s">
        <v>605</v>
      </c>
      <c r="B60" s="141" t="s">
        <v>366</v>
      </c>
      <c r="C60" s="141">
        <v>-2.0000000000000002E-5</v>
      </c>
      <c r="D60" s="141">
        <v>-2.0000000000000002E-5</v>
      </c>
      <c r="E60">
        <v>78390.061779999902</v>
      </c>
      <c r="F60" s="141" t="s">
        <v>407</v>
      </c>
      <c r="G60" t="s">
        <v>302</v>
      </c>
      <c r="H60" t="s">
        <v>481</v>
      </c>
      <c r="I60" t="s">
        <v>918</v>
      </c>
      <c r="J60" t="s">
        <v>539</v>
      </c>
      <c r="L60">
        <v>-2.0162321256505218E-5</v>
      </c>
      <c r="M60">
        <v>-1.5805256089256492</v>
      </c>
      <c r="N60" t="s">
        <v>785</v>
      </c>
      <c r="O60" s="141">
        <v>78390.061779999902</v>
      </c>
      <c r="P60">
        <f>IFERROR(_xlfn.NUMBERVALUE(Table1[[#This Row],[Kim MW]]),0)-Table1[[#This Row],[MW w/o pyrophosphate (g/mol)]]</f>
        <v>0</v>
      </c>
      <c r="Q60" t="str">
        <f>IF(_xlfn.XLOOKUP(Table1[[#This Row],[auto or manually found?]],mets9[name],mets9[name],"")="",Table1[[#This Row],[auto or manually found?]],"")</f>
        <v>ps_rm</v>
      </c>
    </row>
    <row r="61" spans="1:17" ht="16" x14ac:dyDescent="0.2">
      <c r="A61" s="144" t="s">
        <v>606</v>
      </c>
      <c r="B61" s="141" t="s">
        <v>367</v>
      </c>
      <c r="C61" s="141">
        <v>-4.006E-3</v>
      </c>
      <c r="D61" s="141">
        <v>-4.006E-3</v>
      </c>
      <c r="E61">
        <v>318.51510000000002</v>
      </c>
      <c r="F61" s="141" t="s">
        <v>370</v>
      </c>
      <c r="G61" t="s">
        <v>499</v>
      </c>
      <c r="H61" t="s">
        <v>500</v>
      </c>
      <c r="I61" t="s">
        <v>919</v>
      </c>
      <c r="J61" t="s">
        <v>499</v>
      </c>
      <c r="L61">
        <v>-4.0385129476779944E-3</v>
      </c>
      <c r="M61">
        <v>-1.2863273553809513</v>
      </c>
      <c r="N61" t="s">
        <v>786</v>
      </c>
      <c r="O61" s="141">
        <v>318.51510000000002</v>
      </c>
      <c r="P61">
        <f>IFERROR(_xlfn.NUMBERVALUE(Table1[[#This Row],[Kim MW]]),0)-Table1[[#This Row],[MW w/o pyrophosphate (g/mol)]]</f>
        <v>0</v>
      </c>
      <c r="Q61" t="str">
        <f>IF(_xlfn.XLOOKUP(Table1[[#This Row],[auto or manually found?]],mets9[name],mets9[name],"")="",Table1[[#This Row],[auto or manually found?]],"")</f>
        <v>psphings_r</v>
      </c>
    </row>
    <row r="62" spans="1:17" ht="16" x14ac:dyDescent="0.2">
      <c r="A62" s="144" t="s">
        <v>607</v>
      </c>
      <c r="B62" s="141" t="s">
        <v>368</v>
      </c>
      <c r="C62" s="141">
        <v>-4.6999999999999997E-5</v>
      </c>
      <c r="D62" s="141">
        <v>-4.6999999999999997E-5</v>
      </c>
      <c r="E62">
        <v>85896.391780000005</v>
      </c>
      <c r="F62" s="141" t="s">
        <v>372</v>
      </c>
      <c r="G62" t="s">
        <v>302</v>
      </c>
      <c r="H62" t="s">
        <v>505</v>
      </c>
      <c r="I62" t="s">
        <v>920</v>
      </c>
      <c r="J62" t="s">
        <v>541</v>
      </c>
      <c r="L62">
        <v>-4.7381454952787255E-5</v>
      </c>
      <c r="M62">
        <v>-4.0698960177310353</v>
      </c>
      <c r="N62" t="s">
        <v>787</v>
      </c>
      <c r="O62" s="141">
        <v>85896.391780000005</v>
      </c>
      <c r="P62">
        <f>IFERROR(_xlfn.NUMBERVALUE(Table1[[#This Row],[Kim MW]]),0)-Table1[[#This Row],[MW w/o pyrophosphate (g/mol)]]</f>
        <v>0</v>
      </c>
      <c r="Q62" t="str">
        <f>IF(_xlfn.XLOOKUP(Table1[[#This Row],[auto or manually found?]],mets9[name],mets9[name],"")="",Table1[[#This Row],[auto or manually found?]],"")</f>
        <v>pail_rm</v>
      </c>
    </row>
    <row r="63" spans="1:17" ht="16" x14ac:dyDescent="0.2">
      <c r="A63" s="144" t="s">
        <v>608</v>
      </c>
      <c r="B63" s="141" t="s">
        <v>369</v>
      </c>
      <c r="C63" s="141">
        <v>-6.5240000000000003E-3</v>
      </c>
      <c r="D63" s="141">
        <v>-6.5240000000000003E-3</v>
      </c>
      <c r="E63">
        <v>90.167360000000002</v>
      </c>
      <c r="F63" s="141" t="s">
        <v>373</v>
      </c>
      <c r="G63" t="s">
        <v>476</v>
      </c>
      <c r="H63" t="s">
        <v>477</v>
      </c>
      <c r="I63" t="s">
        <v>921</v>
      </c>
      <c r="J63" t="s">
        <v>476</v>
      </c>
      <c r="L63">
        <v>-6.5769491938720021E-3</v>
      </c>
      <c r="M63">
        <v>-0.59302614566556666</v>
      </c>
      <c r="N63" t="s">
        <v>788</v>
      </c>
      <c r="O63" s="141">
        <v>90.167360000000002</v>
      </c>
      <c r="P63">
        <f>IFERROR(_xlfn.NUMBERVALUE(Table1[[#This Row],[Kim MW]]),0)-Table1[[#This Row],[MW w/o pyrophosphate (g/mol)]]</f>
        <v>0</v>
      </c>
      <c r="Q63" t="str">
        <f>IF(_xlfn.XLOOKUP(Table1[[#This Row],[auto or manually found?]],mets9[name],mets9[name],"")="",Table1[[#This Row],[auto or manually found?]],"")</f>
        <v>ptrc_c</v>
      </c>
    </row>
    <row r="64" spans="1:17" ht="16" x14ac:dyDescent="0.2">
      <c r="A64" s="144" t="s">
        <v>609</v>
      </c>
      <c r="B64" s="141" t="s">
        <v>370</v>
      </c>
      <c r="C64" s="141">
        <v>-2.3999999999999998E-3</v>
      </c>
      <c r="D64" s="141">
        <v>-2.3999999999999998E-3</v>
      </c>
      <c r="E64">
        <v>245.125981</v>
      </c>
      <c r="F64" s="141" t="s">
        <v>408</v>
      </c>
      <c r="G64" t="s">
        <v>230</v>
      </c>
      <c r="H64" t="s">
        <v>509</v>
      </c>
      <c r="I64" t="s">
        <v>922</v>
      </c>
      <c r="J64" t="s">
        <v>230</v>
      </c>
      <c r="L64">
        <v>-2.4194785507806256E-3</v>
      </c>
      <c r="M64">
        <v>-0.5930770532685592</v>
      </c>
      <c r="N64" t="s">
        <v>789</v>
      </c>
      <c r="O64" s="141">
        <v>245.125981</v>
      </c>
      <c r="P64">
        <f>IFERROR(_xlfn.NUMBERVALUE(Table1[[#This Row],[Kim MW]]),0)-Table1[[#This Row],[MW w/o pyrophosphate (g/mol)]]</f>
        <v>0</v>
      </c>
      <c r="Q64" t="str">
        <f>IF(_xlfn.XLOOKUP(Table1[[#This Row],[auto or manually found?]],mets9[name],mets9[name],"")="",Table1[[#This Row],[auto or manually found?]],"")</f>
        <v/>
      </c>
    </row>
    <row r="65" spans="1:17" ht="16" x14ac:dyDescent="0.2">
      <c r="A65" s="144" t="s">
        <v>610</v>
      </c>
      <c r="B65" s="141" t="s">
        <v>371</v>
      </c>
      <c r="C65" s="141">
        <v>-7.3999999999999999E-4</v>
      </c>
      <c r="D65" s="141">
        <v>-7.3999999999999999E-4</v>
      </c>
      <c r="E65">
        <v>795.22648000000004</v>
      </c>
      <c r="F65" s="141" t="s">
        <v>374</v>
      </c>
      <c r="G65" t="s">
        <v>523</v>
      </c>
      <c r="H65" t="s">
        <v>524</v>
      </c>
      <c r="I65" t="s">
        <v>923</v>
      </c>
      <c r="J65" t="s">
        <v>523</v>
      </c>
      <c r="L65">
        <v>-7.4600588649069302E-4</v>
      </c>
      <c r="M65">
        <v>-0.59324363517327339</v>
      </c>
      <c r="N65" t="s">
        <v>790</v>
      </c>
      <c r="O65" s="141">
        <v>795.22648000000004</v>
      </c>
      <c r="P65">
        <f>IFERROR(_xlfn.NUMBERVALUE(Table1[[#This Row],[Kim MW]]),0)-Table1[[#This Row],[MW w/o pyrophosphate (g/mol)]]</f>
        <v>0</v>
      </c>
      <c r="Q65" t="str">
        <f>IF(_xlfn.XLOOKUP(Table1[[#This Row],[auto or manually found?]],mets9[name],mets9[name],"")="",Table1[[#This Row],[auto or manually found?]],"")</f>
        <v>q9_m</v>
      </c>
    </row>
    <row r="66" spans="1:17" ht="16" x14ac:dyDescent="0.2">
      <c r="A66" s="144" t="s">
        <v>611</v>
      </c>
      <c r="B66" s="141" t="s">
        <v>372</v>
      </c>
      <c r="C66" s="141">
        <v>-9.8999999999999999E-4</v>
      </c>
      <c r="D66" s="141">
        <v>-9.8999999999999999E-4</v>
      </c>
      <c r="E66">
        <v>376.36389999999898</v>
      </c>
      <c r="F66" s="141" t="s">
        <v>409</v>
      </c>
      <c r="G66" t="s">
        <v>181</v>
      </c>
      <c r="H66" t="s">
        <v>473</v>
      </c>
      <c r="I66" t="s">
        <v>924</v>
      </c>
      <c r="J66" t="s">
        <v>181</v>
      </c>
      <c r="L66">
        <v>-9.9803490219700815E-4</v>
      </c>
      <c r="M66">
        <v>-0.37562430812698355</v>
      </c>
      <c r="N66" t="s">
        <v>791</v>
      </c>
      <c r="O66" s="141">
        <v>376.36389999999898</v>
      </c>
      <c r="P66">
        <f>IFERROR(_xlfn.NUMBERVALUE(Table1[[#This Row],[Kim MW]]),0)-Table1[[#This Row],[MW w/o pyrophosphate (g/mol)]]</f>
        <v>0</v>
      </c>
      <c r="Q66" t="str">
        <f>IF(_xlfn.XLOOKUP(Table1[[#This Row],[auto or manually found?]],mets9[name],mets9[name],"")="",Table1[[#This Row],[auto or manually found?]],"")</f>
        <v/>
      </c>
    </row>
    <row r="67" spans="1:17" ht="16" x14ac:dyDescent="0.2">
      <c r="A67" s="144" t="s">
        <v>612</v>
      </c>
      <c r="B67" s="141" t="s">
        <v>373</v>
      </c>
      <c r="C67" s="141">
        <v>-0.33687</v>
      </c>
      <c r="D67" s="141">
        <v>-0.33687</v>
      </c>
      <c r="E67">
        <v>88.085239999999999</v>
      </c>
      <c r="F67" s="141" t="s">
        <v>375</v>
      </c>
      <c r="G67" t="s">
        <v>267</v>
      </c>
      <c r="H67" t="s">
        <v>494</v>
      </c>
      <c r="I67" t="s">
        <v>925</v>
      </c>
      <c r="J67" t="s">
        <v>267</v>
      </c>
      <c r="L67">
        <v>-0.33960405808394561</v>
      </c>
      <c r="M67">
        <v>-29.914104961298289</v>
      </c>
      <c r="N67" t="s">
        <v>792</v>
      </c>
      <c r="O67" s="141" t="s">
        <v>1299</v>
      </c>
      <c r="P67">
        <f>IFERROR(_xlfn.NUMBERVALUE(Table1[[#This Row],[Kim MW]]),0)-Table1[[#This Row],[MW w/o pyrophosphate (g/mol)]]</f>
        <v>-88.085239999999999</v>
      </c>
      <c r="Q67" t="str">
        <f>IF(_xlfn.XLOOKUP(Table1[[#This Row],[auto or manually found?]],mets9[name],mets9[name],"")="",Table1[[#This Row],[auto or manually found?]],"")</f>
        <v/>
      </c>
    </row>
    <row r="68" spans="1:17" ht="16" x14ac:dyDescent="0.2">
      <c r="A68" s="144" t="s">
        <v>613</v>
      </c>
      <c r="B68" s="141" t="s">
        <v>374</v>
      </c>
      <c r="C68" s="141">
        <v>-3.967E-3</v>
      </c>
      <c r="D68" s="141">
        <v>-3.967E-3</v>
      </c>
      <c r="E68">
        <v>148.26967999999999</v>
      </c>
      <c r="F68" s="141" t="s">
        <v>376</v>
      </c>
      <c r="G68" t="s">
        <v>220</v>
      </c>
      <c r="H68" t="s">
        <v>463</v>
      </c>
      <c r="I68" t="s">
        <v>926</v>
      </c>
      <c r="J68" t="s">
        <v>220</v>
      </c>
      <c r="L68">
        <v>-3.9991964212278096E-3</v>
      </c>
      <c r="M68">
        <v>-0.59295957363259255</v>
      </c>
      <c r="N68" t="s">
        <v>793</v>
      </c>
      <c r="O68" s="141">
        <v>148.26967999999999</v>
      </c>
      <c r="P68">
        <f>IFERROR(_xlfn.NUMBERVALUE(Table1[[#This Row],[Kim MW]]),0)-Table1[[#This Row],[MW w/o pyrophosphate (g/mol)]]</f>
        <v>0</v>
      </c>
      <c r="Q68" t="str">
        <f>IF(_xlfn.XLOOKUP(Table1[[#This Row],[auto or manually found?]],mets9[name],mets9[name],"")="",Table1[[#This Row],[auto or manually found?]],"")</f>
        <v/>
      </c>
    </row>
    <row r="69" spans="1:17" ht="16" x14ac:dyDescent="0.2">
      <c r="A69" s="144" t="s">
        <v>614</v>
      </c>
      <c r="B69" s="141" t="s">
        <v>375</v>
      </c>
      <c r="C69" s="141">
        <v>-1.3270000000000001E-3</v>
      </c>
      <c r="D69" s="141">
        <v>-1.3270000000000001E-3</v>
      </c>
      <c r="E69">
        <v>443.41334000000001</v>
      </c>
      <c r="F69" s="141" t="s">
        <v>377</v>
      </c>
      <c r="G69" t="s">
        <v>184</v>
      </c>
      <c r="H69" t="s">
        <v>462</v>
      </c>
      <c r="I69" t="s">
        <v>927</v>
      </c>
      <c r="J69" t="s">
        <v>184</v>
      </c>
      <c r="L69">
        <v>-1.3377700153691212E-3</v>
      </c>
      <c r="M69">
        <v>-0.59318507066667336</v>
      </c>
      <c r="N69" t="s">
        <v>794</v>
      </c>
      <c r="O69" s="141">
        <v>443.41334000000001</v>
      </c>
      <c r="P69">
        <f>IFERROR(_xlfn.NUMBERVALUE(Table1[[#This Row],[Kim MW]]),0)-Table1[[#This Row],[MW w/o pyrophosphate (g/mol)]]</f>
        <v>0</v>
      </c>
      <c r="Q69" t="str">
        <f>IF(_xlfn.XLOOKUP(Table1[[#This Row],[auto or manually found?]],mets9[name],mets9[name],"")="",Table1[[#This Row],[auto or manually found?]],"")</f>
        <v/>
      </c>
    </row>
    <row r="70" spans="1:17" ht="16" x14ac:dyDescent="0.2">
      <c r="A70" s="144" t="s">
        <v>615</v>
      </c>
      <c r="B70" s="141" t="s">
        <v>376</v>
      </c>
      <c r="C70" s="141">
        <v>-1.3929999999999999E-3</v>
      </c>
      <c r="D70" s="141">
        <v>-1.3929999999999999E-3</v>
      </c>
      <c r="E70">
        <v>422.29056200000002</v>
      </c>
      <c r="F70" s="141" t="s">
        <v>410</v>
      </c>
      <c r="G70" t="s">
        <v>186</v>
      </c>
      <c r="H70" t="s">
        <v>466</v>
      </c>
      <c r="I70" t="s">
        <v>928</v>
      </c>
      <c r="J70" t="s">
        <v>186</v>
      </c>
      <c r="L70">
        <v>-1.4043056755155881E-3</v>
      </c>
      <c r="M70">
        <v>-0.59302503293326736</v>
      </c>
      <c r="N70" t="s">
        <v>795</v>
      </c>
      <c r="O70" s="141">
        <v>422.29056200000002</v>
      </c>
      <c r="P70">
        <f>IFERROR(_xlfn.NUMBERVALUE(Table1[[#This Row],[Kim MW]]),0)-Table1[[#This Row],[MW w/o pyrophosphate (g/mol)]]</f>
        <v>0</v>
      </c>
      <c r="Q70" t="str">
        <f>IF(_xlfn.XLOOKUP(Table1[[#This Row],[auto or manually found?]],mets9[name],mets9[name],"")="",Table1[[#This Row],[auto or manually found?]],"")</f>
        <v/>
      </c>
    </row>
    <row r="71" spans="1:17" ht="16" x14ac:dyDescent="0.2">
      <c r="A71" s="144" t="s">
        <v>616</v>
      </c>
      <c r="B71" s="141" t="s">
        <v>377</v>
      </c>
      <c r="C71" s="141">
        <v>-0.21812999999999999</v>
      </c>
      <c r="D71" s="141">
        <v>-0.21812999999999999</v>
      </c>
      <c r="E71">
        <v>102.11181999999999</v>
      </c>
      <c r="F71" s="141" t="s">
        <v>411</v>
      </c>
      <c r="G71" t="s">
        <v>268</v>
      </c>
      <c r="H71" t="s">
        <v>514</v>
      </c>
      <c r="I71" t="s">
        <v>929</v>
      </c>
      <c r="J71" t="s">
        <v>268</v>
      </c>
      <c r="L71">
        <v>-0.21990035678407413</v>
      </c>
      <c r="M71">
        <v>-22.454425649871155</v>
      </c>
      <c r="N71" t="s">
        <v>796</v>
      </c>
      <c r="O71" s="141" t="s">
        <v>1299</v>
      </c>
      <c r="P71">
        <f>IFERROR(_xlfn.NUMBERVALUE(Table1[[#This Row],[Kim MW]]),0)-Table1[[#This Row],[MW w/o pyrophosphate (g/mol)]]</f>
        <v>-102.11181999999999</v>
      </c>
      <c r="Q71" t="str">
        <f>IF(_xlfn.XLOOKUP(Table1[[#This Row],[auto or manually found?]],mets9[name],mets9[name],"")="",Table1[[#This Row],[auto or manually found?]],"")</f>
        <v/>
      </c>
    </row>
    <row r="72" spans="1:17" ht="16" x14ac:dyDescent="0.2">
      <c r="A72" s="144" t="s">
        <v>617</v>
      </c>
      <c r="B72" s="141" t="s">
        <v>378</v>
      </c>
      <c r="C72" s="141">
        <v>-2.3372E-2</v>
      </c>
      <c r="D72" s="141">
        <v>-2.3372E-2</v>
      </c>
      <c r="E72">
        <v>342.29647999999997</v>
      </c>
      <c r="F72" s="141" t="s">
        <v>412</v>
      </c>
      <c r="G72" t="s">
        <v>503</v>
      </c>
      <c r="H72" t="s">
        <v>504</v>
      </c>
      <c r="I72" t="s">
        <v>930</v>
      </c>
      <c r="J72" t="s">
        <v>503</v>
      </c>
      <c r="L72">
        <v>-2.3561688620351996E-2</v>
      </c>
      <c r="M72">
        <v>-8.0650830776025444</v>
      </c>
      <c r="N72" t="s">
        <v>797</v>
      </c>
      <c r="O72" s="141">
        <v>342.29647999999997</v>
      </c>
      <c r="P72">
        <f>IFERROR(_xlfn.NUMBERVALUE(Table1[[#This Row],[Kim MW]]),0)-Table1[[#This Row],[MW w/o pyrophosphate (g/mol)]]</f>
        <v>0</v>
      </c>
      <c r="Q72" t="str">
        <f>IF(_xlfn.XLOOKUP(Table1[[#This Row],[auto or manually found?]],mets9[name],mets9[name],"")="",Table1[[#This Row],[auto or manually found?]],"")</f>
        <v>tre_c</v>
      </c>
    </row>
    <row r="73" spans="1:17" ht="16" x14ac:dyDescent="0.2">
      <c r="A73" s="144" t="s">
        <v>618</v>
      </c>
      <c r="B73" s="141" t="s">
        <v>379</v>
      </c>
      <c r="C73" s="141">
        <v>-4.3199999999999998E-4</v>
      </c>
      <c r="D73" s="141">
        <v>-4.3199999999999998E-4</v>
      </c>
      <c r="E73">
        <v>88073.012520000004</v>
      </c>
      <c r="F73" s="141" t="s">
        <v>413</v>
      </c>
      <c r="G73" t="s">
        <v>302</v>
      </c>
      <c r="H73" t="s">
        <v>526</v>
      </c>
      <c r="I73" t="s">
        <v>931</v>
      </c>
      <c r="J73" t="s">
        <v>542</v>
      </c>
      <c r="L73">
        <v>-4.3550613914051264E-4</v>
      </c>
      <c r="M73">
        <v>-38.356337645059234</v>
      </c>
      <c r="N73" t="s">
        <v>798</v>
      </c>
      <c r="O73" s="141">
        <v>88073.012520000004</v>
      </c>
      <c r="P73">
        <f>IFERROR(_xlfn.NUMBERVALUE(Table1[[#This Row],[Kim MW]]),0)-Table1[[#This Row],[MW w/o pyrophosphate (g/mol)]]</f>
        <v>0</v>
      </c>
      <c r="Q73" t="str">
        <f>IF(_xlfn.XLOOKUP(Table1[[#This Row],[auto or manually found?]],mets9[name],mets9[name],"")="",Table1[[#This Row],[auto or manually found?]],"")</f>
        <v>tag_rm</v>
      </c>
    </row>
    <row r="74" spans="1:17" ht="16" x14ac:dyDescent="0.2">
      <c r="A74" s="144" t="s">
        <v>619</v>
      </c>
      <c r="B74" s="141" t="s">
        <v>380</v>
      </c>
      <c r="C74" s="141">
        <v>-2.3318999999999999E-2</v>
      </c>
      <c r="D74" s="141">
        <v>-2.3318999999999999E-2</v>
      </c>
      <c r="E74">
        <v>187.21784</v>
      </c>
      <c r="F74" s="141" t="s">
        <v>414</v>
      </c>
      <c r="G74" t="s">
        <v>269</v>
      </c>
      <c r="H74" t="s">
        <v>468</v>
      </c>
      <c r="I74" t="s">
        <v>932</v>
      </c>
      <c r="J74" t="s">
        <v>269</v>
      </c>
      <c r="L74">
        <v>-2.3508258469022256E-2</v>
      </c>
      <c r="M74">
        <v>-4.4011653727320539</v>
      </c>
      <c r="N74" t="s">
        <v>799</v>
      </c>
      <c r="O74" s="141" t="s">
        <v>1299</v>
      </c>
      <c r="P74">
        <f>IFERROR(_xlfn.NUMBERVALUE(Table1[[#This Row],[Kim MW]]),0)-Table1[[#This Row],[MW w/o pyrophosphate (g/mol)]]</f>
        <v>-187.21784</v>
      </c>
      <c r="Q74" t="str">
        <f>IF(_xlfn.XLOOKUP(Table1[[#This Row],[auto or manually found?]],mets9[name],mets9[name],"")="",Table1[[#This Row],[auto or manually found?]],"")</f>
        <v/>
      </c>
    </row>
    <row r="75" spans="1:17" ht="16" x14ac:dyDescent="0.2">
      <c r="A75" s="144" t="s">
        <v>620</v>
      </c>
      <c r="B75" s="141" t="s">
        <v>381</v>
      </c>
      <c r="C75" s="141">
        <v>-6.2363000000000002E-2</v>
      </c>
      <c r="D75" s="141">
        <v>-6.2363000000000002E-2</v>
      </c>
      <c r="E75">
        <v>164.18119999999999</v>
      </c>
      <c r="F75" s="141" t="s">
        <v>415</v>
      </c>
      <c r="G75" t="s">
        <v>270</v>
      </c>
      <c r="H75" t="s">
        <v>478</v>
      </c>
      <c r="I75" t="s">
        <v>933</v>
      </c>
      <c r="J75" t="s">
        <v>270</v>
      </c>
      <c r="L75">
        <v>-6.2869142025971742E-2</v>
      </c>
      <c r="M75">
        <v>-10.32193118079447</v>
      </c>
      <c r="N75" t="s">
        <v>800</v>
      </c>
      <c r="O75" s="141" t="s">
        <v>1299</v>
      </c>
      <c r="P75">
        <f>IFERROR(_xlfn.NUMBERVALUE(Table1[[#This Row],[Kim MW]]),0)-Table1[[#This Row],[MW w/o pyrophosphate (g/mol)]]</f>
        <v>-164.18119999999999</v>
      </c>
      <c r="Q75" t="str">
        <f>IF(_xlfn.XLOOKUP(Table1[[#This Row],[auto or manually found?]],mets9[name],mets9[name],"")="",Table1[[#This Row],[auto or manually found?]],"")</f>
        <v/>
      </c>
    </row>
    <row r="76" spans="1:17" ht="16" x14ac:dyDescent="0.2">
      <c r="A76" s="144" t="s">
        <v>621</v>
      </c>
      <c r="B76" s="141" t="s">
        <v>382</v>
      </c>
      <c r="C76" s="141">
        <v>-5.1129000000000001E-2</v>
      </c>
      <c r="D76" s="141">
        <v>-5.1129000000000001E-2</v>
      </c>
      <c r="E76">
        <v>305.15806099999998</v>
      </c>
      <c r="F76" s="141" t="s">
        <v>416</v>
      </c>
      <c r="G76" t="s">
        <v>93</v>
      </c>
      <c r="H76" t="s">
        <v>467</v>
      </c>
      <c r="I76" t="s">
        <v>934</v>
      </c>
      <c r="J76" t="s">
        <v>93</v>
      </c>
      <c r="L76">
        <v>-5.1543966176192758E-2</v>
      </c>
      <c r="M76">
        <v>-15.729056774576565</v>
      </c>
      <c r="N76" t="s">
        <v>801</v>
      </c>
      <c r="O76" s="141">
        <v>480.10932300000002</v>
      </c>
      <c r="P76">
        <f>IFERROR(_xlfn.NUMBERVALUE(Table1[[#This Row],[Kim MW]]),0)-Table1[[#This Row],[MW w/o pyrophosphate (g/mol)]]</f>
        <v>174.95126200000004</v>
      </c>
      <c r="Q76" t="str">
        <f>IF(_xlfn.XLOOKUP(Table1[[#This Row],[auto or manually found?]],mets9[name],mets9[name],"")="",Table1[[#This Row],[auto or manually found?]],"")</f>
        <v/>
      </c>
    </row>
    <row r="77" spans="1:17" ht="16" x14ac:dyDescent="0.2">
      <c r="A77" s="144" t="s">
        <v>622</v>
      </c>
      <c r="B77" s="141" t="s">
        <v>383</v>
      </c>
      <c r="C77" s="141">
        <v>-0.27516800000000002</v>
      </c>
      <c r="D77" s="141">
        <v>-0.27516800000000002</v>
      </c>
      <c r="E77">
        <v>100.139</v>
      </c>
      <c r="F77" s="141" t="s">
        <v>417</v>
      </c>
      <c r="G77" t="s">
        <v>271</v>
      </c>
      <c r="H77" t="s">
        <v>508</v>
      </c>
      <c r="I77" t="s">
        <v>935</v>
      </c>
      <c r="J77" t="s">
        <v>271</v>
      </c>
      <c r="L77">
        <v>-0.27740128077550141</v>
      </c>
      <c r="M77">
        <v>-27.778686855577934</v>
      </c>
      <c r="N77" t="s">
        <v>802</v>
      </c>
      <c r="O77" s="141" t="s">
        <v>1299</v>
      </c>
      <c r="P77">
        <f>IFERROR(_xlfn.NUMBERVALUE(Table1[[#This Row],[Kim MW]]),0)-Table1[[#This Row],[MW w/o pyrophosphate (g/mol)]]</f>
        <v>-100.139</v>
      </c>
      <c r="Q77" t="str">
        <f>IF(_xlfn.XLOOKUP(Table1[[#This Row],[auto or manually found?]],mets9[name],mets9[name],"")="",Table1[[#This Row],[auto or manually found?]],"")</f>
        <v/>
      </c>
    </row>
    <row r="78" spans="1:17" ht="16" x14ac:dyDescent="0.2">
      <c r="A78" s="144" t="s">
        <v>623</v>
      </c>
      <c r="B78" s="141" t="s">
        <v>384</v>
      </c>
      <c r="C78" s="141">
        <v>-5.1000000000000004E-4</v>
      </c>
      <c r="D78" s="141">
        <v>-5.1000000000000004E-4</v>
      </c>
      <c r="E78">
        <v>65.409000000000006</v>
      </c>
      <c r="F78" s="141" t="s">
        <v>418</v>
      </c>
      <c r="G78" t="s">
        <v>161</v>
      </c>
      <c r="H78" t="s">
        <v>531</v>
      </c>
      <c r="I78" t="s">
        <v>936</v>
      </c>
      <c r="J78" t="s">
        <v>161</v>
      </c>
      <c r="L78">
        <v>-5.1413919204088302E-4</v>
      </c>
      <c r="M78">
        <v>-3.3629330412202119E-2</v>
      </c>
      <c r="N78" t="s">
        <v>803</v>
      </c>
      <c r="O78" s="141">
        <v>65.409000000000006</v>
      </c>
      <c r="P78">
        <f>IFERROR(_xlfn.NUMBERVALUE(Table1[[#This Row],[Kim MW]]),0)-Table1[[#This Row],[MW w/o pyrophosphate (g/mol)]]</f>
        <v>0</v>
      </c>
      <c r="Q78" t="str">
        <f>IF(_xlfn.XLOOKUP(Table1[[#This Row],[auto or manually found?]],mets9[name],mets9[name],"")="",Table1[[#This Row],[auto or manually found?]],"")</f>
        <v/>
      </c>
    </row>
    <row r="79" spans="1:17" ht="16" x14ac:dyDescent="0.2">
      <c r="A79" s="144" t="s">
        <v>624</v>
      </c>
      <c r="B79" s="141" t="s">
        <v>385</v>
      </c>
      <c r="C79" s="141">
        <v>-4.156E-3</v>
      </c>
      <c r="D79" s="141">
        <v>-4.156E-3</v>
      </c>
      <c r="E79">
        <v>384.63765999999998</v>
      </c>
      <c r="F79" s="141" t="s">
        <v>419</v>
      </c>
      <c r="G79" t="s">
        <v>302</v>
      </c>
      <c r="H79" t="s">
        <v>451</v>
      </c>
      <c r="I79" t="s">
        <v>937</v>
      </c>
      <c r="J79" t="s">
        <v>543</v>
      </c>
      <c r="L79">
        <v>-4.1897303571017839E-3</v>
      </c>
      <c r="M79">
        <v>-1.6115280805865946</v>
      </c>
      <c r="N79" t="s">
        <v>804</v>
      </c>
      <c r="O79" s="141">
        <v>384.63765999999998</v>
      </c>
      <c r="P79">
        <f>IFERROR(_xlfn.NUMBERVALUE(Table1[[#This Row],[Kim MW]]),0)-Table1[[#This Row],[MW w/o pyrophosphate (g/mol)]]</f>
        <v>0</v>
      </c>
      <c r="Q79" t="str">
        <f>IF(_xlfn.XLOOKUP(Table1[[#This Row],[auto or manually found?]],mets9[name],mets9[name],"")="",Table1[[#This Row],[auto or manually found?]],"")</f>
        <v>zymst_rm</v>
      </c>
    </row>
    <row r="80" spans="1:17" ht="16" x14ac:dyDescent="0.2">
      <c r="A80" s="144" t="s">
        <v>625</v>
      </c>
      <c r="B80" s="141" t="s">
        <v>386</v>
      </c>
      <c r="C80" s="141">
        <v>-1.7E-5</v>
      </c>
      <c r="D80" s="141">
        <v>-1.7E-5</v>
      </c>
      <c r="E80">
        <v>64359.575239999998</v>
      </c>
      <c r="F80" s="141" t="s">
        <v>420</v>
      </c>
      <c r="G80" t="s">
        <v>302</v>
      </c>
      <c r="H80" t="s">
        <v>528</v>
      </c>
      <c r="I80" t="s">
        <v>938</v>
      </c>
      <c r="J80" s="142" t="s">
        <v>547</v>
      </c>
      <c r="K80" s="142"/>
      <c r="L80">
        <v>-1.7137973068029435E-5</v>
      </c>
      <c r="M80">
        <v>-1.102992667132934</v>
      </c>
      <c r="N80" t="s">
        <v>805</v>
      </c>
      <c r="O80" s="141">
        <v>64359.575239999998</v>
      </c>
      <c r="P80">
        <f>IFERROR(_xlfn.NUMBERVALUE(Table1[[#This Row],[Kim MW]]),0)-Table1[[#This Row],[MW w/o pyrophosphate (g/mol)]]</f>
        <v>0</v>
      </c>
      <c r="Q80" t="str">
        <f>IF(_xlfn.XLOOKUP(Table1[[#This Row],[auto or manually found?]],mets9[name],mets9[name],"")="",Table1[[#This Row],[auto or manually found?]],"")</f>
        <v>zymstest_RT_rm</v>
      </c>
    </row>
    <row r="81" spans="1:17" ht="16" x14ac:dyDescent="0.2">
      <c r="A81" s="144"/>
      <c r="B81" t="s">
        <v>302</v>
      </c>
      <c r="C81" t="e">
        <v>#N/A</v>
      </c>
      <c r="D81" s="141" t="e">
        <v>#N/A</v>
      </c>
      <c r="E81">
        <v>0</v>
      </c>
      <c r="F81" s="141" t="s">
        <v>421</v>
      </c>
      <c r="G81" t="s">
        <v>302</v>
      </c>
      <c r="H81" t="s">
        <v>302</v>
      </c>
      <c r="I81" t="s">
        <v>939</v>
      </c>
      <c r="J81" t="s">
        <v>302</v>
      </c>
      <c r="L81">
        <v>0</v>
      </c>
      <c r="M81">
        <v>0</v>
      </c>
      <c r="N81" t="s">
        <v>302</v>
      </c>
      <c r="P81">
        <f>IFERROR(_xlfn.NUMBERVALUE(Table1[[#This Row],[Kim MW]]),0)-Table1[[#This Row],[MW w/o pyrophosphate (g/mol)]]</f>
        <v>0</v>
      </c>
      <c r="Q81" t="str">
        <f>IF(_xlfn.XLOOKUP(Table1[[#This Row],[auto or manually found?]],mets9[name],mets9[name],"")="",Table1[[#This Row],[auto or manually found?]],"")</f>
        <v/>
      </c>
    </row>
    <row r="82" spans="1:17" ht="16" x14ac:dyDescent="0.2">
      <c r="A82" s="144"/>
      <c r="B82" t="s">
        <v>302</v>
      </c>
      <c r="C82" t="e">
        <v>#N/A</v>
      </c>
      <c r="D82" s="141" t="e">
        <v>#N/A</v>
      </c>
      <c r="E82">
        <v>0</v>
      </c>
      <c r="F82" s="141" t="s">
        <v>422</v>
      </c>
      <c r="G82" t="s">
        <v>302</v>
      </c>
      <c r="H82" t="s">
        <v>302</v>
      </c>
      <c r="I82" t="s">
        <v>940</v>
      </c>
      <c r="J82" t="s">
        <v>302</v>
      </c>
      <c r="L82">
        <v>0</v>
      </c>
      <c r="M82">
        <v>0</v>
      </c>
      <c r="N82" t="s">
        <v>302</v>
      </c>
      <c r="P82">
        <f>IFERROR(_xlfn.NUMBERVALUE(Table1[[#This Row],[Kim MW]]),0)-Table1[[#This Row],[MW w/o pyrophosphate (g/mol)]]</f>
        <v>0</v>
      </c>
      <c r="Q82" t="str">
        <f>IF(_xlfn.XLOOKUP(Table1[[#This Row],[auto or manually found?]],mets9[name],mets9[name],"")="",Table1[[#This Row],[auto or manually found?]],"")</f>
        <v/>
      </c>
    </row>
    <row r="83" spans="1:17" ht="16" x14ac:dyDescent="0.2">
      <c r="A83" s="144"/>
      <c r="B83" t="s">
        <v>302</v>
      </c>
      <c r="C83" t="e">
        <v>#N/A</v>
      </c>
      <c r="D83" s="141" t="e">
        <v>#N/A</v>
      </c>
      <c r="E83">
        <v>0</v>
      </c>
      <c r="F83" s="141" t="s">
        <v>423</v>
      </c>
      <c r="G83" t="s">
        <v>302</v>
      </c>
      <c r="H83" t="s">
        <v>302</v>
      </c>
      <c r="I83" t="s">
        <v>941</v>
      </c>
      <c r="J83" t="s">
        <v>302</v>
      </c>
      <c r="L83">
        <v>0</v>
      </c>
      <c r="M83">
        <v>0</v>
      </c>
      <c r="N83" t="s">
        <v>302</v>
      </c>
      <c r="P83">
        <f>IFERROR(_xlfn.NUMBERVALUE(Table1[[#This Row],[Kim MW]]),0)-Table1[[#This Row],[MW w/o pyrophosphate (g/mol)]]</f>
        <v>0</v>
      </c>
      <c r="Q83" t="str">
        <f>IF(_xlfn.XLOOKUP(Table1[[#This Row],[auto or manually found?]],mets9[name],mets9[name],"")="",Table1[[#This Row],[auto or manually found?]],"")</f>
        <v/>
      </c>
    </row>
    <row r="84" spans="1:17" ht="16" x14ac:dyDescent="0.2">
      <c r="A84" s="144"/>
      <c r="B84" t="s">
        <v>302</v>
      </c>
      <c r="C84" t="e">
        <v>#N/A</v>
      </c>
      <c r="D84" s="141" t="e">
        <v>#N/A</v>
      </c>
      <c r="E84">
        <v>0</v>
      </c>
      <c r="F84" s="141" t="s">
        <v>424</v>
      </c>
      <c r="G84" t="s">
        <v>302</v>
      </c>
      <c r="H84" t="s">
        <v>302</v>
      </c>
      <c r="I84" t="s">
        <v>942</v>
      </c>
      <c r="J84" t="s">
        <v>302</v>
      </c>
      <c r="L84">
        <v>0</v>
      </c>
      <c r="M84">
        <v>0</v>
      </c>
      <c r="N84" t="s">
        <v>302</v>
      </c>
      <c r="P84">
        <f>IFERROR(_xlfn.NUMBERVALUE(Table1[[#This Row],[Kim MW]]),0)-Table1[[#This Row],[MW w/o pyrophosphate (g/mol)]]</f>
        <v>0</v>
      </c>
      <c r="Q84" t="str">
        <f>IF(_xlfn.XLOOKUP(Table1[[#This Row],[auto or manually found?]],mets9[name],mets9[name],"")="",Table1[[#This Row],[auto or manually found?]],"")</f>
        <v/>
      </c>
    </row>
    <row r="85" spans="1:17" ht="16" x14ac:dyDescent="0.2">
      <c r="A85" s="144"/>
      <c r="B85" t="s">
        <v>302</v>
      </c>
      <c r="C85" t="e">
        <v>#N/A</v>
      </c>
      <c r="D85" s="141" t="e">
        <v>#N/A</v>
      </c>
      <c r="E85">
        <v>0</v>
      </c>
      <c r="F85" s="141" t="s">
        <v>425</v>
      </c>
      <c r="G85" t="s">
        <v>302</v>
      </c>
      <c r="H85" t="s">
        <v>302</v>
      </c>
      <c r="I85" t="s">
        <v>943</v>
      </c>
      <c r="J85" t="s">
        <v>302</v>
      </c>
      <c r="L85">
        <v>0</v>
      </c>
      <c r="M85">
        <v>0</v>
      </c>
      <c r="N85" t="s">
        <v>302</v>
      </c>
      <c r="P85">
        <f>IFERROR(_xlfn.NUMBERVALUE(Table1[[#This Row],[Kim MW]]),0)-Table1[[#This Row],[MW w/o pyrophosphate (g/mol)]]</f>
        <v>0</v>
      </c>
      <c r="Q85" t="str">
        <f>IF(_xlfn.XLOOKUP(Table1[[#This Row],[auto or manually found?]],mets9[name],mets9[name],"")="",Table1[[#This Row],[auto or manually found?]],"")</f>
        <v/>
      </c>
    </row>
    <row r="86" spans="1:17" ht="16" x14ac:dyDescent="0.2">
      <c r="A86" s="144"/>
      <c r="B86" t="s">
        <v>302</v>
      </c>
      <c r="C86" t="e">
        <v>#N/A</v>
      </c>
      <c r="D86" s="141" t="e">
        <v>#N/A</v>
      </c>
      <c r="E86">
        <v>0</v>
      </c>
      <c r="F86" s="141" t="s">
        <v>426</v>
      </c>
      <c r="G86" t="s">
        <v>302</v>
      </c>
      <c r="H86" t="s">
        <v>302</v>
      </c>
      <c r="I86" t="s">
        <v>944</v>
      </c>
      <c r="J86" t="s">
        <v>302</v>
      </c>
      <c r="L86">
        <v>0</v>
      </c>
      <c r="M86">
        <v>0</v>
      </c>
      <c r="N86" t="s">
        <v>302</v>
      </c>
      <c r="P86">
        <f>IFERROR(_xlfn.NUMBERVALUE(Table1[[#This Row],[Kim MW]]),0)-Table1[[#This Row],[MW w/o pyrophosphate (g/mol)]]</f>
        <v>0</v>
      </c>
      <c r="Q86" t="str">
        <f>IF(_xlfn.XLOOKUP(Table1[[#This Row],[auto or manually found?]],mets9[name],mets9[name],"")="",Table1[[#This Row],[auto or manually found?]],"")</f>
        <v/>
      </c>
    </row>
    <row r="87" spans="1:17" ht="16" x14ac:dyDescent="0.2">
      <c r="A87" s="144"/>
      <c r="B87" t="s">
        <v>302</v>
      </c>
      <c r="C87" t="e">
        <v>#N/A</v>
      </c>
      <c r="D87" s="141" t="e">
        <v>#N/A</v>
      </c>
      <c r="E87">
        <v>0</v>
      </c>
      <c r="F87" s="141" t="s">
        <v>427</v>
      </c>
      <c r="G87" t="s">
        <v>302</v>
      </c>
      <c r="H87" t="s">
        <v>302</v>
      </c>
      <c r="I87" t="s">
        <v>945</v>
      </c>
      <c r="J87" t="s">
        <v>302</v>
      </c>
      <c r="L87">
        <v>0</v>
      </c>
      <c r="M87">
        <v>0</v>
      </c>
      <c r="N87" t="s">
        <v>302</v>
      </c>
      <c r="P87">
        <f>IFERROR(_xlfn.NUMBERVALUE(Table1[[#This Row],[Kim MW]]),0)-Table1[[#This Row],[MW w/o pyrophosphate (g/mol)]]</f>
        <v>0</v>
      </c>
      <c r="Q87" t="str">
        <f>IF(_xlfn.XLOOKUP(Table1[[#This Row],[auto or manually found?]],mets9[name],mets9[name],"")="",Table1[[#This Row],[auto or manually found?]],"")</f>
        <v/>
      </c>
    </row>
    <row r="88" spans="1:17" ht="16" x14ac:dyDescent="0.2">
      <c r="A88" s="144"/>
      <c r="B88" t="s">
        <v>302</v>
      </c>
      <c r="C88" t="e">
        <v>#N/A</v>
      </c>
      <c r="D88" s="141" t="e">
        <v>#N/A</v>
      </c>
      <c r="E88">
        <v>0</v>
      </c>
      <c r="F88" s="141" t="s">
        <v>428</v>
      </c>
      <c r="G88" t="s">
        <v>302</v>
      </c>
      <c r="H88" t="s">
        <v>302</v>
      </c>
      <c r="I88" t="s">
        <v>946</v>
      </c>
      <c r="J88" t="s">
        <v>302</v>
      </c>
      <c r="L88">
        <v>0</v>
      </c>
      <c r="M88">
        <v>0</v>
      </c>
      <c r="N88" t="s">
        <v>302</v>
      </c>
      <c r="P88">
        <f>IFERROR(_xlfn.NUMBERVALUE(Table1[[#This Row],[Kim MW]]),0)-Table1[[#This Row],[MW w/o pyrophosphate (g/mol)]]</f>
        <v>0</v>
      </c>
      <c r="Q88" t="str">
        <f>IF(_xlfn.XLOOKUP(Table1[[#This Row],[auto or manually found?]],mets9[name],mets9[name],"")="",Table1[[#This Row],[auto or manually found?]],"")</f>
        <v/>
      </c>
    </row>
    <row r="89" spans="1:17" ht="16" x14ac:dyDescent="0.2">
      <c r="A89" s="144"/>
      <c r="B89" t="s">
        <v>302</v>
      </c>
      <c r="C89" t="e">
        <v>#N/A</v>
      </c>
      <c r="D89" s="141" t="e">
        <v>#N/A</v>
      </c>
      <c r="E89">
        <v>0</v>
      </c>
      <c r="F89" s="141" t="s">
        <v>429</v>
      </c>
      <c r="G89" t="s">
        <v>302</v>
      </c>
      <c r="H89" t="s">
        <v>302</v>
      </c>
      <c r="I89" t="s">
        <v>947</v>
      </c>
      <c r="J89" t="s">
        <v>302</v>
      </c>
      <c r="L89">
        <v>0</v>
      </c>
      <c r="M89">
        <v>0</v>
      </c>
      <c r="N89" t="s">
        <v>302</v>
      </c>
      <c r="P89">
        <f>IFERROR(_xlfn.NUMBERVALUE(Table1[[#This Row],[Kim MW]]),0)-Table1[[#This Row],[MW w/o pyrophosphate (g/mol)]]</f>
        <v>0</v>
      </c>
      <c r="Q89" t="str">
        <f>IF(_xlfn.XLOOKUP(Table1[[#This Row],[auto or manually found?]],mets9[name],mets9[name],"")="",Table1[[#This Row],[auto or manually found?]],"")</f>
        <v/>
      </c>
    </row>
    <row r="90" spans="1:17" ht="16" x14ac:dyDescent="0.2">
      <c r="A90" s="144"/>
      <c r="B90" t="s">
        <v>302</v>
      </c>
      <c r="C90" t="e">
        <v>#N/A</v>
      </c>
      <c r="D90" s="141" t="e">
        <v>#N/A</v>
      </c>
      <c r="E90">
        <v>0</v>
      </c>
      <c r="F90" s="141" t="s">
        <v>380</v>
      </c>
      <c r="G90" t="s">
        <v>302</v>
      </c>
      <c r="H90" t="s">
        <v>302</v>
      </c>
      <c r="I90" t="s">
        <v>948</v>
      </c>
      <c r="J90" t="s">
        <v>302</v>
      </c>
      <c r="L90">
        <v>0</v>
      </c>
      <c r="M90">
        <v>0</v>
      </c>
      <c r="N90" t="s">
        <v>302</v>
      </c>
      <c r="P90">
        <f>IFERROR(_xlfn.NUMBERVALUE(Table1[[#This Row],[Kim MW]]),0)-Table1[[#This Row],[MW w/o pyrophosphate (g/mol)]]</f>
        <v>0</v>
      </c>
      <c r="Q90" t="str">
        <f>IF(_xlfn.XLOOKUP(Table1[[#This Row],[auto or manually found?]],mets9[name],mets9[name],"")="",Table1[[#This Row],[auto or manually found?]],"")</f>
        <v/>
      </c>
    </row>
    <row r="91" spans="1:17" ht="16" x14ac:dyDescent="0.2">
      <c r="A91" s="144"/>
      <c r="B91" t="s">
        <v>302</v>
      </c>
      <c r="C91" t="e">
        <v>#N/A</v>
      </c>
      <c r="D91" s="141" t="e">
        <v>#N/A</v>
      </c>
      <c r="E91">
        <v>0</v>
      </c>
      <c r="F91" s="141" t="s">
        <v>430</v>
      </c>
      <c r="G91" t="s">
        <v>302</v>
      </c>
      <c r="H91" t="s">
        <v>302</v>
      </c>
      <c r="I91" t="s">
        <v>949</v>
      </c>
      <c r="J91" t="s">
        <v>302</v>
      </c>
      <c r="L91">
        <v>0</v>
      </c>
      <c r="M91">
        <v>0</v>
      </c>
      <c r="N91" t="s">
        <v>302</v>
      </c>
      <c r="P91">
        <f>IFERROR(_xlfn.NUMBERVALUE(Table1[[#This Row],[Kim MW]]),0)-Table1[[#This Row],[MW w/o pyrophosphate (g/mol)]]</f>
        <v>0</v>
      </c>
      <c r="Q91" t="str">
        <f>IF(_xlfn.XLOOKUP(Table1[[#This Row],[auto or manually found?]],mets9[name],mets9[name],"")="",Table1[[#This Row],[auto or manually found?]],"")</f>
        <v/>
      </c>
    </row>
    <row r="92" spans="1:17" ht="16" x14ac:dyDescent="0.2">
      <c r="B92" t="s">
        <v>302</v>
      </c>
      <c r="C92" t="e">
        <v>#N/A</v>
      </c>
      <c r="D92" s="141" t="e">
        <v>#N/A</v>
      </c>
      <c r="E92">
        <v>0</v>
      </c>
      <c r="F92" s="141" t="s">
        <v>381</v>
      </c>
      <c r="G92" t="s">
        <v>302</v>
      </c>
      <c r="H92" t="s">
        <v>302</v>
      </c>
      <c r="I92" t="s">
        <v>950</v>
      </c>
      <c r="J92" t="s">
        <v>302</v>
      </c>
      <c r="L92">
        <v>0</v>
      </c>
      <c r="M92">
        <v>0</v>
      </c>
      <c r="N92" t="s">
        <v>302</v>
      </c>
      <c r="P92">
        <f>IFERROR(_xlfn.NUMBERVALUE(Table1[[#This Row],[Kim MW]]),0)-Table1[[#This Row],[MW w/o pyrophosphate (g/mol)]]</f>
        <v>0</v>
      </c>
      <c r="Q92" t="str">
        <f>IF(_xlfn.XLOOKUP(Table1[[#This Row],[auto or manually found?]],mets9[name],mets9[name],"")="",Table1[[#This Row],[auto or manually found?]],"")</f>
        <v/>
      </c>
    </row>
    <row r="93" spans="1:17" ht="16" x14ac:dyDescent="0.2">
      <c r="B93" t="s">
        <v>302</v>
      </c>
      <c r="C93" t="e">
        <v>#N/A</v>
      </c>
      <c r="D93" s="141" t="e">
        <v>#N/A</v>
      </c>
      <c r="E93">
        <v>0</v>
      </c>
      <c r="F93" s="141" t="s">
        <v>382</v>
      </c>
      <c r="G93" t="s">
        <v>302</v>
      </c>
      <c r="H93" t="s">
        <v>302</v>
      </c>
      <c r="I93" t="s">
        <v>951</v>
      </c>
      <c r="J93" t="s">
        <v>302</v>
      </c>
      <c r="L93">
        <v>0</v>
      </c>
      <c r="M93">
        <v>0</v>
      </c>
      <c r="N93" t="s">
        <v>302</v>
      </c>
      <c r="P93">
        <f>IFERROR(_xlfn.NUMBERVALUE(Table1[[#This Row],[Kim MW]]),0)-Table1[[#This Row],[MW w/o pyrophosphate (g/mol)]]</f>
        <v>0</v>
      </c>
      <c r="Q93" t="str">
        <f>IF(_xlfn.XLOOKUP(Table1[[#This Row],[auto or manually found?]],mets9[name],mets9[name],"")="",Table1[[#This Row],[auto or manually found?]],"")</f>
        <v/>
      </c>
    </row>
    <row r="94" spans="1:17" ht="16" x14ac:dyDescent="0.2">
      <c r="B94" t="s">
        <v>302</v>
      </c>
      <c r="C94" t="e">
        <v>#N/A</v>
      </c>
      <c r="D94" s="141" t="e">
        <v>#N/A</v>
      </c>
      <c r="E94">
        <v>0</v>
      </c>
      <c r="F94" s="141" t="s">
        <v>383</v>
      </c>
      <c r="G94" t="s">
        <v>302</v>
      </c>
      <c r="H94" t="s">
        <v>302</v>
      </c>
      <c r="I94" t="s">
        <v>952</v>
      </c>
      <c r="J94" t="s">
        <v>302</v>
      </c>
      <c r="L94">
        <v>0</v>
      </c>
      <c r="M94">
        <v>0</v>
      </c>
      <c r="N94" t="s">
        <v>302</v>
      </c>
      <c r="P94">
        <f>IFERROR(_xlfn.NUMBERVALUE(Table1[[#This Row],[Kim MW]]),0)-Table1[[#This Row],[MW w/o pyrophosphate (g/mol)]]</f>
        <v>0</v>
      </c>
      <c r="Q94" t="str">
        <f>IF(_xlfn.XLOOKUP(Table1[[#This Row],[auto or manually found?]],mets9[name],mets9[name],"")="",Table1[[#This Row],[auto or manually found?]],"")</f>
        <v/>
      </c>
    </row>
    <row r="95" spans="1:17" ht="16" x14ac:dyDescent="0.2">
      <c r="B95" t="s">
        <v>302</v>
      </c>
      <c r="C95" t="e">
        <v>#N/A</v>
      </c>
      <c r="D95" s="141" t="e">
        <v>#N/A</v>
      </c>
      <c r="E95">
        <v>0</v>
      </c>
      <c r="F95" s="141" t="s">
        <v>384</v>
      </c>
      <c r="G95" t="s">
        <v>302</v>
      </c>
      <c r="H95" t="s">
        <v>302</v>
      </c>
      <c r="I95" t="s">
        <v>953</v>
      </c>
      <c r="J95" t="s">
        <v>302</v>
      </c>
      <c r="L95">
        <v>0</v>
      </c>
      <c r="M95">
        <v>0</v>
      </c>
      <c r="N95" t="s">
        <v>302</v>
      </c>
      <c r="P95">
        <f>IFERROR(_xlfn.NUMBERVALUE(Table1[[#This Row],[Kim MW]]),0)-Table1[[#This Row],[MW w/o pyrophosphate (g/mol)]]</f>
        <v>0</v>
      </c>
      <c r="Q95" t="str">
        <f>IF(_xlfn.XLOOKUP(Table1[[#This Row],[auto or manually found?]],mets9[name],mets9[name],"")="",Table1[[#This Row],[auto or manually found?]],"")</f>
        <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A1:B8"/>
  <sheetViews>
    <sheetView zoomScale="110" zoomScaleNormal="110" workbookViewId="0">
      <selection activeCell="B1" sqref="A1:B1"/>
    </sheetView>
  </sheetViews>
  <sheetFormatPr baseColWidth="10" defaultColWidth="12" defaultRowHeight="13" x14ac:dyDescent="0.15"/>
  <cols>
    <col min="1" max="1" width="31.83203125" customWidth="1"/>
    <col min="2" max="2" width="58.1640625" customWidth="1"/>
  </cols>
  <sheetData>
    <row r="1" spans="1:2" x14ac:dyDescent="0.15">
      <c r="A1" s="1" t="s">
        <v>0</v>
      </c>
      <c r="B1" s="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e" cm="1">
        <f t="array" ref="A8">_xlfn._xlws.FILTER(#REF!,LEFT(#REF!,7)="BIOSYN-","")</f>
        <v>#REF!</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1910-8570-9A4D-8744-9D63146630E4}">
  <dimension ref="A1:AD140"/>
  <sheetViews>
    <sheetView topLeftCell="A50" zoomScale="110" zoomScaleNormal="110" workbookViewId="0">
      <selection activeCell="B33" sqref="B33"/>
    </sheetView>
  </sheetViews>
  <sheetFormatPr baseColWidth="10" defaultColWidth="8.6640625" defaultRowHeight="13" x14ac:dyDescent="0.15"/>
  <cols>
    <col min="1" max="1" width="28.83203125" customWidth="1"/>
    <col min="2" max="2" width="42.5" customWidth="1"/>
    <col min="3" max="3" width="16.1640625" customWidth="1"/>
    <col min="4" max="4" width="11.33203125" customWidth="1"/>
    <col min="5" max="5" width="13.83203125" customWidth="1"/>
    <col min="6" max="6" width="22.5" customWidth="1"/>
    <col min="7" max="7" width="15.83203125" customWidth="1"/>
    <col min="8" max="8" width="31.83203125" customWidth="1"/>
    <col min="1015" max="1024" width="11.5" customWidth="1"/>
  </cols>
  <sheetData>
    <row r="1" spans="1:30" x14ac:dyDescent="0.15">
      <c r="A1" s="1" t="s">
        <v>1047</v>
      </c>
      <c r="G1" s="111" t="s">
        <v>300</v>
      </c>
      <c r="H1" cm="1">
        <f t="array" ref="H1">SUMPRODUCT(_xlfn._xlws.FILTER(D:D,ISNUMBER(F:F)),_xlfn._xlws.FILTER(F:F+IF(ISNUMBER(I:I),I:I-F:F,0),ISNUMBER(F:F)))</f>
        <v>-1000.0000000000003</v>
      </c>
      <c r="AD1" t="str">
        <f t="shared" ref="AD1:AD6" si="0">IF(AND(U1=Z1,W1=AB1),"",1)</f>
        <v/>
      </c>
    </row>
    <row r="2" spans="1:30" x14ac:dyDescent="0.15">
      <c r="A2" t="s">
        <v>195</v>
      </c>
      <c r="E2" s="1"/>
      <c r="F2" s="2"/>
      <c r="G2" s="111" t="s">
        <v>301</v>
      </c>
      <c r="H2" cm="1">
        <f t="array" ref="H2">SUMPRODUCT(_xlfn._xlws.FILTER(D:D,ISNUMBER(F:F)),_xlfn._xlws.FILTER(F:F,ISNUMBER(F:F)))</f>
        <v>-1047.8362592968172</v>
      </c>
      <c r="K2" s="3"/>
      <c r="AD2" t="str">
        <f t="shared" si="0"/>
        <v/>
      </c>
    </row>
    <row r="3" spans="1:30" x14ac:dyDescent="0.15">
      <c r="A3" s="139" t="s">
        <v>306</v>
      </c>
      <c r="B3" t="str" cm="1">
        <f t="array" ref="B3">_xlfn.LET(_xlpm.r,C39:D140,_xlpm.ppi,-SUM(D78:D81,D49:D52),_xlpm.gam,_xlfn.HSTACK(SUBSTITUTE(B19:B23,"MET-",""),SIGN(C19:C23)*I19),_xlpm.mets,_xlfn._xlws.FILTER(_xlpm.r,(_xlfn.CHOOSECOLS(_xlpm.r,1)&lt;&gt;"")*(_xlfn.CHOOSECOLS(_xlpm.r,1)&lt;&gt;"Metabolite")),_xlpm.gamonly,_xlfn._xlws.FILTER(_xlpm.gam,ISNA(_xlfn.XLOOKUP(_xlfn.CHOOSECOLS(_xlpm.gam,1),_xlfn.CHOOSECOLS(_xlpm.mets,1),_xlfn.CHOOSECOLS(_xlpm.mets,2))),""),_xlpm.trna,SUBSTITUTE(_xlfn._xlws.FILTER(_xlfn.HSTACK("trna"&amp;_xlfn.CHOOSECOLS(_xlpm.mets,1),-_xlfn.CHOOSECOLS(_xlpm.mets,2)),RIGHT(_xlfn.CHOOSECOLS(_xlpm.mets,1),6)="trna_c"),"trna_","_"),_xlpm.pregam,_xlfn.VSTACK(_xlfn.HSTACK(_xlfn.CHOOSECOLS(_xlpm.mets,1),_xlfn.CHOOSECOLS(_xlpm.mets,2)+_xlfn.XLOOKUP(_xlfn.CHOOSECOLS(_xlpm.mets,1),SUBSTITUTE(_xlfn.CHOOSECOLS(_xlpm.gam,1),"MET-",""),_xlfn.CHOOSECOLS(_xlpm.gam,2),0)),_xlpm.trna,_xlpm.gamonly,_xlfn.HSTACK("ppi_c",_xlpm.ppi)),_xlpm.all,_xlfn._xlws.SORT(_xlpm.pregam),_xlfn.TEXTJOIN(","&amp;CHAR(10),TRUE,CHAR(34)&amp;_xlfn.CHOOSECOLS(_xlpm.all,1)&amp;CHAR(34)&amp;":"&amp;_xlfn.CHOOSECOLS(_xlpm.all,2)))</f>
        <v>"13BDglucan_c":-1.11250905036045,
"16BDglucan_en":-0.292766182930232,
"adp_c":187.141095,
"alatrna_c":-0.328153948023877,
"amet_c":-0.00011112611041405,
"argtrna_c":-0.129649414851977,
"asntrna_c":-0.155847935243254,
"asptrna_c":-0.155847935243254,
"atp_c":-187.185998004657,
"btn_c":-0.00011112611041405,
"ca2_c":-0.00142908177992469,
"chtn_c":-0.0263024390739016,
"coa_c":-0.00011112611041405,
"ctp_c":-0.078379442712388,
"cu2_c":-0.000126683765872017,
"cystrna_c":-0.00470242923649246,
"datp_c":-0.00788439753387686,
"dctp_c":-0.0123061054672519,
"dgtp_c":-0.0123061054672519,
"docosa_c":-4.55617052697606E-05,
"dttp_c":-0.00788439753387686,
"epist_c":-0.113983162712795,
"fad_c":-0.00011112611041405,
"fe2_c":-0.000737877373149294,
"G00006_c":-0.0172278808974902,
"glntrna_c":-0.259970848046514,
"glutrna_c":-0.259970848046514,
"glytrna_c":-0.298597035081226,
"gpianchorSC_r":-0.018879214898243,
"gtp_c":-0.068677261456608,
"h_c":187.141095,
"h2o_c":-187.141095,
"hdca_c":-0.00053118280777916,
"hemeA_c":-0.00011112611041405,
"histrna_c":-0.0648247074259887,
"iletrna_c":-0.197833364410051,
"ipc_g":-0.0089801009825594,
"k_c":-0.670812765514414,
"leutrna_c":-0.269039272557864,
"linoea_c":-0.00135462728594727,
"linolen_c":-0.000363382381053944,
"lystrna_c":-0.220672642669243,
"mettrna_c":-0.0382906026537877,
"mg2_c":-0.0706839850510649,
"mn2_c":-0.000104458543789207,
"nad_c":-0.00011112611041405,
"nadp_c":-0.00011112611041405,
"ocdca_c":-0.00035338103111668,
"ocdcea_c":-0.000648976484818053,
"oglycanSC_g":-0.0531049456446663,
"pail_c":-0.0243766235804261,
"pc_c":-0.0457461746130479,
"pe_c":-0.011049269158469,
"phetrna_c":-0.126291022300603,
"pi_c":187.023684811181,
"ppi_c":0.273426203103448,
"protrna_c":-0.141741497114488,
"ps_c":-0.00592524420727716,
"pydx5p_c":-0.00011112611041405,
"ribflv_c":-0.00011112611041405,
"sertrna_c":-0.179023647464081,
"so4_c":-0.0346969054545789,
"spmd_c":-0.00011112611041405,
"tag_c":-0.0140530079229608,
"thf_c":-0.00011112611041405,
"thmpp_c":-0.00011112611041405,
"thrtrna_c":-0.187085318832659,
"trnaala_c":0.328153948023877,
"trnaarg_c":0.129649414851977,
"trnaasn_c":0.155847935243254,
"trnaasp_c":0.155847935243254,
"trnacys_c":0.00470242923649246,
"trnagln_c":0.259970848046514,
"trnaglu_c":0.259970848046514,
"trnagly_c":0.298597035081226,
"trnahis_c":0.0648247074259887,
"trnaile_c":0.197833364410051,
"trnaleu_c":0.269039272557864,
"trnalys_c":0.220672642669243,
"trnamet_c":0.0382906026537877,
"trnaphe_c":0.126291022300603,
"trnapro_c":0.141741497114488,
"trnaser_c":0.179023647464081,
"trnathr_c":0.187085318832659,
"trnatrp_c":0.0218325251164197,
"trnatyr_c":0.065832310149472,
"trnaval_c":0.246199994298672,
"trptrna_c":-0.0218325251164197,
"ttcosa_c":-0.000280037798243407,
"tyrtrna_c":-0.065832310149472,
"utp_c":-0.0410854882749155,
"valtrna_c":-0.246199994298672,
"zn2_c":-0.00175134750012543</v>
      </c>
      <c r="E3" s="1"/>
      <c r="F3" s="2"/>
      <c r="G3" s="3"/>
      <c r="AD3" t="str">
        <f t="shared" si="0"/>
        <v/>
      </c>
    </row>
    <row r="4" spans="1:30" x14ac:dyDescent="0.15">
      <c r="A4" s="1" t="s">
        <v>15</v>
      </c>
      <c r="B4" s="4"/>
      <c r="G4" s="3"/>
      <c r="AD4" t="str">
        <f t="shared" si="0"/>
        <v/>
      </c>
    </row>
    <row r="5" spans="1:30" x14ac:dyDescent="0.15">
      <c r="A5" s="1" t="s">
        <v>16</v>
      </c>
      <c r="AD5" t="str">
        <f t="shared" si="0"/>
        <v/>
      </c>
    </row>
    <row r="6" spans="1:30" x14ac:dyDescent="0.15">
      <c r="A6" t="s">
        <v>17</v>
      </c>
      <c r="B6" t="str">
        <f>_xlfn.CONCAT(E9:E17) &amp; _xlfn.CONCAT(E19:E23)</f>
        <v>0.367955332398886 BIO-varbiom + 0.36442355754162 BIO-carb + 0.0747541130261535 BIO-rna + 0.136980222283232 BIO-lipid + 0.0124370684793151 BIO-dna + 0.0281723866022769 BIO-metal + 0.000675296865424734 BIO-cofactor + 0.00333307494992103 BIO-so4 + 0.0112689478531708 BIO-pi + 180.451095 MET-atp_c + 180.451095 MET-h2o_c --&gt; 180.451095 MET-adp_c + 180.451095 MET-pi_c + 180.451095 MET-h_c</v>
      </c>
      <c r="AD6" t="str">
        <f t="shared" si="0"/>
        <v/>
      </c>
    </row>
    <row r="7" spans="1:30" x14ac:dyDescent="0.15">
      <c r="A7" t="str">
        <f>A6&amp;"-NOGAM"</f>
        <v>BIOSYN-BIODILAERO-NOGAM</v>
      </c>
      <c r="B7" t="str" cm="1">
        <f t="array" ref="B7">_xlfn.TEXTJOIN(" + ",TRUE,SUBSTITUTE(E9:E17," + ",""))&amp;" --&gt; "</f>
        <v xml:space="preserve">0.367955332398886 BIO-varbiom + 0.36442355754162 BIO-carb + 0.0747541130261535 BIO-rna + 0.136980222283232 BIO-lipid + 0.0124370684793151 BIO-dna + 0.0281723866022769 BIO-metal + 0.000675296865424734 BIO-cofactor + 0.00333307494992103 BIO-so4 + 0.0112689478531708 BIO-pi --&gt; </v>
      </c>
    </row>
    <row r="8" spans="1:30" ht="14" thickBot="1" x14ac:dyDescent="0.2">
      <c r="B8" s="1" t="s">
        <v>18</v>
      </c>
      <c r="C8" s="1" t="s">
        <v>19</v>
      </c>
      <c r="D8" s="1" t="s">
        <v>20</v>
      </c>
      <c r="AD8" t="str">
        <f t="shared" ref="AD8:AD67" si="1">IF(AND(U8=Z8,W8=AB8),"",1)</f>
        <v/>
      </c>
    </row>
    <row r="9" spans="1:30" x14ac:dyDescent="0.15">
      <c r="B9" s="112" t="s">
        <v>21</v>
      </c>
      <c r="C9" s="135">
        <f>SUMPRODUCT(D121:D140,F121:F140)/1000</f>
        <v>-0.36795533239888611</v>
      </c>
      <c r="D9" s="114" t="s">
        <v>276</v>
      </c>
      <c r="E9" t="str">
        <f t="shared" ref="E9:E17" si="2">-C9 &amp; " " &amp; B9 &amp; " +" &amp; " "</f>
        <v xml:space="preserve">0.367955332398886 BIO-varbiom + </v>
      </c>
      <c r="G9" s="22"/>
      <c r="AD9" t="str">
        <f>IF(AND(U9=Z9,W9=AB9),"",1)</f>
        <v/>
      </c>
    </row>
    <row r="10" spans="1:30" x14ac:dyDescent="0.15">
      <c r="B10" s="42" t="s">
        <v>274</v>
      </c>
      <c r="C10" s="136">
        <f>SUMPRODUCT(D39:D44,F39:F44)/1000</f>
        <v>-0.36442355754161965</v>
      </c>
      <c r="D10" s="115" t="s">
        <v>277</v>
      </c>
      <c r="E10" t="str">
        <f t="shared" si="2"/>
        <v xml:space="preserve">0.36442355754162 BIO-carb + </v>
      </c>
      <c r="F10" s="138"/>
      <c r="AD10" t="str">
        <f t="shared" si="1"/>
        <v/>
      </c>
    </row>
    <row r="11" spans="1:30" x14ac:dyDescent="0.15">
      <c r="B11" s="104" t="s">
        <v>273</v>
      </c>
      <c r="C11" s="128">
        <f>SUMPRODUCT(D49:D52,I49:I52)/1000</f>
        <v>-7.4754113026153465E-2</v>
      </c>
      <c r="D11" s="113" t="s">
        <v>275</v>
      </c>
      <c r="E11" t="str">
        <f t="shared" si="2"/>
        <v xml:space="preserve">0.0747541130261535 BIO-rna + </v>
      </c>
      <c r="F11" s="138"/>
      <c r="AD11" t="str">
        <f t="shared" si="1"/>
        <v/>
      </c>
    </row>
    <row r="12" spans="1:30" x14ac:dyDescent="0.15">
      <c r="B12" s="5" t="s">
        <v>22</v>
      </c>
      <c r="C12" s="116">
        <f>SUMPRODUCT(D60:D73,F60:F73)/1000</f>
        <v>-0.13698022228323248</v>
      </c>
      <c r="D12" s="6" t="s">
        <v>23</v>
      </c>
      <c r="E12" t="str">
        <f t="shared" si="2"/>
        <v xml:space="preserve">0.136980222283232 BIO-lipid + </v>
      </c>
      <c r="F12" s="138"/>
      <c r="AD12" t="str">
        <f t="shared" si="1"/>
        <v/>
      </c>
    </row>
    <row r="13" spans="1:30" x14ac:dyDescent="0.15">
      <c r="B13" s="7" t="s">
        <v>24</v>
      </c>
      <c r="C13" s="117">
        <f>SUMPRODUCT(D78:D81,I78:I81)/1000</f>
        <v>-1.2437068479315133E-2</v>
      </c>
      <c r="D13" s="8" t="s">
        <v>25</v>
      </c>
      <c r="E13" t="str">
        <f t="shared" si="2"/>
        <v xml:space="preserve">0.0124370684793151 BIO-dna + </v>
      </c>
      <c r="F13" s="138"/>
      <c r="AD13" t="str">
        <f t="shared" si="1"/>
        <v/>
      </c>
    </row>
    <row r="14" spans="1:30" x14ac:dyDescent="0.15">
      <c r="B14" s="9" t="s">
        <v>26</v>
      </c>
      <c r="C14" s="30">
        <f>SUMPRODUCT(D86:D92,F86:F92)/1000</f>
        <v>-2.8172386602276868E-2</v>
      </c>
      <c r="D14" s="10" t="s">
        <v>27</v>
      </c>
      <c r="E14" t="str">
        <f t="shared" si="2"/>
        <v xml:space="preserve">0.0281723866022769 BIO-metal + </v>
      </c>
      <c r="F14" s="138"/>
      <c r="AD14" t="str">
        <f t="shared" si="1"/>
        <v/>
      </c>
    </row>
    <row r="15" spans="1:30" x14ac:dyDescent="0.15">
      <c r="B15" s="11" t="s">
        <v>28</v>
      </c>
      <c r="C15" s="31">
        <f>SUMPRODUCT(D97:D108,F97:F108)/1000</f>
        <v>-6.7529686542473354E-4</v>
      </c>
      <c r="D15" s="12" t="s">
        <v>29</v>
      </c>
      <c r="E15" t="str">
        <f t="shared" si="2"/>
        <v xml:space="preserve">0.000675296865424734 BIO-cofactor + </v>
      </c>
      <c r="F15" s="138"/>
      <c r="AD15" t="str">
        <f t="shared" si="1"/>
        <v/>
      </c>
    </row>
    <row r="16" spans="1:30" ht="14" thickBot="1" x14ac:dyDescent="0.2">
      <c r="B16" s="13" t="s">
        <v>30</v>
      </c>
      <c r="C16" s="32">
        <f>SUMPRODUCT(D112,F112)/1000</f>
        <v>-3.3330749499210317E-3</v>
      </c>
      <c r="D16" s="14" t="s">
        <v>31</v>
      </c>
      <c r="E16" t="str">
        <f t="shared" si="2"/>
        <v xml:space="preserve">0.00333307494992103 BIO-so4 + </v>
      </c>
      <c r="F16" s="138"/>
      <c r="AD16" t="str">
        <f t="shared" si="1"/>
        <v/>
      </c>
    </row>
    <row r="17" spans="1:30" ht="14" thickBot="1" x14ac:dyDescent="0.2">
      <c r="B17" s="15" t="s">
        <v>32</v>
      </c>
      <c r="C17" s="33">
        <f>SUMPRODUCT(D116,F116)/1000</f>
        <v>-1.1268947853170773E-2</v>
      </c>
      <c r="D17" s="16" t="s">
        <v>33</v>
      </c>
      <c r="E17" t="str">
        <f t="shared" si="2"/>
        <v xml:space="preserve">0.0112689478531708 BIO-pi + </v>
      </c>
      <c r="F17" s="138"/>
      <c r="H17" t="s">
        <v>34</v>
      </c>
      <c r="I17" s="37">
        <v>6.69</v>
      </c>
      <c r="AD17" t="str">
        <f t="shared" si="1"/>
        <v/>
      </c>
    </row>
    <row r="18" spans="1:30" ht="14" thickBot="1" x14ac:dyDescent="0.2">
      <c r="B18" s="1" t="s">
        <v>18</v>
      </c>
      <c r="C18" s="1" t="s">
        <v>35</v>
      </c>
      <c r="D18" s="1" t="s">
        <v>20</v>
      </c>
      <c r="I18" t="s">
        <v>36</v>
      </c>
      <c r="J18" t="s">
        <v>37</v>
      </c>
      <c r="AD18" t="str">
        <f t="shared" si="1"/>
        <v/>
      </c>
    </row>
    <row r="19" spans="1:30" x14ac:dyDescent="0.15">
      <c r="B19" s="17" t="s">
        <v>38</v>
      </c>
      <c r="C19" s="18">
        <f>-J19</f>
        <v>-180.45109500000001</v>
      </c>
      <c r="D19" s="19" t="s">
        <v>39</v>
      </c>
      <c r="E19" t="str">
        <f>-C19 &amp; " " &amp; B19 &amp; " +" &amp; " "</f>
        <v xml:space="preserve">180.451095 MET-atp_c + </v>
      </c>
      <c r="F19" s="1"/>
      <c r="G19" s="1"/>
      <c r="H19" t="s">
        <v>40</v>
      </c>
      <c r="I19" s="96">
        <v>187.14109500000001</v>
      </c>
      <c r="J19" s="95">
        <f>I19-$I$17</f>
        <v>180.45109500000001</v>
      </c>
      <c r="AD19" t="str">
        <f t="shared" si="1"/>
        <v/>
      </c>
    </row>
    <row r="20" spans="1:30" x14ac:dyDescent="0.15">
      <c r="B20" s="17" t="s">
        <v>41</v>
      </c>
      <c r="C20" s="18">
        <f>C19</f>
        <v>-180.45109500000001</v>
      </c>
      <c r="D20" s="17"/>
      <c r="E20" t="str">
        <f>-C20 &amp; " " &amp; B20 &amp; " --&gt; "</f>
        <v xml:space="preserve">180.451095 MET-h2o_c --&gt; </v>
      </c>
      <c r="H20" t="s">
        <v>42</v>
      </c>
      <c r="I20" s="97"/>
      <c r="J20" s="95">
        <f>I20-$I$17</f>
        <v>-6.69</v>
      </c>
      <c r="AD20" t="str">
        <f t="shared" si="1"/>
        <v/>
      </c>
    </row>
    <row r="21" spans="1:30" x14ac:dyDescent="0.15">
      <c r="B21" s="17" t="s">
        <v>43</v>
      </c>
      <c r="C21" s="18">
        <f>-C19</f>
        <v>180.45109500000001</v>
      </c>
      <c r="D21" s="17"/>
      <c r="E21" t="str">
        <f>C21 &amp; " " &amp; B21 &amp; " +" &amp; " "</f>
        <v xml:space="preserve">180.451095 MET-adp_c + </v>
      </c>
      <c r="H21" t="s">
        <v>44</v>
      </c>
      <c r="I21" s="97"/>
      <c r="J21" s="95">
        <f>I21-$I$17</f>
        <v>-6.69</v>
      </c>
      <c r="AD21" t="str">
        <f t="shared" si="1"/>
        <v/>
      </c>
    </row>
    <row r="22" spans="1:30" ht="14" thickBot="1" x14ac:dyDescent="0.2">
      <c r="B22" s="17" t="s">
        <v>45</v>
      </c>
      <c r="C22" s="18">
        <f>-C19</f>
        <v>180.45109500000001</v>
      </c>
      <c r="D22" s="17"/>
      <c r="E22" t="str">
        <f>C22 &amp; " " &amp; B22 &amp; " +" &amp; " "</f>
        <v xml:space="preserve">180.451095 MET-pi_c + </v>
      </c>
      <c r="H22" t="s">
        <v>46</v>
      </c>
      <c r="I22" s="98">
        <v>227.95920000000001</v>
      </c>
      <c r="J22" s="95">
        <f>I22-$I$17</f>
        <v>221.26920000000001</v>
      </c>
      <c r="AD22" t="str">
        <f t="shared" si="1"/>
        <v/>
      </c>
    </row>
    <row r="23" spans="1:30" x14ac:dyDescent="0.15">
      <c r="B23" s="17" t="s">
        <v>47</v>
      </c>
      <c r="C23" s="18">
        <f>-C19</f>
        <v>180.45109500000001</v>
      </c>
      <c r="D23" s="17"/>
      <c r="E23" t="str">
        <f>C23 &amp; " " &amp; B23</f>
        <v>180.451095 MET-h_c</v>
      </c>
      <c r="AD23" t="str">
        <f t="shared" si="1"/>
        <v/>
      </c>
    </row>
    <row r="24" spans="1:30" x14ac:dyDescent="0.15">
      <c r="C24" s="4"/>
      <c r="AD24" t="str">
        <f t="shared" si="1"/>
        <v/>
      </c>
    </row>
    <row r="25" spans="1:30" ht="14" thickBot="1" x14ac:dyDescent="0.2">
      <c r="A25" s="1" t="s">
        <v>48</v>
      </c>
      <c r="AD25" t="str">
        <f t="shared" si="1"/>
        <v/>
      </c>
    </row>
    <row r="26" spans="1:30" x14ac:dyDescent="0.15">
      <c r="A26" s="34" t="s">
        <v>49</v>
      </c>
      <c r="B26" s="34" t="str">
        <f>"BIO-prot --&gt; " &amp; $B$9</f>
        <v>BIO-prot --&gt; BIO-varbiom</v>
      </c>
      <c r="AD26" t="str">
        <f t="shared" si="1"/>
        <v/>
      </c>
    </row>
    <row r="27" spans="1:30" x14ac:dyDescent="0.15">
      <c r="A27" s="35" t="str">
        <f>IFERROR(IF(FIND("BIO-varbiom",B27),"BIOSYN-RNATOBIO",""),"Used only if BIO-varbiom included")</f>
        <v>Used only if BIO-varbiom included</v>
      </c>
      <c r="B27" s="35" t="str">
        <f>"BIO-rna --&gt; " &amp; $B$10</f>
        <v>BIO-rna --&gt; BIO-carb</v>
      </c>
      <c r="AD27" t="str">
        <f t="shared" si="1"/>
        <v/>
      </c>
    </row>
    <row r="28" spans="1:30" ht="14" thickBot="1" x14ac:dyDescent="0.2">
      <c r="A28" s="36" t="str">
        <f>IFERROR(IF(FIND("BIO-varbiom",B28),"BIOSYN-CARBTOBIO",""),"Used only if BIO-varbiom included")</f>
        <v>Used only if BIO-varbiom included</v>
      </c>
      <c r="B28" s="36" t="str">
        <f>"BIO-carb --&gt; " &amp; $B$10</f>
        <v>BIO-carb --&gt; BIO-carb</v>
      </c>
      <c r="AD28" t="str">
        <f t="shared" si="1"/>
        <v/>
      </c>
    </row>
    <row r="29" spans="1:30" x14ac:dyDescent="0.15">
      <c r="AD29" t="str">
        <f t="shared" si="1"/>
        <v/>
      </c>
    </row>
    <row r="30" spans="1:30" x14ac:dyDescent="0.15">
      <c r="A30" s="1" t="s">
        <v>52</v>
      </c>
      <c r="AD30" t="str">
        <f t="shared" si="1"/>
        <v/>
      </c>
    </row>
    <row r="31" spans="1:30" x14ac:dyDescent="0.15">
      <c r="A31" t="s">
        <v>53</v>
      </c>
      <c r="B31" t="s">
        <v>54</v>
      </c>
      <c r="AD31" t="str">
        <f t="shared" si="1"/>
        <v/>
      </c>
    </row>
    <row r="32" spans="1:30" x14ac:dyDescent="0.15">
      <c r="A32" t="s">
        <v>55</v>
      </c>
      <c r="B32" t="s">
        <v>56</v>
      </c>
      <c r="AD32" t="str">
        <f t="shared" si="1"/>
        <v/>
      </c>
    </row>
    <row r="33" spans="1:30" x14ac:dyDescent="0.15">
      <c r="A33" t="s">
        <v>59</v>
      </c>
      <c r="B33" t="s">
        <v>60</v>
      </c>
      <c r="AD33" t="str">
        <f t="shared" si="1"/>
        <v/>
      </c>
    </row>
    <row r="34" spans="1:30" x14ac:dyDescent="0.15">
      <c r="A34" t="s">
        <v>61</v>
      </c>
      <c r="B34" t="s">
        <v>62</v>
      </c>
      <c r="AD34" t="str">
        <f t="shared" si="1"/>
        <v/>
      </c>
    </row>
    <row r="35" spans="1:30" x14ac:dyDescent="0.15">
      <c r="AD35" t="str">
        <f t="shared" si="1"/>
        <v/>
      </c>
    </row>
    <row r="36" spans="1:30" x14ac:dyDescent="0.15">
      <c r="A36" s="1" t="s">
        <v>63</v>
      </c>
      <c r="AD36" t="str">
        <f t="shared" si="1"/>
        <v/>
      </c>
    </row>
    <row r="37" spans="1:30" x14ac:dyDescent="0.15">
      <c r="A37" t="s">
        <v>64</v>
      </c>
      <c r="B37" t="str">
        <f>_xlfn.CONCAT(H39:H44) &amp; " --&gt; BIO-carb"</f>
        <v>0.118138 BIO-gpianchorSC_r + 0.123818 BIO-G00006_c + 0.118138 BIO-oglycanSC_g + 0.494981 BIO-13BDglucan_c + 0.130259 BIO-16BDglucan_en + 0.014666 BIO-chtn_c --&gt; BIO-carb</v>
      </c>
      <c r="AD37" t="str">
        <f t="shared" si="1"/>
        <v/>
      </c>
    </row>
    <row r="38" spans="1:30" ht="14" thickBot="1" x14ac:dyDescent="0.2">
      <c r="C38" s="1" t="s">
        <v>18</v>
      </c>
      <c r="D38" s="1" t="s">
        <v>65</v>
      </c>
      <c r="E38" s="1" t="s">
        <v>66</v>
      </c>
      <c r="F38" s="1" t="s">
        <v>67</v>
      </c>
      <c r="G38" s="1" t="s">
        <v>68</v>
      </c>
      <c r="AD38" t="str">
        <f t="shared" si="1"/>
        <v/>
      </c>
    </row>
    <row r="39" spans="1:30" x14ac:dyDescent="0.15">
      <c r="A39" s="34" t="s">
        <v>69</v>
      </c>
      <c r="B39" t="str">
        <f t="shared" ref="B39:B44" si="3">"MET-" &amp; C39 &amp; " --&gt; " &amp; ROUND(F39/1000,6) &amp; " BIO-" &amp;C39</f>
        <v>MET-gpianchorSC_r --&gt; 2.280413 BIO-gpianchorSC_r</v>
      </c>
      <c r="C39" s="38" t="s">
        <v>196</v>
      </c>
      <c r="D39" s="39">
        <v>-1.8879214898242992E-2</v>
      </c>
      <c r="E39" s="40" t="s">
        <v>200</v>
      </c>
      <c r="F39" s="48">
        <v>2280.41334042176</v>
      </c>
      <c r="G39" s="47">
        <f t="shared" ref="G39:G44" si="4">F39*D39/SUMPRODUCT($D$39:$D$44,$F$39:$F$44)</f>
        <v>0.11813839314085968</v>
      </c>
      <c r="H39" t="str">
        <f>ROUND(G39,6) &amp; " BIO-" &amp; C39 &amp; " + "</f>
        <v xml:space="preserve">0.118138 BIO-gpianchorSC_r + </v>
      </c>
      <c r="AD39" t="str">
        <f t="shared" si="1"/>
        <v/>
      </c>
    </row>
    <row r="40" spans="1:30" x14ac:dyDescent="0.15">
      <c r="A40" s="35" t="s">
        <v>70</v>
      </c>
      <c r="B40" t="str">
        <f t="shared" si="3"/>
        <v>MET-G00006_c --&gt; 2.619137 BIO-G00006_c</v>
      </c>
      <c r="C40" s="41" t="s">
        <v>197</v>
      </c>
      <c r="D40" s="42">
        <v>-1.7227880897490208E-2</v>
      </c>
      <c r="E40" s="43" t="s">
        <v>201</v>
      </c>
      <c r="F40" s="49">
        <v>2619.1368040000002</v>
      </c>
      <c r="G40" s="47">
        <f t="shared" si="4"/>
        <v>0.12381794749476892</v>
      </c>
      <c r="H40" t="str">
        <f>ROUND(G40,6) &amp; " BIO-" &amp; C40 &amp; " + "</f>
        <v xml:space="preserve">0.123818 BIO-G00006_c + </v>
      </c>
      <c r="AD40" t="str">
        <f t="shared" si="1"/>
        <v/>
      </c>
    </row>
    <row r="41" spans="1:30" x14ac:dyDescent="0.15">
      <c r="A41" s="35" t="s">
        <v>72</v>
      </c>
      <c r="B41" t="str">
        <f t="shared" si="3"/>
        <v>MET-oglycanSC_g --&gt; 0.810703 BIO-oglycanSC_g</v>
      </c>
      <c r="C41" s="41" t="s">
        <v>198</v>
      </c>
      <c r="D41" s="42">
        <v>-5.3104945644666321E-2</v>
      </c>
      <c r="E41" s="43" t="s">
        <v>202</v>
      </c>
      <c r="F41" s="49">
        <v>810.70299999999997</v>
      </c>
      <c r="G41" s="47">
        <f t="shared" si="4"/>
        <v>0.11813818799036079</v>
      </c>
      <c r="H41" t="str">
        <f>ROUND(G41,6) &amp; " BIO-" &amp; C41 &amp; " + "</f>
        <v xml:space="preserve">0.118138 BIO-oglycanSC_g + </v>
      </c>
      <c r="AD41" t="str">
        <f t="shared" si="1"/>
        <v/>
      </c>
    </row>
    <row r="42" spans="1:30" x14ac:dyDescent="0.15">
      <c r="A42" s="35" t="s">
        <v>74</v>
      </c>
      <c r="B42" t="str">
        <f t="shared" si="3"/>
        <v>MET-13BDglucan_c --&gt; 0.162141 BIO-13BDglucan_c</v>
      </c>
      <c r="C42" s="41" t="s">
        <v>199</v>
      </c>
      <c r="D42" s="42">
        <v>-1.112509050360452</v>
      </c>
      <c r="E42" s="43" t="s">
        <v>71</v>
      </c>
      <c r="F42" s="49">
        <v>162.14060000000001</v>
      </c>
      <c r="G42" s="47">
        <f t="shared" si="4"/>
        <v>0.49498140610811903</v>
      </c>
      <c r="H42" t="str">
        <f>ROUND(G42,6) &amp; " BIO-" &amp; C42 &amp; " + "</f>
        <v xml:space="preserve">0.494981 BIO-13BDglucan_c + </v>
      </c>
      <c r="AD42" t="str">
        <f t="shared" si="1"/>
        <v/>
      </c>
    </row>
    <row r="43" spans="1:30" x14ac:dyDescent="0.15">
      <c r="A43" s="35" t="s">
        <v>77</v>
      </c>
      <c r="B43" t="str">
        <f t="shared" si="3"/>
        <v>MET-16BDglucan_en --&gt; 0.162141 BIO-16BDglucan_en</v>
      </c>
      <c r="C43" s="41" t="s">
        <v>73</v>
      </c>
      <c r="D43" s="42">
        <v>-0.29276618293023188</v>
      </c>
      <c r="E43" s="43" t="s">
        <v>71</v>
      </c>
      <c r="F43" s="49">
        <v>162.14060000000001</v>
      </c>
      <c r="G43" s="47">
        <f t="shared" si="4"/>
        <v>0.13025855101202188</v>
      </c>
      <c r="H43" t="str">
        <f>ROUND(G43,6) &amp; " BIO-" &amp; C43 &amp; " + "</f>
        <v xml:space="preserve">0.130259 BIO-16BDglucan_en + </v>
      </c>
      <c r="AD43" t="str">
        <f t="shared" si="1"/>
        <v/>
      </c>
    </row>
    <row r="44" spans="1:30" ht="14" thickBot="1" x14ac:dyDescent="0.2">
      <c r="A44" s="36" t="s">
        <v>78</v>
      </c>
      <c r="B44" t="str">
        <f t="shared" si="3"/>
        <v>MET-chtn_c --&gt; 0.203193 BIO-chtn_c</v>
      </c>
      <c r="C44" s="44" t="s">
        <v>75</v>
      </c>
      <c r="D44" s="45">
        <v>-2.6302439073901552E-2</v>
      </c>
      <c r="E44" s="46" t="s">
        <v>76</v>
      </c>
      <c r="F44" s="50">
        <v>203.19252</v>
      </c>
      <c r="G44" s="47">
        <f t="shared" si="4"/>
        <v>1.4665514253869687E-2</v>
      </c>
      <c r="H44" t="str">
        <f>ROUND(G44,6) &amp; " BIO-" &amp; C44</f>
        <v>0.014666 BIO-chtn_c</v>
      </c>
      <c r="AD44" t="str">
        <f t="shared" si="1"/>
        <v/>
      </c>
    </row>
    <row r="45" spans="1:30" x14ac:dyDescent="0.15">
      <c r="D45" t="s">
        <v>302</v>
      </c>
      <c r="AD45" t="str">
        <f t="shared" si="1"/>
        <v/>
      </c>
    </row>
    <row r="46" spans="1:30" ht="14" thickBot="1" x14ac:dyDescent="0.2">
      <c r="A46" s="1" t="s">
        <v>79</v>
      </c>
      <c r="D46" t="s">
        <v>302</v>
      </c>
      <c r="AD46" t="str">
        <f t="shared" si="1"/>
        <v/>
      </c>
    </row>
    <row r="47" spans="1:30" ht="14" thickBot="1" x14ac:dyDescent="0.2">
      <c r="A47" t="s">
        <v>80</v>
      </c>
      <c r="B47" s="37" t="s">
        <v>81</v>
      </c>
      <c r="D47" t="s">
        <v>302</v>
      </c>
      <c r="AD47" t="str">
        <f t="shared" si="1"/>
        <v/>
      </c>
    </row>
    <row r="48" spans="1:30" ht="14" thickBot="1" x14ac:dyDescent="0.2">
      <c r="C48" s="1" t="s">
        <v>18</v>
      </c>
      <c r="D48" s="1" t="s">
        <v>65</v>
      </c>
      <c r="E48" s="1" t="s">
        <v>66</v>
      </c>
      <c r="F48" s="1" t="s">
        <v>67</v>
      </c>
      <c r="G48" s="1" t="s">
        <v>68</v>
      </c>
      <c r="I48" s="1" t="s">
        <v>82</v>
      </c>
      <c r="AD48" t="str">
        <f t="shared" si="1"/>
        <v/>
      </c>
    </row>
    <row r="49" spans="1:30" x14ac:dyDescent="0.15">
      <c r="A49" s="34" t="s">
        <v>83</v>
      </c>
      <c r="B49" t="str">
        <f>"MET-" &amp; C49 &amp; " --&gt; " &amp; ROUND(I49/1000,6) &amp; " BIO-" &amp; C49 &amp; " + MET-ppi_c"</f>
        <v>MET-atp_c --&gt; 0.328198 BIO-atp_c + MET-ppi_c</v>
      </c>
      <c r="C49" s="99" t="s">
        <v>84</v>
      </c>
      <c r="D49" s="100">
        <v>-4.4903004657278832E-2</v>
      </c>
      <c r="E49" s="101" t="s">
        <v>85</v>
      </c>
      <c r="F49" s="102">
        <v>503.14926300000002</v>
      </c>
      <c r="G49" s="20">
        <f>D49 * I49 / SUMPRODUCT($D$49:$D$52, $I$49:$I$52)</f>
        <v>0.19714067588838477</v>
      </c>
      <c r="H49" t="str">
        <f>ROUND(G49,6) &amp; " BIO-" &amp; C49 &amp; " + "</f>
        <v xml:space="preserve">0.197141 BIO-atp_c + </v>
      </c>
      <c r="I49" s="21">
        <f>F49 - 174.951262</f>
        <v>328.19800099999998</v>
      </c>
      <c r="AD49" t="str">
        <f t="shared" si="1"/>
        <v/>
      </c>
    </row>
    <row r="50" spans="1:30" x14ac:dyDescent="0.15">
      <c r="A50" s="35" t="s">
        <v>86</v>
      </c>
      <c r="B50" t="str">
        <f>"MET-" &amp; C50 &amp; " --&gt; " &amp; ROUND(I50/1000,6) &amp; " BIO-" &amp; C50 &amp; " + MET-ppi_c"</f>
        <v>MET-ctp_c --&gt; 0.304173 BIO-ctp_c + MET-ppi_c</v>
      </c>
      <c r="C50" s="103" t="s">
        <v>87</v>
      </c>
      <c r="D50" s="104">
        <v>-7.8379442712387962E-2</v>
      </c>
      <c r="E50" s="105" t="s">
        <v>88</v>
      </c>
      <c r="F50" s="106">
        <v>479.12456300000002</v>
      </c>
      <c r="G50" s="20">
        <f>D50 * I50 / SUMPRODUCT($D$49:$D$52, $I$49:$I$52)</f>
        <v>0.31892471002935258</v>
      </c>
      <c r="H50" t="str">
        <f>ROUND(G50,6) &amp; " BIO-" &amp; C50 &amp; " + "</f>
        <v xml:space="preserve">0.318925 BIO-ctp_c + </v>
      </c>
      <c r="I50" s="21">
        <f>F50 - 174.951262</f>
        <v>304.17330100000004</v>
      </c>
      <c r="AD50" t="str">
        <f t="shared" si="1"/>
        <v/>
      </c>
    </row>
    <row r="51" spans="1:30" x14ac:dyDescent="0.15">
      <c r="A51" s="35" t="s">
        <v>89</v>
      </c>
      <c r="B51" t="str">
        <f>"MET-" &amp; C51 &amp; " --&gt; " &amp; ROUND(I51/1000,6) &amp; " BIO-" &amp; C51 &amp; " + MET-ppi_c"</f>
        <v>MET-gtp_c --&gt; 0.344197 BIO-gtp_c + MET-ppi_c</v>
      </c>
      <c r="C51" s="103" t="s">
        <v>90</v>
      </c>
      <c r="D51" s="104">
        <v>-6.8677261456608046E-2</v>
      </c>
      <c r="E51" s="105" t="s">
        <v>91</v>
      </c>
      <c r="F51" s="106">
        <v>519.14866300000006</v>
      </c>
      <c r="G51" s="20">
        <f>D51 * I51 / SUMPRODUCT($D$49:$D$52, $I$49:$I$52)</f>
        <v>0.31621718115887204</v>
      </c>
      <c r="H51" t="str">
        <f>ROUND(G51,6) &amp; " BIO-" &amp; C51 &amp; " + "</f>
        <v xml:space="preserve">0.316217 BIO-gtp_c + </v>
      </c>
      <c r="I51" s="21">
        <f>F51 - 174.951262</f>
        <v>344.19740100000001</v>
      </c>
      <c r="AD51" t="str">
        <f t="shared" si="1"/>
        <v/>
      </c>
    </row>
    <row r="52" spans="1:30" ht="14" thickBot="1" x14ac:dyDescent="0.2">
      <c r="A52" s="35" t="s">
        <v>92</v>
      </c>
      <c r="B52" t="str">
        <f>"MET-" &amp; C52 &amp; " --&gt; " &amp; ROUND(I52/1000,6) &amp; " BIO-" &amp; C52 &amp; " + MET-ppi_c"</f>
        <v>MET-utp_c --&gt; 0.305158 BIO-utp_c + MET-ppi_c</v>
      </c>
      <c r="C52" s="107" t="s">
        <v>93</v>
      </c>
      <c r="D52" s="108">
        <v>-4.1085488274915517E-2</v>
      </c>
      <c r="E52" s="109" t="s">
        <v>94</v>
      </c>
      <c r="F52" s="110">
        <v>480.10932300000002</v>
      </c>
      <c r="G52" s="20">
        <f>D52 * I52 / SUMPRODUCT($D$49:$D$52, $I$49:$I$52)</f>
        <v>0.16771743292339059</v>
      </c>
      <c r="H52" t="str">
        <f>ROUND(G52,6) &amp; " BIO-" &amp; C52</f>
        <v>0.167717 BIO-utp_c</v>
      </c>
      <c r="I52" s="21">
        <f>F52 - 174.951262</f>
        <v>305.15806099999998</v>
      </c>
      <c r="AD52" t="str">
        <f t="shared" si="1"/>
        <v/>
      </c>
    </row>
    <row r="53" spans="1:30" x14ac:dyDescent="0.15">
      <c r="A53" s="35" t="s">
        <v>95</v>
      </c>
      <c r="B53" t="str">
        <f>_xlfn.CONCAT(H49:H52) &amp; " --&gt; BIO-trna"</f>
        <v>0.197141 BIO-atp_c + 0.318925 BIO-ctp_c + 0.316217 BIO-gtp_c + 0.167717 BIO-utp_c --&gt; BIO-trna</v>
      </c>
      <c r="D53" t="s">
        <v>302</v>
      </c>
      <c r="G53" s="22"/>
      <c r="AD53" t="str">
        <f t="shared" si="1"/>
        <v/>
      </c>
    </row>
    <row r="54" spans="1:30" x14ac:dyDescent="0.15">
      <c r="A54" s="35" t="s">
        <v>96</v>
      </c>
      <c r="B54" t="str">
        <f>_xlfn.CONCAT(H49:H52) &amp; " --&gt; BIO-mrna"</f>
        <v>0.197141 BIO-atp_c + 0.318925 BIO-ctp_c + 0.316217 BIO-gtp_c + 0.167717 BIO-utp_c --&gt; BIO-mrna</v>
      </c>
      <c r="D54" t="s">
        <v>302</v>
      </c>
      <c r="AD54" t="str">
        <f t="shared" si="1"/>
        <v/>
      </c>
    </row>
    <row r="55" spans="1:30" ht="14" thickBot="1" x14ac:dyDescent="0.2">
      <c r="A55" s="36" t="s">
        <v>97</v>
      </c>
      <c r="B55" t="str">
        <f>_xlfn.CONCAT(H49:H52) &amp; " --&gt; BIO-rrna"</f>
        <v>0.197141 BIO-atp_c + 0.318925 BIO-ctp_c + 0.316217 BIO-gtp_c + 0.167717 BIO-utp_c --&gt; BIO-rrna</v>
      </c>
      <c r="D55" t="s">
        <v>302</v>
      </c>
      <c r="AD55" t="str">
        <f t="shared" si="1"/>
        <v/>
      </c>
    </row>
    <row r="56" spans="1:30" x14ac:dyDescent="0.15">
      <c r="D56" t="s">
        <v>302</v>
      </c>
      <c r="AD56" t="str">
        <f t="shared" si="1"/>
        <v/>
      </c>
    </row>
    <row r="57" spans="1:30" x14ac:dyDescent="0.15">
      <c r="A57" s="1" t="s">
        <v>98</v>
      </c>
      <c r="D57" t="s">
        <v>302</v>
      </c>
      <c r="AD57" t="str">
        <f t="shared" si="1"/>
        <v/>
      </c>
    </row>
    <row r="58" spans="1:30" x14ac:dyDescent="0.15">
      <c r="A58" t="s">
        <v>99</v>
      </c>
      <c r="B58" t="str">
        <f>_xlfn.CONCAT(H60:H73) &amp; " --&gt; BIO-lipid"</f>
        <v>0.331734 BIO-epist_c + 0.090846 BIO-tag_c + 0.00099 BIO-hdca_c + 0.000731 BIO-ocdca_c + 0.001333 BIO-ocdcea_c + 0.002763 BIO-linoea_c + 0.000736 BIO-linolen_c + 0.000113 BIO-docosa_c + 0.000752 BIO-ttcosa_c + 0.153426 BIO-pail_c + 0.262549 BIO-pc_c + 0.06002 BIO-pe_c + 0.034003 BIO-ps_c + 0.060003 BIO-ipc_g --&gt; BIO-lipid</v>
      </c>
      <c r="D58" t="s">
        <v>302</v>
      </c>
      <c r="AD58" t="str">
        <f t="shared" si="1"/>
        <v/>
      </c>
    </row>
    <row r="59" spans="1:30" ht="14" thickBot="1" x14ac:dyDescent="0.2">
      <c r="C59" s="1" t="s">
        <v>18</v>
      </c>
      <c r="D59" s="1" t="s">
        <v>65</v>
      </c>
      <c r="E59" s="1" t="s">
        <v>66</v>
      </c>
      <c r="F59" s="1" t="s">
        <v>67</v>
      </c>
      <c r="G59" s="1" t="s">
        <v>68</v>
      </c>
      <c r="AD59" t="str">
        <f t="shared" si="1"/>
        <v/>
      </c>
    </row>
    <row r="60" spans="1:30" x14ac:dyDescent="0.15">
      <c r="A60" s="34" t="s">
        <v>100</v>
      </c>
      <c r="B60" t="str">
        <f t="shared" ref="B60:B73" si="5">"MET-" &amp; C60 &amp; " --&gt; " &amp; ROUND(F60/1000,6) &amp; " BIO-" &amp;C60</f>
        <v>MET-epist_c --&gt; 0.398664 BIO-epist_c</v>
      </c>
      <c r="C60" s="51" t="s">
        <v>203</v>
      </c>
      <c r="D60" s="52">
        <v>-0.11398316271279547</v>
      </c>
      <c r="E60" s="53" t="s">
        <v>208</v>
      </c>
      <c r="F60" s="54">
        <v>398.66424000000001</v>
      </c>
      <c r="G60" s="23">
        <f>F60*D60/SUMPRODUCT($D$60:$D$73,$F$60:$F$73)</f>
        <v>0.3317341013050415</v>
      </c>
      <c r="H60" t="str">
        <f t="shared" ref="H60:H72" si="6">ROUND(G60,6) &amp; " BIO-" &amp; C60 &amp; " + "</f>
        <v xml:space="preserve">0.331734 BIO-epist_c + </v>
      </c>
      <c r="AD60" t="str">
        <f t="shared" si="1"/>
        <v/>
      </c>
    </row>
    <row r="61" spans="1:30" x14ac:dyDescent="0.15">
      <c r="A61" s="35" t="s">
        <v>101</v>
      </c>
      <c r="B61" t="str">
        <f t="shared" si="5"/>
        <v>MET-tag_c --&gt; 0.885513 BIO-tag_c</v>
      </c>
      <c r="C61" s="55" t="s">
        <v>122</v>
      </c>
      <c r="D61" s="56">
        <v>-1.4053007922960792E-2</v>
      </c>
      <c r="E61" s="5" t="s">
        <v>123</v>
      </c>
      <c r="F61" s="57">
        <v>885.51292863263996</v>
      </c>
      <c r="G61" s="23">
        <f t="shared" ref="G61:G73" si="7">F61*D61/SUMPRODUCT($D$60:$D$73,$F$60:$F$73)</f>
        <v>9.0846108982274354E-2</v>
      </c>
      <c r="H61" t="str">
        <f t="shared" si="6"/>
        <v xml:space="preserve">0.090846 BIO-tag_c + </v>
      </c>
      <c r="AD61" t="str">
        <f t="shared" si="1"/>
        <v/>
      </c>
    </row>
    <row r="62" spans="1:30" x14ac:dyDescent="0.15">
      <c r="A62" s="35" t="s">
        <v>102</v>
      </c>
      <c r="B62" t="str">
        <f t="shared" si="5"/>
        <v>MET-hdca_c --&gt; 0.255415 BIO-hdca_c</v>
      </c>
      <c r="C62" s="55" t="s">
        <v>104</v>
      </c>
      <c r="D62" s="56">
        <v>-5.3118280777916013E-4</v>
      </c>
      <c r="E62" s="5" t="s">
        <v>105</v>
      </c>
      <c r="F62" s="57">
        <v>255.41533999999999</v>
      </c>
      <c r="G62" s="23">
        <f t="shared" si="7"/>
        <v>9.9045128697879364E-4</v>
      </c>
      <c r="H62" t="str">
        <f t="shared" si="6"/>
        <v xml:space="preserve">0.00099 BIO-hdca_c + </v>
      </c>
      <c r="AD62" t="str">
        <f t="shared" si="1"/>
        <v/>
      </c>
    </row>
    <row r="63" spans="1:30" x14ac:dyDescent="0.15">
      <c r="A63" s="35" t="s">
        <v>103</v>
      </c>
      <c r="B63" t="str">
        <f t="shared" si="5"/>
        <v>MET-ocdca_c --&gt; 0.283469 BIO-ocdca_c</v>
      </c>
      <c r="C63" s="55" t="s">
        <v>108</v>
      </c>
      <c r="D63" s="56">
        <v>-3.533810311166797E-4</v>
      </c>
      <c r="E63" s="5" t="s">
        <v>109</v>
      </c>
      <c r="F63" s="57">
        <v>283.46850000000001</v>
      </c>
      <c r="G63" s="23">
        <f t="shared" si="7"/>
        <v>7.312909057190255E-4</v>
      </c>
      <c r="H63" t="str">
        <f t="shared" si="6"/>
        <v xml:space="preserve">0.000731 BIO-ocdca_c + </v>
      </c>
      <c r="AD63" t="str">
        <f t="shared" si="1"/>
        <v/>
      </c>
    </row>
    <row r="64" spans="1:30" x14ac:dyDescent="0.15">
      <c r="A64" s="35" t="s">
        <v>106</v>
      </c>
      <c r="B64" t="str">
        <f t="shared" si="5"/>
        <v>MET-ocdcea_c --&gt; 0.281453 BIO-ocdcea_c</v>
      </c>
      <c r="C64" s="55" t="s">
        <v>111</v>
      </c>
      <c r="D64" s="56">
        <v>-6.4897648481805333E-4</v>
      </c>
      <c r="E64" s="5" t="s">
        <v>112</v>
      </c>
      <c r="F64" s="57">
        <v>281.45262000000002</v>
      </c>
      <c r="G64" s="23">
        <f t="shared" si="7"/>
        <v>1.3334489382909257E-3</v>
      </c>
      <c r="H64" t="str">
        <f t="shared" si="6"/>
        <v xml:space="preserve">0.001333 BIO-ocdcea_c + </v>
      </c>
      <c r="AD64" t="str">
        <f t="shared" si="1"/>
        <v/>
      </c>
    </row>
    <row r="65" spans="1:30" x14ac:dyDescent="0.15">
      <c r="A65" s="35" t="s">
        <v>107</v>
      </c>
      <c r="B65" t="str">
        <f t="shared" si="5"/>
        <v>MET-linoea_c --&gt; 0.279437 BIO-linoea_c</v>
      </c>
      <c r="C65" s="55" t="s">
        <v>204</v>
      </c>
      <c r="D65" s="56">
        <v>-1.3546272859472725E-3</v>
      </c>
      <c r="E65" s="5" t="s">
        <v>209</v>
      </c>
      <c r="F65" s="57">
        <v>279.43673999999999</v>
      </c>
      <c r="G65" s="23">
        <f t="shared" si="7"/>
        <v>2.763410851513045E-3</v>
      </c>
      <c r="H65" t="str">
        <f t="shared" si="6"/>
        <v xml:space="preserve">0.002763 BIO-linoea_c + </v>
      </c>
      <c r="AD65" t="str">
        <f t="shared" si="1"/>
        <v/>
      </c>
    </row>
    <row r="66" spans="1:30" x14ac:dyDescent="0.15">
      <c r="A66" s="35" t="s">
        <v>110</v>
      </c>
      <c r="B66" t="str">
        <f t="shared" si="5"/>
        <v>MET-linolen_c --&gt; 0.277421 BIO-linolen_c</v>
      </c>
      <c r="C66" s="55" t="s">
        <v>205</v>
      </c>
      <c r="D66" s="56">
        <v>-3.6338238105394424E-4</v>
      </c>
      <c r="E66" s="5" t="s">
        <v>210</v>
      </c>
      <c r="F66" s="57">
        <v>277.42086</v>
      </c>
      <c r="G66" s="23">
        <f t="shared" si="7"/>
        <v>7.3594458368150047E-4</v>
      </c>
      <c r="H66" t="str">
        <f t="shared" si="6"/>
        <v xml:space="preserve">0.000736 BIO-linolen_c + </v>
      </c>
      <c r="AD66" t="str">
        <f t="shared" si="1"/>
        <v/>
      </c>
    </row>
    <row r="67" spans="1:30" x14ac:dyDescent="0.15">
      <c r="A67" s="35" t="s">
        <v>113</v>
      </c>
      <c r="B67" t="str">
        <f t="shared" si="5"/>
        <v>MET-docosa_c --&gt; 0.339575 BIO-docosa_c</v>
      </c>
      <c r="C67" s="55" t="s">
        <v>206</v>
      </c>
      <c r="D67" s="56">
        <v>-4.5561705269760602E-5</v>
      </c>
      <c r="E67" s="5" t="s">
        <v>211</v>
      </c>
      <c r="F67" s="57">
        <v>339.57481999999999</v>
      </c>
      <c r="G67" s="23">
        <f t="shared" si="7"/>
        <v>1.1294774974070007E-4</v>
      </c>
      <c r="H67" t="str">
        <f t="shared" si="6"/>
        <v xml:space="preserve">0.000113 BIO-docosa_c + </v>
      </c>
      <c r="AD67" t="str">
        <f t="shared" si="1"/>
        <v/>
      </c>
    </row>
    <row r="68" spans="1:30" x14ac:dyDescent="0.15">
      <c r="A68" s="35" t="s">
        <v>115</v>
      </c>
      <c r="B68" t="str">
        <f t="shared" si="5"/>
        <v>MET-ttcosa_c --&gt; 0.367628 BIO-ttcosa_c</v>
      </c>
      <c r="C68" s="55" t="s">
        <v>207</v>
      </c>
      <c r="D68" s="56">
        <v>-2.8003779824340661E-4</v>
      </c>
      <c r="E68" s="5" t="s">
        <v>212</v>
      </c>
      <c r="F68" s="57">
        <v>367.62797999999998</v>
      </c>
      <c r="G68" s="23">
        <f t="shared" si="7"/>
        <v>7.5156638218182401E-4</v>
      </c>
      <c r="H68" t="str">
        <f t="shared" si="6"/>
        <v xml:space="preserve">0.000752 BIO-ttcosa_c + </v>
      </c>
      <c r="AD68" t="str">
        <f>IF(AND(U68=Z68,W68=AB68),"",1)</f>
        <v/>
      </c>
    </row>
    <row r="69" spans="1:30" x14ac:dyDescent="0.15">
      <c r="A69" s="35" t="s">
        <v>117</v>
      </c>
      <c r="B69" t="str">
        <f t="shared" si="5"/>
        <v>MET-pail_c --&gt; 0.862149 BIO-pail_c</v>
      </c>
      <c r="C69" s="55" t="s">
        <v>114</v>
      </c>
      <c r="D69" s="56">
        <v>-2.4376623580426058E-2</v>
      </c>
      <c r="E69" s="5" t="s">
        <v>213</v>
      </c>
      <c r="F69" s="57">
        <v>862.14885442176001</v>
      </c>
      <c r="G69" s="23">
        <f t="shared" si="7"/>
        <v>0.15342563871067214</v>
      </c>
      <c r="H69" t="str">
        <f t="shared" si="6"/>
        <v xml:space="preserve">0.153426 BIO-pail_c + </v>
      </c>
      <c r="AD69" t="str">
        <f>IF(AND(U69=Z69,W69=AB69),"",1)</f>
        <v/>
      </c>
    </row>
    <row r="70" spans="1:30" x14ac:dyDescent="0.15">
      <c r="A70" s="35" t="s">
        <v>119</v>
      </c>
      <c r="B70" t="str">
        <f t="shared" si="5"/>
        <v>MET-pc_c --&gt; 0.786166 BIO-pc_c</v>
      </c>
      <c r="C70" s="55" t="s">
        <v>116</v>
      </c>
      <c r="D70" s="56">
        <v>-4.5746174613047925E-2</v>
      </c>
      <c r="E70" s="5" t="s">
        <v>214</v>
      </c>
      <c r="F70" s="57">
        <v>786.16573442176002</v>
      </c>
      <c r="G70" s="23">
        <f t="shared" si="7"/>
        <v>0.26254939846199388</v>
      </c>
      <c r="H70" t="str">
        <f t="shared" si="6"/>
        <v xml:space="preserve">0.262549 BIO-pc_c + </v>
      </c>
      <c r="Q70" s="21"/>
      <c r="AD70" t="str">
        <f>IF(AND(U70=Z70,W70=AB70),"",1)</f>
        <v/>
      </c>
    </row>
    <row r="71" spans="1:30" x14ac:dyDescent="0.15">
      <c r="A71" s="35" t="s">
        <v>121</v>
      </c>
      <c r="B71" t="str">
        <f t="shared" si="5"/>
        <v>MET-pe_c --&gt; 0.744086 BIO-pe_c</v>
      </c>
      <c r="C71" s="55" t="s">
        <v>118</v>
      </c>
      <c r="D71" s="56">
        <v>-1.1049269158469014E-2</v>
      </c>
      <c r="E71" s="5" t="s">
        <v>215</v>
      </c>
      <c r="F71" s="57">
        <v>744.08599442176001</v>
      </c>
      <c r="G71" s="23">
        <f t="shared" si="7"/>
        <v>6.0020390479534891E-2</v>
      </c>
      <c r="H71" t="str">
        <f t="shared" si="6"/>
        <v xml:space="preserve">0.06002 BIO-pe_c + </v>
      </c>
      <c r="AD71" t="str">
        <f>IF(AND(U71=Z71,W71=AB71),"",1)</f>
        <v/>
      </c>
    </row>
    <row r="72" spans="1:30" x14ac:dyDescent="0.15">
      <c r="A72" s="35" t="s">
        <v>124</v>
      </c>
      <c r="B72" t="str">
        <f t="shared" si="5"/>
        <v>MET-ps_c --&gt; 0.786079 BIO-ps_c</v>
      </c>
      <c r="C72" s="55" t="s">
        <v>120</v>
      </c>
      <c r="D72" s="56">
        <v>-5.9252442072771578E-3</v>
      </c>
      <c r="E72" s="5" t="s">
        <v>216</v>
      </c>
      <c r="F72" s="57">
        <v>786.07881442175994</v>
      </c>
      <c r="G72" s="23">
        <f t="shared" si="7"/>
        <v>3.4002784226653801E-2</v>
      </c>
      <c r="H72" t="str">
        <f t="shared" si="6"/>
        <v xml:space="preserve">0.034003 BIO-ps_c + </v>
      </c>
    </row>
    <row r="73" spans="1:30" ht="14" thickBot="1" x14ac:dyDescent="0.2">
      <c r="A73" s="36" t="s">
        <v>217</v>
      </c>
      <c r="B73" t="str">
        <f t="shared" si="5"/>
        <v>MET-ipc_g --&gt; 0.915263 BIO-ipc_g</v>
      </c>
      <c r="C73" s="58" t="s">
        <v>125</v>
      </c>
      <c r="D73" s="59">
        <v>-8.980100982559398E-3</v>
      </c>
      <c r="E73" s="60" t="s">
        <v>126</v>
      </c>
      <c r="F73" s="61">
        <v>915.26344200000005</v>
      </c>
      <c r="G73" s="23">
        <f t="shared" si="7"/>
        <v>6.0002517135723688E-2</v>
      </c>
      <c r="H73" t="str">
        <f>ROUND(G73,6) &amp; " BIO-" &amp; C73</f>
        <v>0.060003 BIO-ipc_g</v>
      </c>
    </row>
    <row r="74" spans="1:30" x14ac:dyDescent="0.15">
      <c r="D74" t="s">
        <v>302</v>
      </c>
    </row>
    <row r="75" spans="1:30" x14ac:dyDescent="0.15">
      <c r="A75" s="1" t="s">
        <v>127</v>
      </c>
      <c r="D75" t="s">
        <v>302</v>
      </c>
    </row>
    <row r="76" spans="1:30" x14ac:dyDescent="0.15">
      <c r="A76" t="s">
        <v>128</v>
      </c>
      <c r="B76" t="str">
        <f>_xlfn.CONCAT(H78:H81) &amp; " --&gt; BIO-dna"</f>
        <v>0.197916 BIO-datp_c + 0.285139 BIO-dctp_c + 0.324742 BIO-dgtp_c + 0.192202 BIO-dttp_c --&gt; BIO-dna</v>
      </c>
      <c r="D76" t="s">
        <v>302</v>
      </c>
    </row>
    <row r="77" spans="1:30" ht="14" thickBot="1" x14ac:dyDescent="0.2">
      <c r="C77" s="1" t="s">
        <v>18</v>
      </c>
      <c r="D77" s="1" t="s">
        <v>65</v>
      </c>
      <c r="E77" s="1" t="s">
        <v>66</v>
      </c>
      <c r="F77" s="1" t="s">
        <v>67</v>
      </c>
      <c r="G77" s="1" t="s">
        <v>68</v>
      </c>
      <c r="I77" s="1" t="s">
        <v>82</v>
      </c>
    </row>
    <row r="78" spans="1:30" x14ac:dyDescent="0.15">
      <c r="A78" t="s">
        <v>129</v>
      </c>
      <c r="B78" t="str">
        <f>"MET-" &amp; C78 &amp; " --&gt; " &amp; ROUND(I78/1000,6) &amp; " BIO-" &amp; C78 &amp; " + MET-ppi_c"</f>
        <v>MET-datp_c --&gt; 0.312199 BIO-datp_c + MET-ppi_c</v>
      </c>
      <c r="C78" s="7" t="s">
        <v>130</v>
      </c>
      <c r="D78" s="129">
        <v>-7.8843975338768642E-3</v>
      </c>
      <c r="E78" s="130" t="s">
        <v>131</v>
      </c>
      <c r="F78" s="24">
        <v>487.14986299999998</v>
      </c>
      <c r="G78" s="25">
        <f>D78 * I78 / SUMPRODUCT($D$78:$D$81, $I$78:$I$81)</f>
        <v>0.19791624400059207</v>
      </c>
      <c r="H78" t="str">
        <f>ROUND(G78,6) &amp; " BIO-" &amp; C78 &amp; " + "</f>
        <v xml:space="preserve">0.197916 BIO-datp_c + </v>
      </c>
      <c r="I78" s="21">
        <f>F78 - 174.951262</f>
        <v>312.19860099999994</v>
      </c>
    </row>
    <row r="79" spans="1:30" x14ac:dyDescent="0.15">
      <c r="A79" t="s">
        <v>132</v>
      </c>
      <c r="B79" t="str">
        <f>"MET-" &amp; C79 &amp; " --&gt; " &amp; ROUND(I79/1000,6) &amp; " BIO-" &amp; C79 &amp; " + MET-ppi_c"</f>
        <v>MET-dctp_c --&gt; 0.288174 BIO-dctp_c + MET-ppi_c</v>
      </c>
      <c r="C79" s="7" t="s">
        <v>133</v>
      </c>
      <c r="D79" s="131">
        <v>-1.2306105467251922E-2</v>
      </c>
      <c r="E79" s="132" t="s">
        <v>134</v>
      </c>
      <c r="F79" s="24">
        <v>463.12516299999999</v>
      </c>
      <c r="G79" s="25">
        <f>D79 * I79 / SUMPRODUCT($D$78:$D$81, $I$78:$I$81)</f>
        <v>0.28513941404387094</v>
      </c>
      <c r="H79" t="str">
        <f>ROUND(G79,6) &amp; " BIO-" &amp; C79 &amp; " + "</f>
        <v xml:space="preserve">0.285139 BIO-dctp_c + </v>
      </c>
      <c r="I79" s="21">
        <f>F79 - 174.951262</f>
        <v>288.173901</v>
      </c>
    </row>
    <row r="80" spans="1:30" x14ac:dyDescent="0.15">
      <c r="A80" t="s">
        <v>135</v>
      </c>
      <c r="B80" t="str">
        <f>"MET-" &amp; C80 &amp; " --&gt; " &amp; ROUND(I80/1000,6) &amp; " BIO-" &amp; C80 &amp; " + MET-ppi_c"</f>
        <v>MET-dgtp_c --&gt; 0.328198 BIO-dgtp_c + MET-ppi_c</v>
      </c>
      <c r="C80" s="7" t="s">
        <v>136</v>
      </c>
      <c r="D80" s="131">
        <v>-1.2306105467251922E-2</v>
      </c>
      <c r="E80" s="132" t="s">
        <v>85</v>
      </c>
      <c r="F80" s="24">
        <v>503.14926300000002</v>
      </c>
      <c r="G80" s="25">
        <f>D80 * I80 / SUMPRODUCT($D$78:$D$81, $I$78:$I$81)</f>
        <v>0.32474205807940171</v>
      </c>
      <c r="H80" t="str">
        <f>ROUND(G80,6) &amp; " BIO-" &amp; C80 &amp; " + "</f>
        <v xml:space="preserve">0.324742 BIO-dgtp_c + </v>
      </c>
      <c r="I80" s="21">
        <f>F80 - 174.951262</f>
        <v>328.19800099999998</v>
      </c>
    </row>
    <row r="81" spans="1:9" ht="14" thickBot="1" x14ac:dyDescent="0.2">
      <c r="A81" t="s">
        <v>137</v>
      </c>
      <c r="B81" t="str">
        <f>"MET-" &amp; C81 &amp; " --&gt; " &amp; ROUND(I81/1000,6) &amp; " BIO-" &amp; C81 &amp; " + MET-ppi_c"</f>
        <v>MET-dttp_c --&gt; 0.303185 BIO-dttp_c + MET-ppi_c</v>
      </c>
      <c r="C81" s="7" t="s">
        <v>138</v>
      </c>
      <c r="D81" s="133">
        <v>-7.8843975338768642E-3</v>
      </c>
      <c r="E81" s="134" t="s">
        <v>139</v>
      </c>
      <c r="F81" s="24">
        <v>478.136503</v>
      </c>
      <c r="G81" s="25">
        <f>D81 * I81 / SUMPRODUCT($D$78:$D$81, $I$78:$I$81)</f>
        <v>0.19220228387613539</v>
      </c>
      <c r="H81" t="str">
        <f>ROUND(G81,6) &amp; " BIO-" &amp; C81</f>
        <v>0.192202 BIO-dttp_c</v>
      </c>
      <c r="I81" s="21">
        <f>F81 - 174.951262</f>
        <v>303.18524100000002</v>
      </c>
    </row>
    <row r="82" spans="1:9" x14ac:dyDescent="0.15">
      <c r="D82" t="s">
        <v>302</v>
      </c>
      <c r="G82" s="22"/>
    </row>
    <row r="83" spans="1:9" x14ac:dyDescent="0.15">
      <c r="A83" s="1" t="s">
        <v>140</v>
      </c>
      <c r="D83" t="s">
        <v>302</v>
      </c>
    </row>
    <row r="84" spans="1:9" x14ac:dyDescent="0.15">
      <c r="A84" t="s">
        <v>141</v>
      </c>
      <c r="B84" t="str">
        <f>_xlfn.CONCAT(H86:H92) &amp; " --&gt; BIO-metal"</f>
        <v>0.002033 BIO-ca2_c + 0.000286 BIO-cu2_c + 0.001463 BIO-fe2_c + 0.93097 BIO-k_c + 0.060981 BIO-mg2_c + 0.000204 BIO-mn2_c + 0.004064 BIO-zn2_c --&gt; BIO-metal</v>
      </c>
      <c r="D84" t="s">
        <v>302</v>
      </c>
    </row>
    <row r="85" spans="1:9" ht="14" thickBot="1" x14ac:dyDescent="0.2">
      <c r="C85" s="1" t="s">
        <v>18</v>
      </c>
      <c r="D85" s="1" t="s">
        <v>65</v>
      </c>
      <c r="E85" s="1" t="s">
        <v>66</v>
      </c>
      <c r="F85" s="1" t="s">
        <v>67</v>
      </c>
      <c r="G85" s="1" t="s">
        <v>68</v>
      </c>
    </row>
    <row r="86" spans="1:9" x14ac:dyDescent="0.15">
      <c r="A86" t="s">
        <v>142</v>
      </c>
      <c r="B86" t="str">
        <f t="shared" ref="B86:B92" si="8">"MET-" &amp; C86 &amp; " --&gt; " &amp; ROUND(F86/1000,6) &amp; " BIO-" &amp;C86</f>
        <v>MET-ca2_c --&gt; 0.040078 BIO-ca2_c</v>
      </c>
      <c r="C86" s="65" t="s">
        <v>143</v>
      </c>
      <c r="D86" s="66">
        <v>-1.429081779924686E-3</v>
      </c>
      <c r="E86" s="67" t="s">
        <v>144</v>
      </c>
      <c r="F86" s="68">
        <v>40.078000000000003</v>
      </c>
      <c r="G86" s="26">
        <f>F86*D86/SUMPRODUCT($D$86:$D$92,$F$86:$F$92)</f>
        <v>2.033009854095665E-3</v>
      </c>
      <c r="H86" t="str">
        <f t="shared" ref="H86:H91" si="9">ROUND(G86,6) &amp; " BIO-" &amp; C86 &amp; " + "</f>
        <v xml:space="preserve">0.002033 BIO-ca2_c + </v>
      </c>
    </row>
    <row r="87" spans="1:9" x14ac:dyDescent="0.15">
      <c r="A87" t="s">
        <v>145</v>
      </c>
      <c r="B87" t="str">
        <f t="shared" si="8"/>
        <v>MET-cu2_c --&gt; 0.063546 BIO-cu2_c</v>
      </c>
      <c r="C87" s="69" t="s">
        <v>146</v>
      </c>
      <c r="D87" s="70">
        <v>-1.2668376587201727E-4</v>
      </c>
      <c r="E87" s="9" t="s">
        <v>147</v>
      </c>
      <c r="F87" s="71">
        <v>63.545999999999999</v>
      </c>
      <c r="G87" s="26">
        <f t="shared" ref="G87:G92" si="10">F87*D87/SUMPRODUCT($D$86:$D$92,$F$86:$F$92)</f>
        <v>2.8574954261960167E-4</v>
      </c>
      <c r="H87" t="str">
        <f t="shared" si="9"/>
        <v xml:space="preserve">0.000286 BIO-cu2_c + </v>
      </c>
    </row>
    <row r="88" spans="1:9" x14ac:dyDescent="0.15">
      <c r="A88" t="s">
        <v>148</v>
      </c>
      <c r="B88" t="str">
        <f t="shared" si="8"/>
        <v>MET-fe2_c --&gt; 0.055845 BIO-fe2_c</v>
      </c>
      <c r="C88" s="69" t="s">
        <v>149</v>
      </c>
      <c r="D88" s="70">
        <v>-7.3787737314929354E-4</v>
      </c>
      <c r="E88" s="9" t="s">
        <v>150</v>
      </c>
      <c r="F88" s="71">
        <v>55.844999999999999</v>
      </c>
      <c r="G88" s="26">
        <f t="shared" si="10"/>
        <v>1.4626649309218268E-3</v>
      </c>
      <c r="H88" t="str">
        <f t="shared" si="9"/>
        <v xml:space="preserve">0.001463 BIO-fe2_c + </v>
      </c>
    </row>
    <row r="89" spans="1:9" x14ac:dyDescent="0.15">
      <c r="A89" t="s">
        <v>151</v>
      </c>
      <c r="B89" t="str">
        <f t="shared" si="8"/>
        <v>MET-k_c --&gt; 0.039098 BIO-k_c</v>
      </c>
      <c r="C89" s="69" t="s">
        <v>152</v>
      </c>
      <c r="D89" s="70">
        <v>-0.67081276551441427</v>
      </c>
      <c r="E89" s="9" t="s">
        <v>153</v>
      </c>
      <c r="F89" s="71">
        <v>39.098300000000002</v>
      </c>
      <c r="G89" s="26">
        <f t="shared" si="10"/>
        <v>0.9309697158490835</v>
      </c>
      <c r="H89" t="str">
        <f t="shared" si="9"/>
        <v xml:space="preserve">0.93097 BIO-k_c + </v>
      </c>
    </row>
    <row r="90" spans="1:9" x14ac:dyDescent="0.15">
      <c r="A90" t="s">
        <v>154</v>
      </c>
      <c r="B90" t="str">
        <f t="shared" si="8"/>
        <v>MET-mg2_c --&gt; 0.024305 BIO-mg2_c</v>
      </c>
      <c r="C90" s="69" t="s">
        <v>155</v>
      </c>
      <c r="D90" s="70">
        <v>-7.0683985051064935E-2</v>
      </c>
      <c r="E90" s="9" t="s">
        <v>156</v>
      </c>
      <c r="F90" s="71">
        <v>24.305</v>
      </c>
      <c r="G90" s="26">
        <f t="shared" si="10"/>
        <v>6.0980785224894217E-2</v>
      </c>
      <c r="H90" t="str">
        <f t="shared" si="9"/>
        <v xml:space="preserve">0.060981 BIO-mg2_c + </v>
      </c>
    </row>
    <row r="91" spans="1:9" x14ac:dyDescent="0.15">
      <c r="A91" t="s">
        <v>157</v>
      </c>
      <c r="B91" t="str">
        <f t="shared" si="8"/>
        <v>MET-mn2_c --&gt; 0.054938 BIO-mn2_c</v>
      </c>
      <c r="C91" s="69" t="s">
        <v>158</v>
      </c>
      <c r="D91" s="70">
        <v>-1.0445854378920722E-4</v>
      </c>
      <c r="E91" s="9" t="s">
        <v>159</v>
      </c>
      <c r="F91" s="71">
        <v>54.938043999999998</v>
      </c>
      <c r="G91" s="26">
        <f t="shared" si="10"/>
        <v>2.0370116866150033E-4</v>
      </c>
      <c r="H91" t="str">
        <f t="shared" si="9"/>
        <v xml:space="preserve">0.000204 BIO-mn2_c + </v>
      </c>
    </row>
    <row r="92" spans="1:9" ht="14" thickBot="1" x14ac:dyDescent="0.2">
      <c r="A92" t="s">
        <v>160</v>
      </c>
      <c r="B92" t="str">
        <f t="shared" si="8"/>
        <v>MET-zn2_c --&gt; 0.06538 BIO-zn2_c</v>
      </c>
      <c r="C92" s="72" t="s">
        <v>161</v>
      </c>
      <c r="D92" s="73">
        <v>-1.7513475001254314E-3</v>
      </c>
      <c r="E92" s="74" t="s">
        <v>162</v>
      </c>
      <c r="F92" s="75">
        <v>65.38</v>
      </c>
      <c r="G92" s="26">
        <f t="shared" si="10"/>
        <v>4.0643734297237935E-3</v>
      </c>
      <c r="H92" t="str">
        <f>ROUND(G92,6) &amp; " BIO-" &amp; C92</f>
        <v>0.004064 BIO-zn2_c</v>
      </c>
    </row>
    <row r="93" spans="1:9" x14ac:dyDescent="0.15">
      <c r="D93" t="s">
        <v>302</v>
      </c>
    </row>
    <row r="94" spans="1:9" x14ac:dyDescent="0.15">
      <c r="A94" s="1" t="s">
        <v>163</v>
      </c>
      <c r="D94" t="s">
        <v>302</v>
      </c>
    </row>
    <row r="95" spans="1:9" x14ac:dyDescent="0.15">
      <c r="A95" t="s">
        <v>164</v>
      </c>
      <c r="B95" t="str">
        <f>_xlfn.CONCAT(H97:H108) &amp; " --&gt; BIO-cofactor"</f>
        <v>0.069492 BIO-thmpp_c + 0.061768 BIO-ribflv_c + 0.128772 BIO-fad_c + 0.109007 BIO-nad_c + 0.121836 BIO-nadp_c + 0.125641 BIO-coa_c + 0.072968 BIO-thf_c + 0.065732 BIO-amet_c + 0.14001 BIO-hemeA_c + 0.040038 BIO-btn_c + 0.040338 BIO-pydx5p_c + 0.024399 BIO-spmd_c --&gt; BIO-cofactor</v>
      </c>
      <c r="D95" t="s">
        <v>302</v>
      </c>
    </row>
    <row r="96" spans="1:9" ht="14" thickBot="1" x14ac:dyDescent="0.2">
      <c r="C96" s="1" t="s">
        <v>18</v>
      </c>
      <c r="D96" s="1" t="s">
        <v>65</v>
      </c>
      <c r="E96" s="1" t="s">
        <v>66</v>
      </c>
      <c r="F96" s="1" t="s">
        <v>67</v>
      </c>
      <c r="G96" s="1" t="s">
        <v>68</v>
      </c>
    </row>
    <row r="97" spans="1:8" x14ac:dyDescent="0.15">
      <c r="A97" t="s">
        <v>165</v>
      </c>
      <c r="B97" t="str">
        <f t="shared" ref="B97:B108" si="11">"MET-" &amp; C97 &amp; " --&gt; " &amp; ROUND(F97/1000,6) &amp; " BIO-" &amp;C97</f>
        <v>MET-thmpp_c --&gt; 0.422291 BIO-thmpp_c</v>
      </c>
      <c r="C97" s="76" t="s">
        <v>186</v>
      </c>
      <c r="D97" s="77">
        <v>-1.1112611041405024E-4</v>
      </c>
      <c r="E97" s="78" t="s">
        <v>222</v>
      </c>
      <c r="F97" s="79">
        <v>422.29056200000002</v>
      </c>
      <c r="G97" s="27">
        <f>F97*D97/SUMPRODUCT($D$97:$D$108,$F$97:$F$108)</f>
        <v>6.9491671029907554E-2</v>
      </c>
      <c r="H97" t="str">
        <f t="shared" ref="H97:H107" si="12">ROUND(G97,6) &amp; " BIO-" &amp; C97 &amp; " + "</f>
        <v xml:space="preserve">0.069492 BIO-thmpp_c + </v>
      </c>
    </row>
    <row r="98" spans="1:8" x14ac:dyDescent="0.15">
      <c r="A98" t="s">
        <v>167</v>
      </c>
      <c r="B98" t="str">
        <f t="shared" si="11"/>
        <v>MET-ribflv_c --&gt; 0.375356 BIO-ribflv_c</v>
      </c>
      <c r="C98" s="80" t="s">
        <v>181</v>
      </c>
      <c r="D98" s="81">
        <v>-1.1112611041405024E-4</v>
      </c>
      <c r="E98" s="11" t="s">
        <v>182</v>
      </c>
      <c r="F98" s="82">
        <v>375.35595999999998</v>
      </c>
      <c r="G98" s="27">
        <f t="shared" ref="G98:G108" si="13">F98*D98/SUMPRODUCT($D$97:$D$108,$F$97:$F$108)</f>
        <v>6.1768164478739007E-2</v>
      </c>
      <c r="H98" t="str">
        <f t="shared" si="12"/>
        <v xml:space="preserve">0.061768 BIO-ribflv_c + </v>
      </c>
    </row>
    <row r="99" spans="1:8" x14ac:dyDescent="0.15">
      <c r="A99" t="s">
        <v>170</v>
      </c>
      <c r="B99" t="str">
        <f t="shared" si="11"/>
        <v>MET-fad_c --&gt; 0.782526 BIO-fad_c</v>
      </c>
      <c r="C99" s="80" t="s">
        <v>168</v>
      </c>
      <c r="D99" s="81">
        <v>-1.1112611041405024E-4</v>
      </c>
      <c r="E99" s="11" t="s">
        <v>169</v>
      </c>
      <c r="F99" s="82">
        <v>782.52592200000004</v>
      </c>
      <c r="G99" s="27">
        <f t="shared" si="13"/>
        <v>0.1287716061814308</v>
      </c>
      <c r="H99" t="str">
        <f t="shared" si="12"/>
        <v xml:space="preserve">0.128772 BIO-fad_c + </v>
      </c>
    </row>
    <row r="100" spans="1:8" x14ac:dyDescent="0.15">
      <c r="A100" t="s">
        <v>172</v>
      </c>
      <c r="B100" t="str">
        <f t="shared" si="11"/>
        <v>MET-nad_c --&gt; 0.662417 BIO-nad_c</v>
      </c>
      <c r="C100" s="80" t="s">
        <v>173</v>
      </c>
      <c r="D100" s="81">
        <v>-1.1112611041405024E-4</v>
      </c>
      <c r="E100" s="11" t="s">
        <v>174</v>
      </c>
      <c r="F100" s="82">
        <v>662.41716199999996</v>
      </c>
      <c r="G100" s="27">
        <f t="shared" si="13"/>
        <v>0.10900664056581252</v>
      </c>
      <c r="H100" t="str">
        <f t="shared" si="12"/>
        <v xml:space="preserve">0.109007 BIO-nad_c + </v>
      </c>
    </row>
    <row r="101" spans="1:8" x14ac:dyDescent="0.15">
      <c r="A101" t="s">
        <v>175</v>
      </c>
      <c r="B101" t="str">
        <f t="shared" si="11"/>
        <v>MET-nadp_c --&gt; 0.740381 BIO-nadp_c</v>
      </c>
      <c r="C101" s="80" t="s">
        <v>177</v>
      </c>
      <c r="D101" s="81">
        <v>-1.1112611041405024E-4</v>
      </c>
      <c r="E101" s="11" t="s">
        <v>178</v>
      </c>
      <c r="F101" s="82">
        <v>740.38118299999996</v>
      </c>
      <c r="G101" s="27">
        <f t="shared" si="13"/>
        <v>0.12183631422425627</v>
      </c>
      <c r="H101" t="str">
        <f t="shared" si="12"/>
        <v xml:space="preserve">0.121836 BIO-nadp_c + </v>
      </c>
    </row>
    <row r="102" spans="1:8" x14ac:dyDescent="0.15">
      <c r="A102" t="s">
        <v>176</v>
      </c>
      <c r="B102" t="str">
        <f t="shared" si="11"/>
        <v>MET-coa_c --&gt; 0.763502 BIO-coa_c</v>
      </c>
      <c r="C102" s="80" t="s">
        <v>166</v>
      </c>
      <c r="D102" s="81">
        <v>-1.1112611041405024E-4</v>
      </c>
      <c r="E102" s="11" t="s">
        <v>223</v>
      </c>
      <c r="F102" s="82">
        <v>763.50236299999995</v>
      </c>
      <c r="G102" s="27">
        <f t="shared" si="13"/>
        <v>0.1256411102082671</v>
      </c>
      <c r="H102" t="str">
        <f t="shared" si="12"/>
        <v xml:space="preserve">0.125641 BIO-coa_c + </v>
      </c>
    </row>
    <row r="103" spans="1:8" x14ac:dyDescent="0.15">
      <c r="A103" t="s">
        <v>179</v>
      </c>
      <c r="B103" t="str">
        <f t="shared" si="11"/>
        <v>MET-thf_c --&gt; 0.443413 BIO-thf_c</v>
      </c>
      <c r="C103" s="80" t="s">
        <v>184</v>
      </c>
      <c r="D103" s="81">
        <v>-1.1112611041405024E-4</v>
      </c>
      <c r="E103" s="11" t="s">
        <v>224</v>
      </c>
      <c r="F103" s="82">
        <v>443.41334000000001</v>
      </c>
      <c r="G103" s="27">
        <f t="shared" si="13"/>
        <v>7.2967612175885044E-2</v>
      </c>
      <c r="H103" t="str">
        <f t="shared" si="12"/>
        <v xml:space="preserve">0.072968 BIO-thf_c + </v>
      </c>
    </row>
    <row r="104" spans="1:8" x14ac:dyDescent="0.15">
      <c r="A104" t="s">
        <v>180</v>
      </c>
      <c r="B104" t="str">
        <f t="shared" si="11"/>
        <v>MET-amet_c --&gt; 0.399445 BIO-amet_c</v>
      </c>
      <c r="C104" s="80" t="s">
        <v>218</v>
      </c>
      <c r="D104" s="81">
        <v>-1.1112611041405024E-4</v>
      </c>
      <c r="E104" s="11" t="s">
        <v>225</v>
      </c>
      <c r="F104" s="82">
        <v>399.44531999999998</v>
      </c>
      <c r="G104" s="27">
        <f t="shared" si="13"/>
        <v>6.5732283100080613E-2</v>
      </c>
      <c r="H104" t="str">
        <f t="shared" si="12"/>
        <v xml:space="preserve">0.065732 BIO-amet_c + </v>
      </c>
    </row>
    <row r="105" spans="1:8" x14ac:dyDescent="0.15">
      <c r="A105" t="s">
        <v>183</v>
      </c>
      <c r="B105" t="str">
        <f t="shared" si="11"/>
        <v>MET-hemeA_c --&gt; 0.850821 BIO-hemeA_c</v>
      </c>
      <c r="C105" s="80" t="s">
        <v>171</v>
      </c>
      <c r="D105" s="81">
        <v>-1.1112611041405024E-4</v>
      </c>
      <c r="E105" s="11" t="s">
        <v>226</v>
      </c>
      <c r="F105" s="82">
        <v>850.82126000000005</v>
      </c>
      <c r="G105" s="27">
        <f t="shared" si="13"/>
        <v>0.14001021198567878</v>
      </c>
      <c r="H105" t="str">
        <f t="shared" si="12"/>
        <v xml:space="preserve">0.14001 BIO-hemeA_c + </v>
      </c>
    </row>
    <row r="106" spans="1:8" x14ac:dyDescent="0.15">
      <c r="A106" t="s">
        <v>185</v>
      </c>
      <c r="B106" t="str">
        <f t="shared" si="11"/>
        <v>MET-btn_c --&gt; 0.243303 BIO-btn_c</v>
      </c>
      <c r="C106" s="80" t="s">
        <v>219</v>
      </c>
      <c r="D106" s="81">
        <v>-1.1112611041405024E-4</v>
      </c>
      <c r="E106" s="11" t="s">
        <v>227</v>
      </c>
      <c r="F106" s="82">
        <v>243.30269999999999</v>
      </c>
      <c r="G106" s="27">
        <f t="shared" si="13"/>
        <v>4.0037625063210118E-2</v>
      </c>
      <c r="H106" t="str">
        <f t="shared" si="12"/>
        <v xml:space="preserve">0.040038 BIO-btn_c + </v>
      </c>
    </row>
    <row r="107" spans="1:8" x14ac:dyDescent="0.15">
      <c r="A107" t="s">
        <v>221</v>
      </c>
      <c r="B107" t="str">
        <f t="shared" si="11"/>
        <v>MET-pydx5p_c --&gt; 0.245126 BIO-pydx5p_c</v>
      </c>
      <c r="C107" s="80" t="s">
        <v>230</v>
      </c>
      <c r="D107" s="81">
        <v>-1.1112611041405024E-4</v>
      </c>
      <c r="E107" s="11" t="s">
        <v>231</v>
      </c>
      <c r="F107" s="82">
        <v>245.126</v>
      </c>
      <c r="G107" s="27">
        <f t="shared" si="13"/>
        <v>4.0337665308459149E-2</v>
      </c>
      <c r="H107" t="str">
        <f t="shared" si="12"/>
        <v xml:space="preserve">0.040338 BIO-pydx5p_c + </v>
      </c>
    </row>
    <row r="108" spans="1:8" ht="14" thickBot="1" x14ac:dyDescent="0.2">
      <c r="A108" t="s">
        <v>229</v>
      </c>
      <c r="B108" t="str">
        <f t="shared" si="11"/>
        <v>MET-spmd_c --&gt; 0.14827 BIO-spmd_c</v>
      </c>
      <c r="C108" s="83" t="s">
        <v>220</v>
      </c>
      <c r="D108" s="84">
        <v>-1.1112611041405024E-4</v>
      </c>
      <c r="E108" s="85" t="s">
        <v>228</v>
      </c>
      <c r="F108" s="86">
        <v>148.26967999999999</v>
      </c>
      <c r="G108" s="27">
        <f t="shared" si="13"/>
        <v>2.4399095678272961E-2</v>
      </c>
      <c r="H108" t="str">
        <f>ROUND(G108,6) &amp; " BIO-" &amp; C108</f>
        <v>0.024399 BIO-spmd_c</v>
      </c>
    </row>
    <row r="109" spans="1:8" x14ac:dyDescent="0.15">
      <c r="D109" t="s">
        <v>302</v>
      </c>
    </row>
    <row r="110" spans="1:8" x14ac:dyDescent="0.15">
      <c r="A110" s="1" t="s">
        <v>187</v>
      </c>
      <c r="D110" t="s">
        <v>302</v>
      </c>
    </row>
    <row r="111" spans="1:8" ht="14" thickBot="1" x14ac:dyDescent="0.2">
      <c r="C111" s="1" t="s">
        <v>18</v>
      </c>
      <c r="D111" s="1" t="s">
        <v>65</v>
      </c>
      <c r="E111" s="1" t="s">
        <v>66</v>
      </c>
      <c r="F111" s="1" t="s">
        <v>67</v>
      </c>
      <c r="G111" s="1" t="s">
        <v>68</v>
      </c>
    </row>
    <row r="112" spans="1:8" ht="14" thickBot="1" x14ac:dyDescent="0.2">
      <c r="A112" t="s">
        <v>188</v>
      </c>
      <c r="B112" t="str">
        <f>"MET-" &amp; C112 &amp; " --&gt; " &amp; ROUND(F112/1000,6) &amp; " BIO-so4"</f>
        <v>MET-so4_c --&gt; 0.096063 BIO-so4</v>
      </c>
      <c r="C112" s="87" t="s">
        <v>189</v>
      </c>
      <c r="D112" s="88">
        <v>-3.4696905454578902E-2</v>
      </c>
      <c r="E112" s="89" t="s">
        <v>190</v>
      </c>
      <c r="F112" s="90">
        <v>96.062600000000003</v>
      </c>
      <c r="G112" s="28">
        <v>1</v>
      </c>
    </row>
    <row r="113" spans="1:8" x14ac:dyDescent="0.15">
      <c r="D113" t="s">
        <v>302</v>
      </c>
    </row>
    <row r="114" spans="1:8" x14ac:dyDescent="0.15">
      <c r="A114" s="1" t="s">
        <v>191</v>
      </c>
      <c r="D114" t="s">
        <v>302</v>
      </c>
    </row>
    <row r="115" spans="1:8" ht="14" thickBot="1" x14ac:dyDescent="0.2">
      <c r="C115" s="1" t="s">
        <v>18</v>
      </c>
      <c r="D115" s="1" t="s">
        <v>65</v>
      </c>
      <c r="E115" s="1" t="s">
        <v>66</v>
      </c>
      <c r="F115" s="1" t="s">
        <v>67</v>
      </c>
      <c r="G115" s="1" t="s">
        <v>68</v>
      </c>
    </row>
    <row r="116" spans="1:8" ht="14" thickBot="1" x14ac:dyDescent="0.2">
      <c r="A116" t="s">
        <v>192</v>
      </c>
      <c r="B116" t="str">
        <f>"MET-" &amp; C116 &amp; " --&gt; " &amp; ROUND(F116/1000,6) &amp; " BIO-pi"</f>
        <v>MET-pi_c --&gt; 0.095979 BIO-pi</v>
      </c>
      <c r="C116" s="91" t="s">
        <v>193</v>
      </c>
      <c r="D116" s="92">
        <v>-0.11741018881947028</v>
      </c>
      <c r="E116" s="93" t="s">
        <v>194</v>
      </c>
      <c r="F116" s="94">
        <v>95.979301000000007</v>
      </c>
      <c r="G116" s="29">
        <v>1</v>
      </c>
    </row>
    <row r="117" spans="1:8" x14ac:dyDescent="0.15">
      <c r="D117" t="s">
        <v>302</v>
      </c>
    </row>
    <row r="118" spans="1:8" x14ac:dyDescent="0.15">
      <c r="A118" s="1" t="s">
        <v>304</v>
      </c>
      <c r="D118" t="s">
        <v>302</v>
      </c>
    </row>
    <row r="119" spans="1:8" x14ac:dyDescent="0.15">
      <c r="B119" t="str">
        <f>_xlfn.CONCAT(H121:H140) &amp; " --&gt; BIO-protmodeled"</f>
        <v>0.064288 BIO-alatrna_c + 0.055742 BIO-argtrna_c + 0.048755 BIO-asntrna_c + 0.048745 BIO-asptrna_c + 0.001331 BIO-cystrna_c + 0.091239 BIO-glntrna_c + 0.091223 BIO-glutrna_c + 0.047115 BIO-glytrna_c + 0.024338 BIO-histrna_c + 0.061382 BIO-iletrna_c + 0.083475 BIO-leutrna_c + 0.078077 BIO-lystrna_c + 0.013758 BIO-mettrna_c + 0.05086 BIO-phetrna_c + 0.03741 BIO-protrna_c + 0.042857 BIO-sertrna_c + 0.051918 BIO-thrtrna_c + 0.011109 BIO-trptrna_c + 0.029374 BIO-tyrtrna_c + 0.067003 BIO-valtrna_c --&gt; BIO-protmodeled</v>
      </c>
      <c r="D119" t="s">
        <v>302</v>
      </c>
    </row>
    <row r="120" spans="1:8" ht="14" thickBot="1" x14ac:dyDescent="0.2">
      <c r="C120" s="1" t="s">
        <v>18</v>
      </c>
      <c r="D120" s="1" t="s">
        <v>65</v>
      </c>
      <c r="E120" s="1" t="s">
        <v>66</v>
      </c>
      <c r="F120" s="1" t="s">
        <v>67</v>
      </c>
      <c r="G120" s="1" t="s">
        <v>68</v>
      </c>
    </row>
    <row r="121" spans="1:8" x14ac:dyDescent="0.15">
      <c r="B121" t="str">
        <f t="shared" ref="B121:B140" si="14">"MET-" &amp; C121 &amp; " --&gt; " &amp; ROUND(F121/1000,6) &amp; " BIO-" &amp;C121</f>
        <v>MET-alatrna_c --&gt; 0.072086 BIO-alatrna_c</v>
      </c>
      <c r="C121" s="118" t="s">
        <v>252</v>
      </c>
      <c r="D121" s="119">
        <v>-0.32815394802387654</v>
      </c>
      <c r="E121" s="119" t="s">
        <v>233</v>
      </c>
      <c r="F121" s="120">
        <v>72.085840000000005</v>
      </c>
      <c r="G121" s="112">
        <f>F121*D121/SUMPRODUCT($D$121:$D$140,$F$121:$F$140)</f>
        <v>6.4288382066369235E-2</v>
      </c>
      <c r="H121" t="str">
        <f t="shared" ref="H121:H139" si="15">ROUND(G121,6) &amp; " BIO-" &amp; C121 &amp; " + "</f>
        <v xml:space="preserve">0.064288 BIO-alatrna_c + </v>
      </c>
    </row>
    <row r="122" spans="1:8" x14ac:dyDescent="0.15">
      <c r="B122" t="str">
        <f t="shared" si="14"/>
        <v>MET-argtrna_c --&gt; 0.158202 BIO-argtrna_c</v>
      </c>
      <c r="C122" s="121" t="s">
        <v>253</v>
      </c>
      <c r="D122" s="112">
        <v>-0.12964941485197737</v>
      </c>
      <c r="E122" s="112" t="s">
        <v>234</v>
      </c>
      <c r="F122" s="122">
        <v>158.20156</v>
      </c>
      <c r="G122" s="112">
        <f t="shared" ref="G122:G140" si="16">F122*D122/SUMPRODUCT($D$121:$D$140,$F$121:$F$140)</f>
        <v>5.5742471644452458E-2</v>
      </c>
      <c r="H122" t="str">
        <f t="shared" si="15"/>
        <v xml:space="preserve">0.055742 BIO-argtrna_c + </v>
      </c>
    </row>
    <row r="123" spans="1:8" x14ac:dyDescent="0.15">
      <c r="B123" t="str">
        <f t="shared" si="14"/>
        <v>MET-asntrna_c --&gt; 0.115111 BIO-asntrna_c</v>
      </c>
      <c r="C123" s="121" t="s">
        <v>254</v>
      </c>
      <c r="D123" s="112">
        <v>-0.15584793524325433</v>
      </c>
      <c r="E123" s="112" t="s">
        <v>235</v>
      </c>
      <c r="F123" s="122">
        <v>115.11058</v>
      </c>
      <c r="G123" s="112">
        <f t="shared" si="16"/>
        <v>4.8755228252014192E-2</v>
      </c>
      <c r="H123" t="str">
        <f t="shared" si="15"/>
        <v xml:space="preserve">0.048755 BIO-asntrna_c + </v>
      </c>
    </row>
    <row r="124" spans="1:8" x14ac:dyDescent="0.15">
      <c r="B124" t="str">
        <f t="shared" si="14"/>
        <v>MET-asptrna_c --&gt; 0.115087 BIO-asptrna_c</v>
      </c>
      <c r="C124" s="121" t="s">
        <v>255</v>
      </c>
      <c r="D124" s="112">
        <v>-0.15584793524325433</v>
      </c>
      <c r="E124" s="112" t="s">
        <v>236</v>
      </c>
      <c r="F124" s="122">
        <v>115.0874</v>
      </c>
      <c r="G124" s="112">
        <f t="shared" si="16"/>
        <v>4.8745410334400698E-2</v>
      </c>
      <c r="H124" t="str">
        <f t="shared" si="15"/>
        <v xml:space="preserve">0.048745 BIO-asptrna_c + </v>
      </c>
    </row>
    <row r="125" spans="1:8" x14ac:dyDescent="0.15">
      <c r="B125" t="str">
        <f t="shared" si="14"/>
        <v>MET-cystrna_c --&gt; 0.104151 BIO-cystrna_c</v>
      </c>
      <c r="C125" s="121" t="s">
        <v>256</v>
      </c>
      <c r="D125" s="112">
        <v>-4.702429236492456E-3</v>
      </c>
      <c r="E125" s="112" t="s">
        <v>237</v>
      </c>
      <c r="F125" s="122">
        <v>104.15084</v>
      </c>
      <c r="G125" s="112">
        <f t="shared" si="16"/>
        <v>1.3310364381139501E-3</v>
      </c>
      <c r="H125" t="str">
        <f t="shared" si="15"/>
        <v xml:space="preserve">0.001331 BIO-cystrna_c + </v>
      </c>
    </row>
    <row r="126" spans="1:8" x14ac:dyDescent="0.15">
      <c r="B126" t="str">
        <f t="shared" si="14"/>
        <v>MET-glntrna_c --&gt; 0.129137 BIO-glntrna_c</v>
      </c>
      <c r="C126" s="121" t="s">
        <v>257</v>
      </c>
      <c r="D126" s="112">
        <v>-0.25997084804651399</v>
      </c>
      <c r="E126" s="112" t="s">
        <v>238</v>
      </c>
      <c r="F126" s="122">
        <v>129.13715999999999</v>
      </c>
      <c r="G126" s="112">
        <f t="shared" si="16"/>
        <v>9.1239055514282838E-2</v>
      </c>
      <c r="H126" t="str">
        <f t="shared" si="15"/>
        <v xml:space="preserve">0.091239 BIO-glntrna_c + </v>
      </c>
    </row>
    <row r="127" spans="1:8" x14ac:dyDescent="0.15">
      <c r="B127" t="str">
        <f t="shared" si="14"/>
        <v>MET-glutrna_c --&gt; 0.129114 BIO-glutrna_c</v>
      </c>
      <c r="C127" s="121" t="s">
        <v>258</v>
      </c>
      <c r="D127" s="112">
        <v>-0.25997084804651399</v>
      </c>
      <c r="E127" s="112" t="s">
        <v>239</v>
      </c>
      <c r="F127" s="122">
        <v>129.11398</v>
      </c>
      <c r="G127" s="112">
        <f t="shared" si="16"/>
        <v>9.1222678188756845E-2</v>
      </c>
      <c r="H127" t="str">
        <f t="shared" si="15"/>
        <v xml:space="preserve">0.091223 BIO-glutrna_c + </v>
      </c>
    </row>
    <row r="128" spans="1:8" x14ac:dyDescent="0.15">
      <c r="B128" t="str">
        <f t="shared" si="14"/>
        <v>MET-glytrna_c --&gt; 0.058059 BIO-glytrna_c</v>
      </c>
      <c r="C128" s="121" t="s">
        <v>259</v>
      </c>
      <c r="D128" s="112">
        <v>-0.29859703508122576</v>
      </c>
      <c r="E128" s="112" t="s">
        <v>240</v>
      </c>
      <c r="F128" s="122">
        <v>58.059260000000002</v>
      </c>
      <c r="G128" s="112">
        <f t="shared" si="16"/>
        <v>4.7115291907813335E-2</v>
      </c>
      <c r="H128" t="str">
        <f t="shared" si="15"/>
        <v xml:space="preserve">0.047115 BIO-glytrna_c + </v>
      </c>
    </row>
    <row r="129" spans="2:8" x14ac:dyDescent="0.15">
      <c r="B129" t="str">
        <f t="shared" si="14"/>
        <v>MET-histrna_c --&gt; 0.138147 BIO-histrna_c</v>
      </c>
      <c r="C129" s="121" t="s">
        <v>260</v>
      </c>
      <c r="D129" s="112">
        <v>-6.4824707425988684E-2</v>
      </c>
      <c r="E129" s="112" t="s">
        <v>241</v>
      </c>
      <c r="F129" s="122">
        <v>138.14722</v>
      </c>
      <c r="G129" s="112">
        <f t="shared" si="16"/>
        <v>2.4338152839990756E-2</v>
      </c>
      <c r="H129" t="str">
        <f t="shared" si="15"/>
        <v xml:space="preserve">0.024338 BIO-histrna_c + </v>
      </c>
    </row>
    <row r="130" spans="2:8" x14ac:dyDescent="0.15">
      <c r="B130" t="str">
        <f t="shared" si="14"/>
        <v>MET-iletrna_c --&gt; 0.114166 BIO-iletrna_c</v>
      </c>
      <c r="C130" s="121" t="s">
        <v>261</v>
      </c>
      <c r="D130" s="112">
        <v>-0.1978333644100512</v>
      </c>
      <c r="E130" s="112" t="s">
        <v>242</v>
      </c>
      <c r="F130" s="122">
        <v>114.16558000000001</v>
      </c>
      <c r="G130" s="112">
        <f t="shared" si="16"/>
        <v>6.1381800459248417E-2</v>
      </c>
      <c r="H130" t="str">
        <f t="shared" si="15"/>
        <v xml:space="preserve">0.061382 BIO-iletrna_c + </v>
      </c>
    </row>
    <row r="131" spans="2:8" x14ac:dyDescent="0.15">
      <c r="B131" t="str">
        <f t="shared" si="14"/>
        <v>MET-leutrna_c --&gt; 0.114166 BIO-leutrna_c</v>
      </c>
      <c r="C131" s="121" t="s">
        <v>262</v>
      </c>
      <c r="D131" s="112">
        <v>-0.2690392725578637</v>
      </c>
      <c r="E131" s="112" t="s">
        <v>242</v>
      </c>
      <c r="F131" s="122">
        <v>114.16558000000001</v>
      </c>
      <c r="G131" s="112">
        <f t="shared" si="16"/>
        <v>8.3474872871388703E-2</v>
      </c>
      <c r="H131" t="str">
        <f t="shared" si="15"/>
        <v xml:space="preserve">0.083475 BIO-leutrna_c + </v>
      </c>
    </row>
    <row r="132" spans="2:8" x14ac:dyDescent="0.15">
      <c r="B132" t="str">
        <f t="shared" si="14"/>
        <v>MET-lystrna_c --&gt; 0.130188 BIO-lystrna_c</v>
      </c>
      <c r="C132" s="121" t="s">
        <v>263</v>
      </c>
      <c r="D132" s="112">
        <v>-0.22067264266924297</v>
      </c>
      <c r="E132" s="112" t="s">
        <v>243</v>
      </c>
      <c r="F132" s="122">
        <v>130.18816000000001</v>
      </c>
      <c r="G132" s="112">
        <f t="shared" si="16"/>
        <v>7.8077317494348139E-2</v>
      </c>
      <c r="H132" t="str">
        <f t="shared" si="15"/>
        <v xml:space="preserve">0.078077 BIO-lystrna_c + </v>
      </c>
    </row>
    <row r="133" spans="2:8" x14ac:dyDescent="0.15">
      <c r="B133" t="str">
        <f t="shared" si="14"/>
        <v>MET-mettrna_c --&gt; 0.132204 BIO-mettrna_c</v>
      </c>
      <c r="C133" s="121" t="s">
        <v>264</v>
      </c>
      <c r="D133" s="112">
        <v>-3.8290602653787711E-2</v>
      </c>
      <c r="E133" s="112" t="s">
        <v>244</v>
      </c>
      <c r="F133" s="122">
        <v>132.20400000000001</v>
      </c>
      <c r="G133" s="112">
        <f t="shared" si="16"/>
        <v>1.3757568888154194E-2</v>
      </c>
      <c r="H133" t="str">
        <f t="shared" si="15"/>
        <v xml:space="preserve">0.013758 BIO-mettrna_c + </v>
      </c>
    </row>
    <row r="134" spans="2:8" x14ac:dyDescent="0.15">
      <c r="B134" t="str">
        <f t="shared" si="14"/>
        <v>MET-phetrna_c --&gt; 0.148182 BIO-phetrna_c</v>
      </c>
      <c r="C134" s="121" t="s">
        <v>265</v>
      </c>
      <c r="D134" s="112">
        <v>-0.12629102230060346</v>
      </c>
      <c r="E134" s="112" t="s">
        <v>245</v>
      </c>
      <c r="F134" s="122">
        <v>148.18180000000001</v>
      </c>
      <c r="G134" s="112">
        <f t="shared" si="16"/>
        <v>5.0859518426699703E-2</v>
      </c>
      <c r="H134" t="str">
        <f t="shared" si="15"/>
        <v xml:space="preserve">0.05086 BIO-phetrna_c + </v>
      </c>
    </row>
    <row r="135" spans="2:8" x14ac:dyDescent="0.15">
      <c r="B135" t="str">
        <f t="shared" si="14"/>
        <v>MET-protrna_c --&gt; 0.097115 BIO-protrna_c</v>
      </c>
      <c r="C135" s="121" t="s">
        <v>266</v>
      </c>
      <c r="D135" s="112">
        <v>-0.14174149711448816</v>
      </c>
      <c r="E135" s="112" t="s">
        <v>246</v>
      </c>
      <c r="F135" s="122">
        <v>97.115179999999995</v>
      </c>
      <c r="G135" s="112">
        <f t="shared" si="16"/>
        <v>3.7410114200548183E-2</v>
      </c>
      <c r="H135" t="str">
        <f t="shared" si="15"/>
        <v xml:space="preserve">0.03741 BIO-protrna_c + </v>
      </c>
    </row>
    <row r="136" spans="2:8" x14ac:dyDescent="0.15">
      <c r="B136" t="str">
        <f t="shared" si="14"/>
        <v>MET-sertrna_c --&gt; 0.088085 BIO-sertrna_c</v>
      </c>
      <c r="C136" s="121" t="s">
        <v>267</v>
      </c>
      <c r="D136" s="112">
        <v>-0.17902364746408136</v>
      </c>
      <c r="E136" s="112" t="s">
        <v>247</v>
      </c>
      <c r="F136" s="122">
        <v>88.085239999999999</v>
      </c>
      <c r="G136" s="112">
        <f t="shared" si="16"/>
        <v>4.2856671894767016E-2</v>
      </c>
      <c r="H136" t="str">
        <f t="shared" si="15"/>
        <v xml:space="preserve">0.042857 BIO-sertrna_c + </v>
      </c>
    </row>
    <row r="137" spans="2:8" x14ac:dyDescent="0.15">
      <c r="B137" t="str">
        <f t="shared" si="14"/>
        <v>MET-thrtrna_c --&gt; 0.102112 BIO-thrtrna_c</v>
      </c>
      <c r="C137" s="121" t="s">
        <v>268</v>
      </c>
      <c r="D137" s="112">
        <v>-0.18708531883265891</v>
      </c>
      <c r="E137" s="112" t="s">
        <v>248</v>
      </c>
      <c r="F137" s="122">
        <v>102.11181999999999</v>
      </c>
      <c r="G137" s="112">
        <f t="shared" si="16"/>
        <v>5.1918319206673648E-2</v>
      </c>
      <c r="H137" t="str">
        <f t="shared" si="15"/>
        <v xml:space="preserve">0.051918 BIO-thrtrna_c + </v>
      </c>
    </row>
    <row r="138" spans="2:8" x14ac:dyDescent="0.15">
      <c r="B138" t="str">
        <f t="shared" si="14"/>
        <v>MET-trptrna_c --&gt; 0.187218 BIO-trptrna_c</v>
      </c>
      <c r="C138" s="121" t="s">
        <v>269</v>
      </c>
      <c r="D138" s="112">
        <v>-2.183252511641972E-2</v>
      </c>
      <c r="E138" s="112" t="s">
        <v>249</v>
      </c>
      <c r="F138" s="122">
        <v>187.21784</v>
      </c>
      <c r="G138" s="112">
        <f t="shared" si="16"/>
        <v>1.1108517350173402E-2</v>
      </c>
      <c r="H138" t="str">
        <f t="shared" si="15"/>
        <v xml:space="preserve">0.011109 BIO-trptrna_c + </v>
      </c>
    </row>
    <row r="139" spans="2:8" x14ac:dyDescent="0.15">
      <c r="B139" t="str">
        <f t="shared" si="14"/>
        <v>MET-tyrtrna_c --&gt; 0.164181 BIO-tyrtrna_c</v>
      </c>
      <c r="C139" s="121" t="s">
        <v>270</v>
      </c>
      <c r="D139" s="112">
        <v>-6.5832310149471981E-2</v>
      </c>
      <c r="E139" s="112" t="s">
        <v>250</v>
      </c>
      <c r="F139" s="122">
        <v>164.18119999999999</v>
      </c>
      <c r="G139" s="112">
        <f t="shared" si="16"/>
        <v>2.9374292821487069E-2</v>
      </c>
      <c r="H139" t="str">
        <f t="shared" si="15"/>
        <v xml:space="preserve">0.029374 BIO-tyrtrna_c + </v>
      </c>
    </row>
    <row r="140" spans="2:8" ht="14" thickBot="1" x14ac:dyDescent="0.2">
      <c r="B140" t="str">
        <f t="shared" si="14"/>
        <v>MET-valtrna_c --&gt; 0.100139 BIO-valtrna_c</v>
      </c>
      <c r="C140" s="123" t="s">
        <v>271</v>
      </c>
      <c r="D140" s="124">
        <v>-0.24619999429867184</v>
      </c>
      <c r="E140" s="124" t="s">
        <v>251</v>
      </c>
      <c r="F140" s="125">
        <v>100.139</v>
      </c>
      <c r="G140" s="112">
        <f t="shared" si="16"/>
        <v>6.7003299200317099E-2</v>
      </c>
      <c r="H140" t="str">
        <f>ROUND(G140,6) &amp; " BIO-" &amp; C140</f>
        <v>0.067003 BIO-valtrna_c</v>
      </c>
    </row>
  </sheetData>
  <conditionalFormatting sqref="O1:O1048576">
    <cfRule type="cellIs" dxfId="29" priority="1" operator="equal">
      <formula>TRUE</formula>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EF2FF-C4AF-F745-BB33-8A48B3DD1EBF}">
  <sheetPr codeName="Sheet12"/>
  <dimension ref="A1:E130"/>
  <sheetViews>
    <sheetView topLeftCell="A86" workbookViewId="0">
      <selection activeCell="C130" sqref="C130"/>
    </sheetView>
  </sheetViews>
  <sheetFormatPr baseColWidth="10" defaultRowHeight="13" x14ac:dyDescent="0.15"/>
  <sheetData>
    <row r="1" spans="1:5" ht="77" customHeight="1" x14ac:dyDescent="0.15">
      <c r="A1" s="182" t="s">
        <v>807</v>
      </c>
      <c r="B1" s="182"/>
      <c r="C1" s="182"/>
      <c r="D1" t="s">
        <v>729</v>
      </c>
    </row>
    <row r="2" spans="1:5" ht="28" x14ac:dyDescent="0.15">
      <c r="A2" s="146" t="s">
        <v>633</v>
      </c>
      <c r="B2" t="s">
        <v>728</v>
      </c>
      <c r="C2" t="s">
        <v>626</v>
      </c>
      <c r="D2" t="s">
        <v>730</v>
      </c>
      <c r="E2" t="s">
        <v>630</v>
      </c>
    </row>
    <row r="3" spans="1:5" x14ac:dyDescent="0.15">
      <c r="A3" t="s">
        <v>638</v>
      </c>
      <c r="B3" t="s">
        <v>733</v>
      </c>
      <c r="C3">
        <v>162.14060000000001</v>
      </c>
      <c r="D3">
        <f>IF(IFERROR(MATCH(metaboliteInfo[[#This Row],[name w/o location]],{"atp","ctp","gtp","utp","datp","dctp","dgtp","dttp"},0),0)&gt;0,metaboliteInfo[[#This Row],[MW (g/mol)]]-174.951262,metaboliteInfo[[#This Row],[MW (g/mol)]])</f>
        <v>162.14060000000001</v>
      </c>
    </row>
    <row r="4" spans="1:5" x14ac:dyDescent="0.15">
      <c r="A4" t="s">
        <v>639</v>
      </c>
      <c r="B4" t="s">
        <v>733</v>
      </c>
      <c r="C4">
        <v>162.14060000000001</v>
      </c>
      <c r="D4">
        <f>IF(IFERROR(MATCH(metaboliteInfo[[#This Row],[name w/o location]],{"atp","ctp","gtp","utp","datp","dctp","dgtp","dttp"},0),0)&gt;0,metaboliteInfo[[#This Row],[MW (g/mol)]]-174.951262,metaboliteInfo[[#This Row],[MW (g/mol)]])</f>
        <v>162.14060000000001</v>
      </c>
    </row>
    <row r="5" spans="1:5" x14ac:dyDescent="0.15">
      <c r="A5" t="s">
        <v>640</v>
      </c>
      <c r="B5" t="s">
        <v>733</v>
      </c>
      <c r="C5">
        <v>2619.1368040000002</v>
      </c>
      <c r="D5">
        <f>IF(IFERROR(MATCH(metaboliteInfo[[#This Row],[name w/o location]],{"atp","ctp","gtp","utp","datp","dctp","dgtp","dttp"},0),0)&gt;0,metaboliteInfo[[#This Row],[MW (g/mol)]]-174.951262,metaboliteInfo[[#This Row],[MW (g/mol)]])</f>
        <v>2619.1368040000002</v>
      </c>
    </row>
    <row r="6" spans="1:5" x14ac:dyDescent="0.15">
      <c r="A6" t="s">
        <v>641</v>
      </c>
      <c r="B6" t="s">
        <v>733</v>
      </c>
      <c r="C6">
        <v>203.19252</v>
      </c>
      <c r="D6">
        <f>IF(IFERROR(MATCH(metaboliteInfo[[#This Row],[name w/o location]],{"atp","ctp","gtp","utp","datp","dctp","dgtp","dttp"},0),0)&gt;0,metaboliteInfo[[#This Row],[MW (g/mol)]]-174.951262,metaboliteInfo[[#This Row],[MW (g/mol)]])</f>
        <v>203.19252</v>
      </c>
    </row>
    <row r="7" spans="1:5" x14ac:dyDescent="0.15">
      <c r="A7" t="s">
        <v>642</v>
      </c>
      <c r="B7" t="s">
        <v>733</v>
      </c>
      <c r="C7">
        <v>2280.41334042176</v>
      </c>
      <c r="D7">
        <f>IF(IFERROR(MATCH(metaboliteInfo[[#This Row],[name w/o location]],{"atp","ctp","gtp","utp","datp","dctp","dgtp","dttp"},0),0)&gt;0,metaboliteInfo[[#This Row],[MW (g/mol)]]-174.951262,metaboliteInfo[[#This Row],[MW (g/mol)]])</f>
        <v>2280.41334042176</v>
      </c>
    </row>
    <row r="8" spans="1:5" x14ac:dyDescent="0.15">
      <c r="A8" t="s">
        <v>643</v>
      </c>
      <c r="B8" t="s">
        <v>733</v>
      </c>
      <c r="C8">
        <v>810.70299999999997</v>
      </c>
      <c r="D8">
        <f>IF(IFERROR(MATCH(metaboliteInfo[[#This Row],[name w/o location]],{"atp","ctp","gtp","utp","datp","dctp","dgtp","dttp"},0),0)&gt;0,metaboliteInfo[[#This Row],[MW (g/mol)]]-174.951262,metaboliteInfo[[#This Row],[MW (g/mol)]])</f>
        <v>810.70299999999997</v>
      </c>
    </row>
    <row r="9" spans="1:5" x14ac:dyDescent="0.15">
      <c r="A9" t="s">
        <v>814</v>
      </c>
      <c r="B9" t="s">
        <v>733</v>
      </c>
      <c r="C9">
        <v>162.14060000000001</v>
      </c>
      <c r="D9">
        <f>IF(IFERROR(MATCH(metaboliteInfo[[#This Row],[name w/o location]],{"atp","ctp","gtp","utp","datp","dctp","dgtp","dttp"},0),0)&gt;0,metaboliteInfo[[#This Row],[MW (g/mol)]]-174.951262,metaboliteInfo[[#This Row],[MW (g/mol)]])</f>
        <v>162.14060000000001</v>
      </c>
    </row>
    <row r="10" spans="1:5" x14ac:dyDescent="0.15">
      <c r="A10" t="s">
        <v>816</v>
      </c>
      <c r="B10" t="s">
        <v>733</v>
      </c>
      <c r="C10">
        <v>162.14060000000001</v>
      </c>
      <c r="D10">
        <f>IF(IFERROR(MATCH(metaboliteInfo[[#This Row],[name w/o location]],{"atp","ctp","gtp","utp","datp","dctp","dgtp","dttp"},0),0)&gt;0,metaboliteInfo[[#This Row],[MW (g/mol)]]-174.951262,metaboliteInfo[[#This Row],[MW (g/mol)]])</f>
        <v>162.14060000000001</v>
      </c>
      <c r="E10" t="s">
        <v>1297</v>
      </c>
    </row>
    <row r="11" spans="1:5" x14ac:dyDescent="0.15">
      <c r="A11" t="s">
        <v>823</v>
      </c>
      <c r="B11" t="s">
        <v>733</v>
      </c>
      <c r="C11">
        <v>342.29647999999997</v>
      </c>
      <c r="D11">
        <f>IF(IFERROR(MATCH(metaboliteInfo[[#This Row],[name w/o location]],{"atp","ctp","gtp","utp","datp","dctp","dgtp","dttp"},0),0)&gt;0,metaboliteInfo[[#This Row],[MW (g/mol)]]-174.951262,metaboliteInfo[[#This Row],[MW (g/mol)]])</f>
        <v>342.29647999999997</v>
      </c>
      <c r="E11" t="s">
        <v>1297</v>
      </c>
    </row>
    <row r="12" spans="1:5" x14ac:dyDescent="0.15">
      <c r="A12" t="s">
        <v>644</v>
      </c>
      <c r="B12" t="s">
        <v>734</v>
      </c>
      <c r="C12">
        <v>399.44531999999998</v>
      </c>
      <c r="D12">
        <f>IF(IFERROR(MATCH(metaboliteInfo[[#This Row],[name w/o location]],{"atp","ctp","gtp","utp","datp","dctp","dgtp","dttp"},0),0)&gt;0,metaboliteInfo[[#This Row],[MW (g/mol)]]-174.951262,metaboliteInfo[[#This Row],[MW (g/mol)]])</f>
        <v>399.44531999999998</v>
      </c>
    </row>
    <row r="13" spans="1:5" x14ac:dyDescent="0.15">
      <c r="A13" t="s">
        <v>645</v>
      </c>
      <c r="B13" t="s">
        <v>734</v>
      </c>
      <c r="C13">
        <v>243.30269999999999</v>
      </c>
      <c r="D13">
        <f>IF(IFERROR(MATCH(metaboliteInfo[[#This Row],[name w/o location]],{"atp","ctp","gtp","utp","datp","dctp","dgtp","dttp"},0),0)&gt;0,metaboliteInfo[[#This Row],[MW (g/mol)]]-174.951262,metaboliteInfo[[#This Row],[MW (g/mol)]])</f>
        <v>243.30269999999999</v>
      </c>
    </row>
    <row r="14" spans="1:5" x14ac:dyDescent="0.15">
      <c r="A14" t="s">
        <v>646</v>
      </c>
      <c r="B14" t="s">
        <v>734</v>
      </c>
      <c r="C14">
        <v>763.50236299999995</v>
      </c>
      <c r="D14">
        <f>IF(IFERROR(MATCH(metaboliteInfo[[#This Row],[name w/o location]],{"atp","ctp","gtp","utp","datp","dctp","dgtp","dttp"},0),0)&gt;0,metaboliteInfo[[#This Row],[MW (g/mol)]]-174.951262,metaboliteInfo[[#This Row],[MW (g/mol)]])</f>
        <v>763.50236299999995</v>
      </c>
    </row>
    <row r="15" spans="1:5" x14ac:dyDescent="0.15">
      <c r="A15" t="s">
        <v>647</v>
      </c>
      <c r="B15" t="s">
        <v>734</v>
      </c>
      <c r="C15">
        <v>782.52592200000004</v>
      </c>
      <c r="D15">
        <f>IF(IFERROR(MATCH(metaboliteInfo[[#This Row],[name w/o location]],{"atp","ctp","gtp","utp","datp","dctp","dgtp","dttp"},0),0)&gt;0,metaboliteInfo[[#This Row],[MW (g/mol)]]-174.951262,metaboliteInfo[[#This Row],[MW (g/mol)]])</f>
        <v>782.52592200000004</v>
      </c>
    </row>
    <row r="16" spans="1:5" x14ac:dyDescent="0.15">
      <c r="A16" t="s">
        <v>648</v>
      </c>
      <c r="B16" t="s">
        <v>734</v>
      </c>
      <c r="C16">
        <v>850.82126000000005</v>
      </c>
      <c r="D16">
        <f>IF(IFERROR(MATCH(metaboliteInfo[[#This Row],[name w/o location]],{"atp","ctp","gtp","utp","datp","dctp","dgtp","dttp"},0),0)&gt;0,metaboliteInfo[[#This Row],[MW (g/mol)]]-174.951262,metaboliteInfo[[#This Row],[MW (g/mol)]])</f>
        <v>850.82126000000005</v>
      </c>
    </row>
    <row r="17" spans="1:4" x14ac:dyDescent="0.15">
      <c r="A17" t="s">
        <v>649</v>
      </c>
      <c r="B17" t="s">
        <v>734</v>
      </c>
      <c r="C17">
        <v>662.41716199999996</v>
      </c>
      <c r="D17">
        <f>IF(IFERROR(MATCH(metaboliteInfo[[#This Row],[name w/o location]],{"atp","ctp","gtp","utp","datp","dctp","dgtp","dttp"},0),0)&gt;0,metaboliteInfo[[#This Row],[MW (g/mol)]]-174.951262,metaboliteInfo[[#This Row],[MW (g/mol)]])</f>
        <v>662.41716199999996</v>
      </c>
    </row>
    <row r="18" spans="1:4" x14ac:dyDescent="0.15">
      <c r="A18" t="s">
        <v>650</v>
      </c>
      <c r="B18" t="s">
        <v>734</v>
      </c>
      <c r="C18">
        <v>740.38118299999996</v>
      </c>
      <c r="D18">
        <f>IF(IFERROR(MATCH(metaboliteInfo[[#This Row],[name w/o location]],{"atp","ctp","gtp","utp","datp","dctp","dgtp","dttp"},0),0)&gt;0,metaboliteInfo[[#This Row],[MW (g/mol)]]-174.951262,metaboliteInfo[[#This Row],[MW (g/mol)]])</f>
        <v>740.38118299999996</v>
      </c>
    </row>
    <row r="19" spans="1:4" x14ac:dyDescent="0.15">
      <c r="A19" t="s">
        <v>1414</v>
      </c>
      <c r="B19" t="s">
        <v>734</v>
      </c>
      <c r="C19">
        <v>741.38912300000004</v>
      </c>
      <c r="D19">
        <f>IF(IFERROR(MATCH(metaboliteInfo[[#This Row],[name w/o location]],{"atp","ctp","gtp","utp","datp","dctp","dgtp","dttp"},0),0)&gt;0,metaboliteInfo[[#This Row],[MW (g/mol)]]-174.951262,metaboliteInfo[[#This Row],[MW (g/mol)]])</f>
        <v>741.38912300000004</v>
      </c>
    </row>
    <row r="20" spans="1:4" x14ac:dyDescent="0.15">
      <c r="A20" t="s">
        <v>651</v>
      </c>
      <c r="B20" t="s">
        <v>734</v>
      </c>
      <c r="C20">
        <v>245.126</v>
      </c>
      <c r="D20">
        <f>IF(IFERROR(MATCH(metaboliteInfo[[#This Row],[name w/o location]],{"atp","ctp","gtp","utp","datp","dctp","dgtp","dttp"},0),0)&gt;0,metaboliteInfo[[#This Row],[MW (g/mol)]]-174.951262,metaboliteInfo[[#This Row],[MW (g/mol)]])</f>
        <v>245.126</v>
      </c>
    </row>
    <row r="21" spans="1:4" x14ac:dyDescent="0.15">
      <c r="A21" t="s">
        <v>652</v>
      </c>
      <c r="B21" t="s">
        <v>734</v>
      </c>
      <c r="C21">
        <v>375.35595999999998</v>
      </c>
      <c r="D21">
        <f>IF(IFERROR(MATCH(metaboliteInfo[[#This Row],[name w/o location]],{"atp","ctp","gtp","utp","datp","dctp","dgtp","dttp"},0),0)&gt;0,metaboliteInfo[[#This Row],[MW (g/mol)]]-174.951262,metaboliteInfo[[#This Row],[MW (g/mol)]])</f>
        <v>375.35595999999998</v>
      </c>
    </row>
    <row r="22" spans="1:4" x14ac:dyDescent="0.15">
      <c r="A22" t="s">
        <v>653</v>
      </c>
      <c r="B22" t="s">
        <v>734</v>
      </c>
      <c r="C22">
        <v>148.26967999999999</v>
      </c>
      <c r="D22">
        <f>IF(IFERROR(MATCH(metaboliteInfo[[#This Row],[name w/o location]],{"atp","ctp","gtp","utp","datp","dctp","dgtp","dttp"},0),0)&gt;0,metaboliteInfo[[#This Row],[MW (g/mol)]]-174.951262,metaboliteInfo[[#This Row],[MW (g/mol)]])</f>
        <v>148.26967999999999</v>
      </c>
    </row>
    <row r="23" spans="1:4" x14ac:dyDescent="0.15">
      <c r="A23" t="s">
        <v>654</v>
      </c>
      <c r="B23" t="s">
        <v>734</v>
      </c>
      <c r="C23">
        <v>443.41334000000001</v>
      </c>
      <c r="D23">
        <f>IF(IFERROR(MATCH(metaboliteInfo[[#This Row],[name w/o location]],{"atp","ctp","gtp","utp","datp","dctp","dgtp","dttp"},0),0)&gt;0,metaboliteInfo[[#This Row],[MW (g/mol)]]-174.951262,metaboliteInfo[[#This Row],[MW (g/mol)]])</f>
        <v>443.41334000000001</v>
      </c>
    </row>
    <row r="24" spans="1:4" x14ac:dyDescent="0.15">
      <c r="A24" t="s">
        <v>655</v>
      </c>
      <c r="B24" t="s">
        <v>734</v>
      </c>
      <c r="C24">
        <v>422.29056200000002</v>
      </c>
      <c r="D24">
        <f>IF(IFERROR(MATCH(metaboliteInfo[[#This Row],[name w/o location]],{"atp","ctp","gtp","utp","datp","dctp","dgtp","dttp"},0),0)&gt;0,metaboliteInfo[[#This Row],[MW (g/mol)]]-174.951262,metaboliteInfo[[#This Row],[MW (g/mol)]])</f>
        <v>422.29056200000002</v>
      </c>
    </row>
    <row r="25" spans="1:4" x14ac:dyDescent="0.15">
      <c r="A25" t="s">
        <v>808</v>
      </c>
      <c r="B25" t="s">
        <v>734</v>
      </c>
      <c r="C25">
        <v>458.44785999999999</v>
      </c>
      <c r="D25">
        <f>IF(IFERROR(MATCH(metaboliteInfo[[#This Row],[name w/o location]],{"atp","ctp","gtp","utp","datp","dctp","dgtp","dttp"},0),0)&gt;0,metaboliteInfo[[#This Row],[MW (g/mol)]]-174.951262,metaboliteInfo[[#This Row],[MW (g/mol)]])</f>
        <v>458.44785999999999</v>
      </c>
    </row>
    <row r="26" spans="1:4" x14ac:dyDescent="0.15">
      <c r="A26" t="s">
        <v>656</v>
      </c>
      <c r="B26" t="s">
        <v>25</v>
      </c>
      <c r="C26">
        <v>487.14986299999998</v>
      </c>
      <c r="D26">
        <f>IF(IFERROR(MATCH(metaboliteInfo[[#This Row],[name w/o location]],{"atp","ctp","gtp","utp","datp","dctp","dgtp","dttp"},0),0)&gt;0,metaboliteInfo[[#This Row],[MW (g/mol)]]-174.951262,metaboliteInfo[[#This Row],[MW (g/mol)]])</f>
        <v>312.19860099999994</v>
      </c>
    </row>
    <row r="27" spans="1:4" x14ac:dyDescent="0.15">
      <c r="A27" t="s">
        <v>657</v>
      </c>
      <c r="B27" t="s">
        <v>25</v>
      </c>
      <c r="C27">
        <v>463.12516299999999</v>
      </c>
      <c r="D27">
        <f>IF(IFERROR(MATCH(metaboliteInfo[[#This Row],[name w/o location]],{"atp","ctp","gtp","utp","datp","dctp","dgtp","dttp"},0),0)&gt;0,metaboliteInfo[[#This Row],[MW (g/mol)]]-174.951262,metaboliteInfo[[#This Row],[MW (g/mol)]])</f>
        <v>288.173901</v>
      </c>
    </row>
    <row r="28" spans="1:4" x14ac:dyDescent="0.15">
      <c r="A28" t="s">
        <v>658</v>
      </c>
      <c r="B28" t="s">
        <v>25</v>
      </c>
      <c r="C28">
        <v>503.14926300000002</v>
      </c>
      <c r="D28">
        <f>IF(IFERROR(MATCH(metaboliteInfo[[#This Row],[name w/o location]],{"atp","ctp","gtp","utp","datp","dctp","dgtp","dttp"},0),0)&gt;0,metaboliteInfo[[#This Row],[MW (g/mol)]]-174.951262,metaboliteInfo[[#This Row],[MW (g/mol)]])</f>
        <v>328.19800099999998</v>
      </c>
    </row>
    <row r="29" spans="1:4" x14ac:dyDescent="0.15">
      <c r="A29" t="s">
        <v>659</v>
      </c>
      <c r="B29" t="s">
        <v>25</v>
      </c>
      <c r="C29">
        <v>478.136503</v>
      </c>
      <c r="D29">
        <f>IF(IFERROR(MATCH(metaboliteInfo[[#This Row],[name w/o location]],{"atp","ctp","gtp","utp","datp","dctp","dgtp","dttp"},0),0)&gt;0,metaboliteInfo[[#This Row],[MW (g/mol)]]-174.951262,metaboliteInfo[[#This Row],[MW (g/mol)]])</f>
        <v>303.18524100000002</v>
      </c>
    </row>
    <row r="30" spans="1:4" x14ac:dyDescent="0.15">
      <c r="A30" t="s">
        <v>634</v>
      </c>
      <c r="B30" t="s">
        <v>39</v>
      </c>
      <c r="C30">
        <v>424.177302</v>
      </c>
      <c r="D30">
        <f>IF(IFERROR(MATCH(metaboliteInfo[[#This Row],[name w/o location]],{"atp","ctp","gtp","utp","datp","dctp","dgtp","dttp"},0),0)&gt;0,metaboliteInfo[[#This Row],[MW (g/mol)]]-174.951262,metaboliteInfo[[#This Row],[MW (g/mol)]])</f>
        <v>424.177302</v>
      </c>
    </row>
    <row r="31" spans="1:4" x14ac:dyDescent="0.15">
      <c r="A31" t="s">
        <v>635</v>
      </c>
      <c r="B31" t="s">
        <v>39</v>
      </c>
      <c r="C31">
        <v>18.015280000000001</v>
      </c>
      <c r="D31">
        <f>IF(IFERROR(MATCH(metaboliteInfo[[#This Row],[name w/o location]],{"atp","ctp","gtp","utp","datp","dctp","dgtp","dttp"},0),0)&gt;0,metaboliteInfo[[#This Row],[MW (g/mol)]]-174.951262,metaboliteInfo[[#This Row],[MW (g/mol)]])</f>
        <v>18.015280000000001</v>
      </c>
    </row>
    <row r="32" spans="1:4" x14ac:dyDescent="0.15">
      <c r="A32" t="s">
        <v>636</v>
      </c>
      <c r="B32" t="s">
        <v>39</v>
      </c>
      <c r="C32">
        <v>1.0079400000000001</v>
      </c>
      <c r="D32">
        <f>IF(IFERROR(MATCH(metaboliteInfo[[#This Row],[name w/o location]],{"atp","ctp","gtp","utp","datp","dctp","dgtp","dttp"},0),0)&gt;0,metaboliteInfo[[#This Row],[MW (g/mol)]]-174.951262,metaboliteInfo[[#This Row],[MW (g/mol)]])</f>
        <v>1.0079400000000001</v>
      </c>
    </row>
    <row r="33" spans="1:4" x14ac:dyDescent="0.15">
      <c r="A33" t="s">
        <v>707</v>
      </c>
      <c r="B33" t="s">
        <v>740</v>
      </c>
      <c r="C33">
        <v>0</v>
      </c>
      <c r="D33">
        <f>IF(IFERROR(MATCH(metaboliteInfo[[#This Row],[name w/o location]],{"atp","ctp","gtp","utp","datp","dctp","dgtp","dttp"},0),0)&gt;0,metaboliteInfo[[#This Row],[MW (g/mol)]]-174.951262,metaboliteInfo[[#This Row],[MW (g/mol)]])</f>
        <v>0</v>
      </c>
    </row>
    <row r="34" spans="1:4" x14ac:dyDescent="0.15">
      <c r="A34" t="s">
        <v>708</v>
      </c>
      <c r="B34" t="s">
        <v>740</v>
      </c>
      <c r="C34">
        <v>0</v>
      </c>
      <c r="D34">
        <f>IF(IFERROR(MATCH(metaboliteInfo[[#This Row],[name w/o location]],{"atp","ctp","gtp","utp","datp","dctp","dgtp","dttp"},0),0)&gt;0,metaboliteInfo[[#This Row],[MW (g/mol)]]-174.951262,metaboliteInfo[[#This Row],[MW (g/mol)]])</f>
        <v>0</v>
      </c>
    </row>
    <row r="35" spans="1:4" x14ac:dyDescent="0.15">
      <c r="A35" t="s">
        <v>709</v>
      </c>
      <c r="B35" t="s">
        <v>740</v>
      </c>
      <c r="C35">
        <v>0</v>
      </c>
      <c r="D35">
        <f>IF(IFERROR(MATCH(metaboliteInfo[[#This Row],[name w/o location]],{"atp","ctp","gtp","utp","datp","dctp","dgtp","dttp"},0),0)&gt;0,metaboliteInfo[[#This Row],[MW (g/mol)]]-174.951262,metaboliteInfo[[#This Row],[MW (g/mol)]])</f>
        <v>0</v>
      </c>
    </row>
    <row r="36" spans="1:4" x14ac:dyDescent="0.15">
      <c r="A36" t="s">
        <v>710</v>
      </c>
      <c r="B36" t="s">
        <v>740</v>
      </c>
      <c r="C36">
        <v>0</v>
      </c>
      <c r="D36">
        <f>IF(IFERROR(MATCH(metaboliteInfo[[#This Row],[name w/o location]],{"atp","ctp","gtp","utp","datp","dctp","dgtp","dttp"},0),0)&gt;0,metaboliteInfo[[#This Row],[MW (g/mol)]]-174.951262,metaboliteInfo[[#This Row],[MW (g/mol)]])</f>
        <v>0</v>
      </c>
    </row>
    <row r="37" spans="1:4" x14ac:dyDescent="0.15">
      <c r="A37" t="s">
        <v>711</v>
      </c>
      <c r="B37" t="s">
        <v>740</v>
      </c>
      <c r="C37">
        <v>0</v>
      </c>
      <c r="D37">
        <f>IF(IFERROR(MATCH(metaboliteInfo[[#This Row],[name w/o location]],{"atp","ctp","gtp","utp","datp","dctp","dgtp","dttp"},0),0)&gt;0,metaboliteInfo[[#This Row],[MW (g/mol)]]-174.951262,metaboliteInfo[[#This Row],[MW (g/mol)]])</f>
        <v>0</v>
      </c>
    </row>
    <row r="38" spans="1:4" x14ac:dyDescent="0.15">
      <c r="A38" t="s">
        <v>712</v>
      </c>
      <c r="B38" t="s">
        <v>740</v>
      </c>
      <c r="C38">
        <v>0</v>
      </c>
      <c r="D38">
        <f>IF(IFERROR(MATCH(metaboliteInfo[[#This Row],[name w/o location]],{"atp","ctp","gtp","utp","datp","dctp","dgtp","dttp"},0),0)&gt;0,metaboliteInfo[[#This Row],[MW (g/mol)]]-174.951262,metaboliteInfo[[#This Row],[MW (g/mol)]])</f>
        <v>0</v>
      </c>
    </row>
    <row r="39" spans="1:4" x14ac:dyDescent="0.15">
      <c r="A39" t="s">
        <v>713</v>
      </c>
      <c r="B39" t="s">
        <v>740</v>
      </c>
      <c r="C39">
        <v>0</v>
      </c>
      <c r="D39">
        <f>IF(IFERROR(MATCH(metaboliteInfo[[#This Row],[name w/o location]],{"atp","ctp","gtp","utp","datp","dctp","dgtp","dttp"},0),0)&gt;0,metaboliteInfo[[#This Row],[MW (g/mol)]]-174.951262,metaboliteInfo[[#This Row],[MW (g/mol)]])</f>
        <v>0</v>
      </c>
    </row>
    <row r="40" spans="1:4" x14ac:dyDescent="0.15">
      <c r="A40" t="s">
        <v>714</v>
      </c>
      <c r="B40" t="s">
        <v>740</v>
      </c>
      <c r="C40">
        <v>0</v>
      </c>
      <c r="D40">
        <f>IF(IFERROR(MATCH(metaboliteInfo[[#This Row],[name w/o location]],{"atp","ctp","gtp","utp","datp","dctp","dgtp","dttp"},0),0)&gt;0,metaboliteInfo[[#This Row],[MW (g/mol)]]-174.951262,metaboliteInfo[[#This Row],[MW (g/mol)]])</f>
        <v>0</v>
      </c>
    </row>
    <row r="41" spans="1:4" x14ac:dyDescent="0.15">
      <c r="A41" t="s">
        <v>715</v>
      </c>
      <c r="B41" t="s">
        <v>740</v>
      </c>
      <c r="C41">
        <v>0</v>
      </c>
      <c r="D41">
        <f>IF(IFERROR(MATCH(metaboliteInfo[[#This Row],[name w/o location]],{"atp","ctp","gtp","utp","datp","dctp","dgtp","dttp"},0),0)&gt;0,metaboliteInfo[[#This Row],[MW (g/mol)]]-174.951262,metaboliteInfo[[#This Row],[MW (g/mol)]])</f>
        <v>0</v>
      </c>
    </row>
    <row r="42" spans="1:4" x14ac:dyDescent="0.15">
      <c r="A42" t="s">
        <v>716</v>
      </c>
      <c r="B42" t="s">
        <v>740</v>
      </c>
      <c r="C42">
        <v>0</v>
      </c>
      <c r="D42">
        <f>IF(IFERROR(MATCH(metaboliteInfo[[#This Row],[name w/o location]],{"atp","ctp","gtp","utp","datp","dctp","dgtp","dttp"},0),0)&gt;0,metaboliteInfo[[#This Row],[MW (g/mol)]]-174.951262,metaboliteInfo[[#This Row],[MW (g/mol)]])</f>
        <v>0</v>
      </c>
    </row>
    <row r="43" spans="1:4" x14ac:dyDescent="0.15">
      <c r="A43" t="s">
        <v>717</v>
      </c>
      <c r="B43" t="s">
        <v>740</v>
      </c>
      <c r="C43">
        <v>0</v>
      </c>
      <c r="D43">
        <f>IF(IFERROR(MATCH(metaboliteInfo[[#This Row],[name w/o location]],{"atp","ctp","gtp","utp","datp","dctp","dgtp","dttp"},0),0)&gt;0,metaboliteInfo[[#This Row],[MW (g/mol)]]-174.951262,metaboliteInfo[[#This Row],[MW (g/mol)]])</f>
        <v>0</v>
      </c>
    </row>
    <row r="44" spans="1:4" x14ac:dyDescent="0.15">
      <c r="A44" t="s">
        <v>718</v>
      </c>
      <c r="B44" t="s">
        <v>740</v>
      </c>
      <c r="C44">
        <v>0</v>
      </c>
      <c r="D44">
        <f>IF(IFERROR(MATCH(metaboliteInfo[[#This Row],[name w/o location]],{"atp","ctp","gtp","utp","datp","dctp","dgtp","dttp"},0),0)&gt;0,metaboliteInfo[[#This Row],[MW (g/mol)]]-174.951262,metaboliteInfo[[#This Row],[MW (g/mol)]])</f>
        <v>0</v>
      </c>
    </row>
    <row r="45" spans="1:4" x14ac:dyDescent="0.15">
      <c r="A45" t="s">
        <v>719</v>
      </c>
      <c r="B45" t="s">
        <v>740</v>
      </c>
      <c r="C45">
        <v>0</v>
      </c>
      <c r="D45">
        <f>IF(IFERROR(MATCH(metaboliteInfo[[#This Row],[name w/o location]],{"atp","ctp","gtp","utp","datp","dctp","dgtp","dttp"},0),0)&gt;0,metaboliteInfo[[#This Row],[MW (g/mol)]]-174.951262,metaboliteInfo[[#This Row],[MW (g/mol)]])</f>
        <v>0</v>
      </c>
    </row>
    <row r="46" spans="1:4" x14ac:dyDescent="0.15">
      <c r="A46" t="s">
        <v>720</v>
      </c>
      <c r="B46" t="s">
        <v>740</v>
      </c>
      <c r="C46">
        <v>0</v>
      </c>
      <c r="D46">
        <f>IF(IFERROR(MATCH(metaboliteInfo[[#This Row],[name w/o location]],{"atp","ctp","gtp","utp","datp","dctp","dgtp","dttp"},0),0)&gt;0,metaboliteInfo[[#This Row],[MW (g/mol)]]-174.951262,metaboliteInfo[[#This Row],[MW (g/mol)]])</f>
        <v>0</v>
      </c>
    </row>
    <row r="47" spans="1:4" x14ac:dyDescent="0.15">
      <c r="A47" t="s">
        <v>721</v>
      </c>
      <c r="B47" t="s">
        <v>740</v>
      </c>
      <c r="C47">
        <v>0</v>
      </c>
      <c r="D47">
        <f>IF(IFERROR(MATCH(metaboliteInfo[[#This Row],[name w/o location]],{"atp","ctp","gtp","utp","datp","dctp","dgtp","dttp"},0),0)&gt;0,metaboliteInfo[[#This Row],[MW (g/mol)]]-174.951262,metaboliteInfo[[#This Row],[MW (g/mol)]])</f>
        <v>0</v>
      </c>
    </row>
    <row r="48" spans="1:4" x14ac:dyDescent="0.15">
      <c r="A48" t="s">
        <v>722</v>
      </c>
      <c r="B48" t="s">
        <v>740</v>
      </c>
      <c r="C48">
        <v>0</v>
      </c>
      <c r="D48">
        <f>IF(IFERROR(MATCH(metaboliteInfo[[#This Row],[name w/o location]],{"atp","ctp","gtp","utp","datp","dctp","dgtp","dttp"},0),0)&gt;0,metaboliteInfo[[#This Row],[MW (g/mol)]]-174.951262,metaboliteInfo[[#This Row],[MW (g/mol)]])</f>
        <v>0</v>
      </c>
    </row>
    <row r="49" spans="1:4" x14ac:dyDescent="0.15">
      <c r="A49" t="s">
        <v>723</v>
      </c>
      <c r="B49" t="s">
        <v>740</v>
      </c>
      <c r="C49">
        <v>0</v>
      </c>
      <c r="D49">
        <f>IF(IFERROR(MATCH(metaboliteInfo[[#This Row],[name w/o location]],{"atp","ctp","gtp","utp","datp","dctp","dgtp","dttp"},0),0)&gt;0,metaboliteInfo[[#This Row],[MW (g/mol)]]-174.951262,metaboliteInfo[[#This Row],[MW (g/mol)]])</f>
        <v>0</v>
      </c>
    </row>
    <row r="50" spans="1:4" x14ac:dyDescent="0.15">
      <c r="A50" t="s">
        <v>724</v>
      </c>
      <c r="B50" t="s">
        <v>740</v>
      </c>
      <c r="C50">
        <v>0</v>
      </c>
      <c r="D50">
        <f>IF(IFERROR(MATCH(metaboliteInfo[[#This Row],[name w/o location]],{"atp","ctp","gtp","utp","datp","dctp","dgtp","dttp"},0),0)&gt;0,metaboliteInfo[[#This Row],[MW (g/mol)]]-174.951262,metaboliteInfo[[#This Row],[MW (g/mol)]])</f>
        <v>0</v>
      </c>
    </row>
    <row r="51" spans="1:4" x14ac:dyDescent="0.15">
      <c r="A51" t="s">
        <v>725</v>
      </c>
      <c r="B51" t="s">
        <v>740</v>
      </c>
      <c r="C51">
        <v>0</v>
      </c>
      <c r="D51">
        <f>IF(IFERROR(MATCH(metaboliteInfo[[#This Row],[name w/o location]],{"atp","ctp","gtp","utp","datp","dctp","dgtp","dttp"},0),0)&gt;0,metaboliteInfo[[#This Row],[MW (g/mol)]]-174.951262,metaboliteInfo[[#This Row],[MW (g/mol)]])</f>
        <v>0</v>
      </c>
    </row>
    <row r="52" spans="1:4" x14ac:dyDescent="0.15">
      <c r="A52" t="s">
        <v>726</v>
      </c>
      <c r="B52" t="s">
        <v>740</v>
      </c>
      <c r="C52">
        <v>0</v>
      </c>
      <c r="D52">
        <f>IF(IFERROR(MATCH(metaboliteInfo[[#This Row],[name w/o location]],{"atp","ctp","gtp","utp","datp","dctp","dgtp","dttp"},0),0)&gt;0,metaboliteInfo[[#This Row],[MW (g/mol)]]-174.951262,metaboliteInfo[[#This Row],[MW (g/mol)]])</f>
        <v>0</v>
      </c>
    </row>
    <row r="53" spans="1:4" x14ac:dyDescent="0.15">
      <c r="A53" t="s">
        <v>660</v>
      </c>
      <c r="B53" t="s">
        <v>735</v>
      </c>
      <c r="C53">
        <v>339.57481999999999</v>
      </c>
      <c r="D53">
        <f>IF(IFERROR(MATCH(metaboliteInfo[[#This Row],[name w/o location]],{"atp","ctp","gtp","utp","datp","dctp","dgtp","dttp"},0),0)&gt;0,metaboliteInfo[[#This Row],[MW (g/mol)]]-174.951262,metaboliteInfo[[#This Row],[MW (g/mol)]])</f>
        <v>339.57481999999999</v>
      </c>
    </row>
    <row r="54" spans="1:4" x14ac:dyDescent="0.15">
      <c r="A54" t="s">
        <v>1405</v>
      </c>
      <c r="B54" t="s">
        <v>735</v>
      </c>
      <c r="C54">
        <v>1086.070643</v>
      </c>
      <c r="D54">
        <f>IF(IFERROR(MATCH(metaboliteInfo[[#This Row],[name w/o location]],{"atp","ctp","gtp","utp","datp","dctp","dgtp","dttp"},0),0)&gt;0,metaboliteInfo[[#This Row],[MW (g/mol)]]-174.951262,metaboliteInfo[[#This Row],[MW (g/mol)]])</f>
        <v>1086.070643</v>
      </c>
    </row>
    <row r="55" spans="1:4" x14ac:dyDescent="0.15">
      <c r="A55" t="s">
        <v>661</v>
      </c>
      <c r="B55" t="s">
        <v>735</v>
      </c>
      <c r="C55">
        <v>398.66424000000001</v>
      </c>
      <c r="D55">
        <f>IF(IFERROR(MATCH(metaboliteInfo[[#This Row],[name w/o location]],{"atp","ctp","gtp","utp","datp","dctp","dgtp","dttp"},0),0)&gt;0,metaboliteInfo[[#This Row],[MW (g/mol)]]-174.951262,metaboliteInfo[[#This Row],[MW (g/mol)]])</f>
        <v>398.66424000000001</v>
      </c>
    </row>
    <row r="56" spans="1:4" x14ac:dyDescent="0.15">
      <c r="A56" t="s">
        <v>662</v>
      </c>
      <c r="B56" t="s">
        <v>735</v>
      </c>
      <c r="C56">
        <v>255.41533999999999</v>
      </c>
      <c r="D56">
        <f>IF(IFERROR(MATCH(metaboliteInfo[[#This Row],[name w/o location]],{"atp","ctp","gtp","utp","datp","dctp","dgtp","dttp"},0),0)&gt;0,metaboliteInfo[[#This Row],[MW (g/mol)]]-174.951262,metaboliteInfo[[#This Row],[MW (g/mol)]])</f>
        <v>255.41533999999999</v>
      </c>
    </row>
    <row r="57" spans="1:4" x14ac:dyDescent="0.15">
      <c r="A57" t="s">
        <v>1406</v>
      </c>
      <c r="B57" t="s">
        <v>735</v>
      </c>
      <c r="C57">
        <v>1142.1769629999999</v>
      </c>
      <c r="D57">
        <f>IF(IFERROR(MATCH(metaboliteInfo[[#This Row],[name w/o location]],{"atp","ctp","gtp","utp","datp","dctp","dgtp","dttp"},0),0)&gt;0,metaboliteInfo[[#This Row],[MW (g/mol)]]-174.951262,metaboliteInfo[[#This Row],[MW (g/mol)]])</f>
        <v>1142.1769629999999</v>
      </c>
    </row>
    <row r="58" spans="1:4" x14ac:dyDescent="0.15">
      <c r="A58" t="s">
        <v>663</v>
      </c>
      <c r="B58" t="s">
        <v>735</v>
      </c>
      <c r="C58">
        <v>915.26344200000005</v>
      </c>
      <c r="D58">
        <f>IF(IFERROR(MATCH(metaboliteInfo[[#This Row],[name w/o location]],{"atp","ctp","gtp","utp","datp","dctp","dgtp","dttp"},0),0)&gt;0,metaboliteInfo[[#This Row],[MW (g/mol)]]-174.951262,metaboliteInfo[[#This Row],[MW (g/mol)]])</f>
        <v>915.26344200000005</v>
      </c>
    </row>
    <row r="59" spans="1:4" x14ac:dyDescent="0.15">
      <c r="A59" t="s">
        <v>664</v>
      </c>
      <c r="B59" t="s">
        <v>735</v>
      </c>
      <c r="C59">
        <v>279.43673999999999</v>
      </c>
      <c r="D59">
        <f>IF(IFERROR(MATCH(metaboliteInfo[[#This Row],[name w/o location]],{"atp","ctp","gtp","utp","datp","dctp","dgtp","dttp"},0),0)&gt;0,metaboliteInfo[[#This Row],[MW (g/mol)]]-174.951262,metaboliteInfo[[#This Row],[MW (g/mol)]])</f>
        <v>279.43673999999999</v>
      </c>
    </row>
    <row r="60" spans="1:4" x14ac:dyDescent="0.15">
      <c r="A60" t="s">
        <v>1409</v>
      </c>
      <c r="B60" t="s">
        <v>735</v>
      </c>
      <c r="C60">
        <v>1025.9325630000001</v>
      </c>
      <c r="D60">
        <f>IF(IFERROR(MATCH(metaboliteInfo[[#This Row],[name w/o location]],{"atp","ctp","gtp","utp","datp","dctp","dgtp","dttp"},0),0)&gt;0,metaboliteInfo[[#This Row],[MW (g/mol)]]-174.951262,metaboliteInfo[[#This Row],[MW (g/mol)]])</f>
        <v>1025.9325630000001</v>
      </c>
    </row>
    <row r="61" spans="1:4" x14ac:dyDescent="0.15">
      <c r="A61" t="s">
        <v>665</v>
      </c>
      <c r="B61" t="s">
        <v>735</v>
      </c>
      <c r="C61">
        <v>277.42086</v>
      </c>
      <c r="D61">
        <f>IF(IFERROR(MATCH(metaboliteInfo[[#This Row],[name w/o location]],{"atp","ctp","gtp","utp","datp","dctp","dgtp","dttp"},0),0)&gt;0,metaboliteInfo[[#This Row],[MW (g/mol)]]-174.951262,metaboliteInfo[[#This Row],[MW (g/mol)]])</f>
        <v>277.42086</v>
      </c>
    </row>
    <row r="62" spans="1:4" x14ac:dyDescent="0.15">
      <c r="A62" t="s">
        <v>1408</v>
      </c>
      <c r="B62" t="s">
        <v>735</v>
      </c>
      <c r="C62">
        <v>1023.91668299999</v>
      </c>
      <c r="D62">
        <f>IF(IFERROR(MATCH(metaboliteInfo[[#This Row],[name w/o location]],{"atp","ctp","gtp","utp","datp","dctp","dgtp","dttp"},0),0)&gt;0,metaboliteInfo[[#This Row],[MW (g/mol)]]-174.951262,metaboliteInfo[[#This Row],[MW (g/mol)]])</f>
        <v>1023.91668299999</v>
      </c>
    </row>
    <row r="63" spans="1:4" x14ac:dyDescent="0.15">
      <c r="A63" t="s">
        <v>666</v>
      </c>
      <c r="B63" t="s">
        <v>735</v>
      </c>
      <c r="C63">
        <v>283.46850000000001</v>
      </c>
      <c r="D63">
        <f>IF(IFERROR(MATCH(metaboliteInfo[[#This Row],[name w/o location]],{"atp","ctp","gtp","utp","datp","dctp","dgtp","dttp"},0),0)&gt;0,metaboliteInfo[[#This Row],[MW (g/mol)]]-174.951262,metaboliteInfo[[#This Row],[MW (g/mol)]])</f>
        <v>283.46850000000001</v>
      </c>
    </row>
    <row r="64" spans="1:4" x14ac:dyDescent="0.15">
      <c r="A64" t="s">
        <v>1412</v>
      </c>
      <c r="B64" t="s">
        <v>735</v>
      </c>
      <c r="C64">
        <v>1027.948443</v>
      </c>
      <c r="D64">
        <f>IF(IFERROR(MATCH(metaboliteInfo[[#This Row],[name w/o location]],{"atp","ctp","gtp","utp","datp","dctp","dgtp","dttp"},0),0)&gt;0,metaboliteInfo[[#This Row],[MW (g/mol)]]-174.951262,metaboliteInfo[[#This Row],[MW (g/mol)]])</f>
        <v>1027.948443</v>
      </c>
    </row>
    <row r="65" spans="1:5" x14ac:dyDescent="0.15">
      <c r="A65" t="s">
        <v>1410</v>
      </c>
      <c r="B65" t="s">
        <v>735</v>
      </c>
      <c r="C65">
        <v>1029.9643229999999</v>
      </c>
      <c r="D65">
        <f>IF(IFERROR(MATCH(metaboliteInfo[[#This Row],[name w/o location]],{"atp","ctp","gtp","utp","datp","dctp","dgtp","dttp"},0),0)&gt;0,metaboliteInfo[[#This Row],[MW (g/mol)]]-174.951262,metaboliteInfo[[#This Row],[MW (g/mol)]])</f>
        <v>1029.9643229999999</v>
      </c>
    </row>
    <row r="66" spans="1:5" x14ac:dyDescent="0.15">
      <c r="A66" t="s">
        <v>667</v>
      </c>
      <c r="B66" t="s">
        <v>735</v>
      </c>
      <c r="C66">
        <v>281.45262000000002</v>
      </c>
      <c r="D66">
        <f>IF(IFERROR(MATCH(metaboliteInfo[[#This Row],[name w/o location]],{"atp","ctp","gtp","utp","datp","dctp","dgtp","dttp"},0),0)&gt;0,metaboliteInfo[[#This Row],[MW (g/mol)]]-174.951262,metaboliteInfo[[#This Row],[MW (g/mol)]])</f>
        <v>281.45262000000002</v>
      </c>
    </row>
    <row r="67" spans="1:5" x14ac:dyDescent="0.15">
      <c r="A67" t="s">
        <v>1413</v>
      </c>
      <c r="B67" t="s">
        <v>735</v>
      </c>
      <c r="C67">
        <v>1001.911163</v>
      </c>
      <c r="D67">
        <f>IF(IFERROR(MATCH(metaboliteInfo[[#This Row],[name w/o location]],{"atp","ctp","gtp","utp","datp","dctp","dgtp","dttp"},0),0)&gt;0,metaboliteInfo[[#This Row],[MW (g/mol)]]-174.951262,metaboliteInfo[[#This Row],[MW (g/mol)]])</f>
        <v>1001.911163</v>
      </c>
    </row>
    <row r="68" spans="1:5" x14ac:dyDescent="0.15">
      <c r="A68" t="s">
        <v>668</v>
      </c>
      <c r="B68" t="s">
        <v>735</v>
      </c>
      <c r="C68">
        <v>862.14885442176001</v>
      </c>
      <c r="D68">
        <f>IF(IFERROR(MATCH(metaboliteInfo[[#This Row],[name w/o location]],{"atp","ctp","gtp","utp","datp","dctp","dgtp","dttp"},0),0)&gt;0,metaboliteInfo[[#This Row],[MW (g/mol)]]-174.951262,metaboliteInfo[[#This Row],[MW (g/mol)]])</f>
        <v>862.14885442176001</v>
      </c>
    </row>
    <row r="69" spans="1:5" x14ac:dyDescent="0.15">
      <c r="A69" t="s">
        <v>669</v>
      </c>
      <c r="B69" t="s">
        <v>735</v>
      </c>
      <c r="C69">
        <v>786.16573442176002</v>
      </c>
      <c r="D69">
        <f>IF(IFERROR(MATCH(metaboliteInfo[[#This Row],[name w/o location]],{"atp","ctp","gtp","utp","datp","dctp","dgtp","dttp"},0),0)&gt;0,metaboliteInfo[[#This Row],[MW (g/mol)]]-174.951262,metaboliteInfo[[#This Row],[MW (g/mol)]])</f>
        <v>786.16573442176002</v>
      </c>
    </row>
    <row r="70" spans="1:5" x14ac:dyDescent="0.15">
      <c r="A70" t="s">
        <v>670</v>
      </c>
      <c r="B70" t="s">
        <v>735</v>
      </c>
      <c r="C70">
        <v>744.08599442176001</v>
      </c>
      <c r="D70">
        <f>IF(IFERROR(MATCH(metaboliteInfo[[#This Row],[name w/o location]],{"atp","ctp","gtp","utp","datp","dctp","dgtp","dttp"},0),0)&gt;0,metaboliteInfo[[#This Row],[MW (g/mol)]]-174.951262,metaboliteInfo[[#This Row],[MW (g/mol)]])</f>
        <v>744.08599442176001</v>
      </c>
    </row>
    <row r="71" spans="1:5" x14ac:dyDescent="0.15">
      <c r="A71" t="s">
        <v>671</v>
      </c>
      <c r="B71" t="s">
        <v>735</v>
      </c>
      <c r="C71">
        <v>786.07881442175994</v>
      </c>
      <c r="D71">
        <f>IF(IFERROR(MATCH(metaboliteInfo[[#This Row],[name w/o location]],{"atp","ctp","gtp","utp","datp","dctp","dgtp","dttp"},0),0)&gt;0,metaboliteInfo[[#This Row],[MW (g/mol)]]-174.951262,metaboliteInfo[[#This Row],[MW (g/mol)]])</f>
        <v>786.07881442175994</v>
      </c>
    </row>
    <row r="72" spans="1:5" x14ac:dyDescent="0.15">
      <c r="A72" t="s">
        <v>672</v>
      </c>
      <c r="B72" t="s">
        <v>735</v>
      </c>
      <c r="C72">
        <v>885.51292863263996</v>
      </c>
      <c r="D72">
        <f>IF(IFERROR(MATCH(metaboliteInfo[[#This Row],[name w/o location]],{"atp","ctp","gtp","utp","datp","dctp","dgtp","dttp"},0),0)&gt;0,metaboliteInfo[[#This Row],[MW (g/mol)]]-174.951262,metaboliteInfo[[#This Row],[MW (g/mol)]])</f>
        <v>885.51292863263996</v>
      </c>
    </row>
    <row r="73" spans="1:5" x14ac:dyDescent="0.15">
      <c r="A73" t="s">
        <v>673</v>
      </c>
      <c r="B73" t="s">
        <v>735</v>
      </c>
      <c r="C73">
        <v>367.62797999999998</v>
      </c>
      <c r="D73">
        <f>IF(IFERROR(MATCH(metaboliteInfo[[#This Row],[name w/o location]],{"atp","ctp","gtp","utp","datp","dctp","dgtp","dttp"},0),0)&gt;0,metaboliteInfo[[#This Row],[MW (g/mol)]]-174.951262,metaboliteInfo[[#This Row],[MW (g/mol)]])</f>
        <v>367.62797999999998</v>
      </c>
    </row>
    <row r="74" spans="1:5" x14ac:dyDescent="0.15">
      <c r="A74" t="s">
        <v>1411</v>
      </c>
      <c r="B74" t="s">
        <v>735</v>
      </c>
      <c r="C74">
        <v>1114.123803</v>
      </c>
      <c r="D74">
        <f>IF(IFERROR(MATCH(metaboliteInfo[[#This Row],[name w/o location]],{"atp","ctp","gtp","utp","datp","dctp","dgtp","dttp"},0),0)&gt;0,metaboliteInfo[[#This Row],[MW (g/mol)]]-174.951262,metaboliteInfo[[#This Row],[MW (g/mol)]])</f>
        <v>1114.123803</v>
      </c>
    </row>
    <row r="75" spans="1:5" x14ac:dyDescent="0.15">
      <c r="A75" t="s">
        <v>810</v>
      </c>
      <c r="B75" t="s">
        <v>735</v>
      </c>
      <c r="C75">
        <v>144970.98955999999</v>
      </c>
      <c r="D75">
        <f>IF(IFERROR(MATCH(metaboliteInfo[[#This Row],[name w/o location]],{"atp","ctp","gtp","utp","datp","dctp","dgtp","dttp"},0),0)&gt;0,metaboliteInfo[[#This Row],[MW (g/mol)]]-174.951262,metaboliteInfo[[#This Row],[MW (g/mol)]])</f>
        <v>144970.98955999999</v>
      </c>
    </row>
    <row r="76" spans="1:5" x14ac:dyDescent="0.15">
      <c r="A76" t="s">
        <v>811</v>
      </c>
      <c r="B76" t="s">
        <v>735</v>
      </c>
      <c r="C76">
        <v>396.648359999999</v>
      </c>
      <c r="D76">
        <f>IF(IFERROR(MATCH(metaboliteInfo[[#This Row],[name w/o location]],{"atp","ctp","gtp","utp","datp","dctp","dgtp","dttp"},0),0)&gt;0,metaboliteInfo[[#This Row],[MW (g/mol)]]-174.951262,metaboliteInfo[[#This Row],[MW (g/mol)]])</f>
        <v>396.648359999999</v>
      </c>
    </row>
    <row r="77" spans="1:5" x14ac:dyDescent="0.15">
      <c r="A77" t="s">
        <v>812</v>
      </c>
      <c r="B77" t="s">
        <v>735</v>
      </c>
      <c r="C77">
        <v>660.083753333299</v>
      </c>
      <c r="D77">
        <f>IF(IFERROR(MATCH(metaboliteInfo[[#This Row],[name w/o location]],{"atp","ctp","gtp","utp","datp","dctp","dgtp","dttp"},0),0)&gt;0,metaboliteInfo[[#This Row],[MW (g/mol)]]-174.951262,metaboliteInfo[[#This Row],[MW (g/mol)]])</f>
        <v>660.083753333299</v>
      </c>
      <c r="E77" t="s">
        <v>1364</v>
      </c>
    </row>
    <row r="78" spans="1:5" x14ac:dyDescent="0.15">
      <c r="A78" t="s">
        <v>1307</v>
      </c>
      <c r="B78" t="s">
        <v>735</v>
      </c>
      <c r="C78">
        <v>318.08587999999997</v>
      </c>
      <c r="D78">
        <f>IF(IFERROR(MATCH(metaboliteInfo[[#This Row],[name w/o location]],{"atp","ctp","gtp","utp","datp","dctp","dgtp","dttp"},0),0)&gt;0,metaboliteInfo[[#This Row],[MW (g/mol)]]-174.951262,metaboliteInfo[[#This Row],[MW (g/mol)]])</f>
        <v>318.08587999999997</v>
      </c>
    </row>
    <row r="79" spans="1:5" x14ac:dyDescent="0.15">
      <c r="A79" t="s">
        <v>1308</v>
      </c>
      <c r="B79" t="s">
        <v>735</v>
      </c>
      <c r="C79">
        <v>317.07794000000001</v>
      </c>
      <c r="D79">
        <f>IF(IFERROR(MATCH(metaboliteInfo[[#This Row],[name w/o location]],{"atp","ctp","gtp","utp","datp","dctp","dgtp","dttp"},0),0)&gt;0,metaboliteInfo[[#This Row],[MW (g/mol)]]-174.951262,metaboliteInfo[[#This Row],[MW (g/mol)]])</f>
        <v>317.07794000000001</v>
      </c>
    </row>
    <row r="80" spans="1:5" x14ac:dyDescent="0.15">
      <c r="A80" t="s">
        <v>674</v>
      </c>
      <c r="B80" t="s">
        <v>736</v>
      </c>
      <c r="C80">
        <v>40.078000000000003</v>
      </c>
      <c r="D80">
        <f>IF(IFERROR(MATCH(metaboliteInfo[[#This Row],[name w/o location]],{"atp","ctp","gtp","utp","datp","dctp","dgtp","dttp"},0),0)&gt;0,metaboliteInfo[[#This Row],[MW (g/mol)]]-174.951262,metaboliteInfo[[#This Row],[MW (g/mol)]])</f>
        <v>40.078000000000003</v>
      </c>
    </row>
    <row r="81" spans="1:5" x14ac:dyDescent="0.15">
      <c r="A81" t="s">
        <v>675</v>
      </c>
      <c r="B81" t="s">
        <v>736</v>
      </c>
      <c r="C81">
        <v>63.545999999999999</v>
      </c>
      <c r="D81">
        <f>IF(IFERROR(MATCH(metaboliteInfo[[#This Row],[name w/o location]],{"atp","ctp","gtp","utp","datp","dctp","dgtp","dttp"},0),0)&gt;0,metaboliteInfo[[#This Row],[MW (g/mol)]]-174.951262,metaboliteInfo[[#This Row],[MW (g/mol)]])</f>
        <v>63.545999999999999</v>
      </c>
    </row>
    <row r="82" spans="1:5" x14ac:dyDescent="0.15">
      <c r="A82" t="s">
        <v>676</v>
      </c>
      <c r="B82" t="s">
        <v>736</v>
      </c>
      <c r="C82">
        <v>55.844999999999999</v>
      </c>
      <c r="D82">
        <f>IF(IFERROR(MATCH(metaboliteInfo[[#This Row],[name w/o location]],{"atp","ctp","gtp","utp","datp","dctp","dgtp","dttp"},0),0)&gt;0,metaboliteInfo[[#This Row],[MW (g/mol)]]-174.951262,metaboliteInfo[[#This Row],[MW (g/mol)]])</f>
        <v>55.844999999999999</v>
      </c>
    </row>
    <row r="83" spans="1:5" x14ac:dyDescent="0.15">
      <c r="A83" t="s">
        <v>677</v>
      </c>
      <c r="B83" t="s">
        <v>736</v>
      </c>
      <c r="C83">
        <v>39.098300000000002</v>
      </c>
      <c r="D83">
        <f>IF(IFERROR(MATCH(metaboliteInfo[[#This Row],[name w/o location]],{"atp","ctp","gtp","utp","datp","dctp","dgtp","dttp"},0),0)&gt;0,metaboliteInfo[[#This Row],[MW (g/mol)]]-174.951262,metaboliteInfo[[#This Row],[MW (g/mol)]])</f>
        <v>39.098300000000002</v>
      </c>
    </row>
    <row r="84" spans="1:5" x14ac:dyDescent="0.15">
      <c r="A84" t="s">
        <v>678</v>
      </c>
      <c r="B84" t="s">
        <v>736</v>
      </c>
      <c r="C84">
        <v>24.305</v>
      </c>
      <c r="D84">
        <f>IF(IFERROR(MATCH(metaboliteInfo[[#This Row],[name w/o location]],{"atp","ctp","gtp","utp","datp","dctp","dgtp","dttp"},0),0)&gt;0,metaboliteInfo[[#This Row],[MW (g/mol)]]-174.951262,metaboliteInfo[[#This Row],[MW (g/mol)]])</f>
        <v>24.305</v>
      </c>
    </row>
    <row r="85" spans="1:5" x14ac:dyDescent="0.15">
      <c r="A85" t="s">
        <v>679</v>
      </c>
      <c r="B85" t="s">
        <v>736</v>
      </c>
      <c r="C85">
        <v>54.938043999999998</v>
      </c>
      <c r="D85">
        <f>IF(IFERROR(MATCH(metaboliteInfo[[#This Row],[name w/o location]],{"atp","ctp","gtp","utp","datp","dctp","dgtp","dttp"},0),0)&gt;0,metaboliteInfo[[#This Row],[MW (g/mol)]]-174.951262,metaboliteInfo[[#This Row],[MW (g/mol)]])</f>
        <v>54.938043999999998</v>
      </c>
    </row>
    <row r="86" spans="1:5" x14ac:dyDescent="0.15">
      <c r="A86" t="s">
        <v>680</v>
      </c>
      <c r="B86" t="s">
        <v>736</v>
      </c>
      <c r="C86">
        <v>65.38</v>
      </c>
      <c r="D86">
        <f>IF(IFERROR(MATCH(metaboliteInfo[[#This Row],[name w/o location]],{"atp","ctp","gtp","utp","datp","dctp","dgtp","dttp"},0),0)&gt;0,metaboliteInfo[[#This Row],[MW (g/mol)]]-174.951262,metaboliteInfo[[#This Row],[MW (g/mol)]])</f>
        <v>65.38</v>
      </c>
    </row>
    <row r="87" spans="1:5" x14ac:dyDescent="0.15">
      <c r="A87" t="s">
        <v>813</v>
      </c>
      <c r="B87" t="s">
        <v>736</v>
      </c>
      <c r="C87">
        <v>55.844999999999999</v>
      </c>
      <c r="D87">
        <f>IF(IFERROR(MATCH(metaboliteInfo[[#This Row],[name w/o location]],{"atp","ctp","gtp","utp","datp","dctp","dgtp","dttp"},0),0)&gt;0,metaboliteInfo[[#This Row],[MW (g/mol)]]-174.951262,metaboliteInfo[[#This Row],[MW (g/mol)]])</f>
        <v>55.844999999999999</v>
      </c>
    </row>
    <row r="88" spans="1:5" x14ac:dyDescent="0.15">
      <c r="A88" t="s">
        <v>809</v>
      </c>
      <c r="B88" t="s">
        <v>806</v>
      </c>
      <c r="C88">
        <v>328.19800099999998</v>
      </c>
      <c r="D88">
        <f>IF(IFERROR(MATCH(metaboliteInfo[[#This Row],[name w/o location]],{"atp","ctp","gtp","utp","datp","dctp","dgtp","dttp"},0),0)&gt;0,metaboliteInfo[[#This Row],[MW (g/mol)]]-174.951262,metaboliteInfo[[#This Row],[MW (g/mol)]])</f>
        <v>328.19800099999998</v>
      </c>
    </row>
    <row r="89" spans="1:5" x14ac:dyDescent="0.15">
      <c r="A89" t="s">
        <v>815</v>
      </c>
      <c r="B89" t="s">
        <v>806</v>
      </c>
      <c r="C89">
        <v>306.31554</v>
      </c>
      <c r="D89">
        <f>IF(IFERROR(MATCH(metaboliteInfo[[#This Row],[name w/o location]],{"atp","ctp","gtp","utp","datp","dctp","dgtp","dttp"},0),0)&gt;0,metaboliteInfo[[#This Row],[MW (g/mol)]]-174.951262,metaboliteInfo[[#This Row],[MW (g/mol)]])</f>
        <v>306.31554</v>
      </c>
      <c r="E89" t="s">
        <v>1297</v>
      </c>
    </row>
    <row r="90" spans="1:5" x14ac:dyDescent="0.15">
      <c r="A90" t="s">
        <v>817</v>
      </c>
      <c r="B90" t="s">
        <v>806</v>
      </c>
      <c r="C90">
        <v>455.42403999999999</v>
      </c>
      <c r="D90">
        <f>IF(IFERROR(MATCH(metaboliteInfo[[#This Row],[name w/o location]],{"atp","ctp","gtp","utp","datp","dctp","dgtp","dttp"},0),0)&gt;0,metaboliteInfo[[#This Row],[MW (g/mol)]]-174.951262,metaboliteInfo[[#This Row],[MW (g/mol)]])</f>
        <v>455.42403999999999</v>
      </c>
      <c r="E90" t="s">
        <v>1297</v>
      </c>
    </row>
    <row r="91" spans="1:5" x14ac:dyDescent="0.15">
      <c r="A91" t="s">
        <v>818</v>
      </c>
      <c r="B91" t="s">
        <v>806</v>
      </c>
      <c r="C91">
        <v>22.98977</v>
      </c>
      <c r="D91">
        <f>IF(IFERROR(MATCH(metaboliteInfo[[#This Row],[name w/o location]],{"atp","ctp","gtp","utp","datp","dctp","dgtp","dttp"},0),0)&gt;0,metaboliteInfo[[#This Row],[MW (g/mol)]]-174.951262,metaboliteInfo[[#This Row],[MW (g/mol)]])</f>
        <v>22.98977</v>
      </c>
      <c r="E91" t="s">
        <v>1297</v>
      </c>
    </row>
    <row r="92" spans="1:5" x14ac:dyDescent="0.15">
      <c r="A92" t="s">
        <v>819</v>
      </c>
      <c r="B92" t="s">
        <v>806</v>
      </c>
      <c r="C92">
        <v>69581.537779999999</v>
      </c>
      <c r="D92">
        <f>IF(IFERROR(MATCH(metaboliteInfo[[#This Row],[name w/o location]],{"atp","ctp","gtp","utp","datp","dctp","dgtp","dttp"},0),0)&gt;0,metaboliteInfo[[#This Row],[MW (g/mol)]]-174.951262,metaboliteInfo[[#This Row],[MW (g/mol)]])</f>
        <v>69581.537779999999</v>
      </c>
      <c r="E92" t="s">
        <v>1297</v>
      </c>
    </row>
    <row r="93" spans="1:5" x14ac:dyDescent="0.15">
      <c r="A93" t="s">
        <v>820</v>
      </c>
      <c r="B93" t="s">
        <v>806</v>
      </c>
      <c r="C93">
        <v>318.51510000000002</v>
      </c>
      <c r="D93">
        <f>IF(IFERROR(MATCH(metaboliteInfo[[#This Row],[name w/o location]],{"atp","ctp","gtp","utp","datp","dctp","dgtp","dttp"},0),0)&gt;0,metaboliteInfo[[#This Row],[MW (g/mol)]]-174.951262,metaboliteInfo[[#This Row],[MW (g/mol)]])</f>
        <v>318.51510000000002</v>
      </c>
      <c r="E93" t="s">
        <v>1297</v>
      </c>
    </row>
    <row r="94" spans="1:5" x14ac:dyDescent="0.15">
      <c r="A94" t="s">
        <v>821</v>
      </c>
      <c r="B94" t="s">
        <v>806</v>
      </c>
      <c r="C94">
        <v>90.167360000000002</v>
      </c>
      <c r="D94">
        <f>IF(IFERROR(MATCH(metaboliteInfo[[#This Row],[name w/o location]],{"atp","ctp","gtp","utp","datp","dctp","dgtp","dttp"},0),0)&gt;0,metaboliteInfo[[#This Row],[MW (g/mol)]]-174.951262,metaboliteInfo[[#This Row],[MW (g/mol)]])</f>
        <v>90.167360000000002</v>
      </c>
      <c r="E94" t="s">
        <v>1297</v>
      </c>
    </row>
    <row r="95" spans="1:5" x14ac:dyDescent="0.15">
      <c r="A95" t="s">
        <v>822</v>
      </c>
      <c r="B95" t="s">
        <v>806</v>
      </c>
      <c r="C95">
        <v>795.22648000000004</v>
      </c>
      <c r="D95">
        <f>IF(IFERROR(MATCH(metaboliteInfo[[#This Row],[name w/o location]],{"atp","ctp","gtp","utp","datp","dctp","dgtp","dttp"},0),0)&gt;0,metaboliteInfo[[#This Row],[MW (g/mol)]]-174.951262,metaboliteInfo[[#This Row],[MW (g/mol)]])</f>
        <v>795.22648000000004</v>
      </c>
      <c r="E95" t="s">
        <v>1297</v>
      </c>
    </row>
    <row r="96" spans="1:5" x14ac:dyDescent="0.15">
      <c r="A96" t="s">
        <v>824</v>
      </c>
      <c r="B96" t="s">
        <v>806</v>
      </c>
      <c r="C96">
        <v>384.63765999999998</v>
      </c>
      <c r="D96">
        <f>IF(IFERROR(MATCH(metaboliteInfo[[#This Row],[name w/o location]],{"atp","ctp","gtp","utp","datp","dctp","dgtp","dttp"},0),0)&gt;0,metaboliteInfo[[#This Row],[MW (g/mol)]]-174.951262,metaboliteInfo[[#This Row],[MW (g/mol)]])</f>
        <v>384.63765999999998</v>
      </c>
      <c r="E96" t="s">
        <v>1297</v>
      </c>
    </row>
    <row r="97" spans="1:5" x14ac:dyDescent="0.15">
      <c r="A97" t="s">
        <v>825</v>
      </c>
      <c r="B97" t="s">
        <v>806</v>
      </c>
      <c r="C97">
        <v>64359.575239999998</v>
      </c>
      <c r="D97">
        <f>IF(IFERROR(MATCH(metaboliteInfo[[#This Row],[name w/o location]],{"atp","ctp","gtp","utp","datp","dctp","dgtp","dttp"},0),0)&gt;0,metaboliteInfo[[#This Row],[MW (g/mol)]]-174.951262,metaboliteInfo[[#This Row],[MW (g/mol)]])</f>
        <v>64359.575239999998</v>
      </c>
      <c r="E97" t="s">
        <v>1297</v>
      </c>
    </row>
    <row r="98" spans="1:5" x14ac:dyDescent="0.15">
      <c r="A98" t="s">
        <v>1407</v>
      </c>
      <c r="B98" t="s">
        <v>806</v>
      </c>
      <c r="C98">
        <v>44.009500000000003</v>
      </c>
      <c r="D98">
        <f>IF(IFERROR(MATCH(metaboliteInfo[[#This Row],[name w/o location]],{"atp","ctp","gtp","utp","datp","dctp","dgtp","dttp"},0),0)&gt;0,metaboliteInfo[[#This Row],[MW (g/mol)]]-174.951262,metaboliteInfo[[#This Row],[MW (g/mol)]])</f>
        <v>44.009500000000003</v>
      </c>
    </row>
    <row r="99" spans="1:5" x14ac:dyDescent="0.15">
      <c r="A99" t="s">
        <v>1415</v>
      </c>
      <c r="B99" t="s">
        <v>806</v>
      </c>
      <c r="C99">
        <v>31.998799999999999</v>
      </c>
      <c r="D99">
        <f>IF(IFERROR(MATCH(metaboliteInfo[[#This Row],[name w/o location]],{"atp","ctp","gtp","utp","datp","dctp","dgtp","dttp"},0),0)&gt;0,metaboliteInfo[[#This Row],[MW (g/mol)]]-174.951262,metaboliteInfo[[#This Row],[MW (g/mol)]])</f>
        <v>31.998799999999999</v>
      </c>
    </row>
    <row r="100" spans="1:5" x14ac:dyDescent="0.15">
      <c r="A100" t="s">
        <v>681</v>
      </c>
      <c r="B100" t="s">
        <v>737</v>
      </c>
      <c r="C100">
        <v>95.979301000000007</v>
      </c>
      <c r="D100">
        <f>IF(IFERROR(MATCH(metaboliteInfo[[#This Row],[name w/o location]],{"atp","ctp","gtp","utp","datp","dctp","dgtp","dttp"},0),0)&gt;0,metaboliteInfo[[#This Row],[MW (g/mol)]]-174.951262,metaboliteInfo[[#This Row],[MW (g/mol)]])</f>
        <v>95.979301000000007</v>
      </c>
    </row>
    <row r="101" spans="1:5" x14ac:dyDescent="0.15">
      <c r="A101" t="s">
        <v>682</v>
      </c>
      <c r="B101" t="s">
        <v>738</v>
      </c>
      <c r="C101">
        <v>72.085840000000005</v>
      </c>
      <c r="D101">
        <f>IF(IFERROR(MATCH(metaboliteInfo[[#This Row],[name w/o location]],{"atp","ctp","gtp","utp","datp","dctp","dgtp","dttp"},0),0)&gt;0,metaboliteInfo[[#This Row],[MW (g/mol)]]-174.951262,metaboliteInfo[[#This Row],[MW (g/mol)]])</f>
        <v>72.085840000000005</v>
      </c>
    </row>
    <row r="102" spans="1:5" x14ac:dyDescent="0.15">
      <c r="A102" t="s">
        <v>683</v>
      </c>
      <c r="B102" t="s">
        <v>738</v>
      </c>
      <c r="C102">
        <v>158.20156</v>
      </c>
      <c r="D102">
        <f>IF(IFERROR(MATCH(metaboliteInfo[[#This Row],[name w/o location]],{"atp","ctp","gtp","utp","datp","dctp","dgtp","dttp"},0),0)&gt;0,metaboliteInfo[[#This Row],[MW (g/mol)]]-174.951262,metaboliteInfo[[#This Row],[MW (g/mol)]])</f>
        <v>158.20156</v>
      </c>
    </row>
    <row r="103" spans="1:5" x14ac:dyDescent="0.15">
      <c r="A103" t="s">
        <v>684</v>
      </c>
      <c r="B103" t="s">
        <v>738</v>
      </c>
      <c r="C103">
        <v>115.11058</v>
      </c>
      <c r="D103">
        <f>IF(IFERROR(MATCH(metaboliteInfo[[#This Row],[name w/o location]],{"atp","ctp","gtp","utp","datp","dctp","dgtp","dttp"},0),0)&gt;0,metaboliteInfo[[#This Row],[MW (g/mol)]]-174.951262,metaboliteInfo[[#This Row],[MW (g/mol)]])</f>
        <v>115.11058</v>
      </c>
    </row>
    <row r="104" spans="1:5" x14ac:dyDescent="0.15">
      <c r="A104" t="s">
        <v>685</v>
      </c>
      <c r="B104" t="s">
        <v>738</v>
      </c>
      <c r="C104">
        <v>115.0874</v>
      </c>
      <c r="D104">
        <f>IF(IFERROR(MATCH(metaboliteInfo[[#This Row],[name w/o location]],{"atp","ctp","gtp","utp","datp","dctp","dgtp","dttp"},0),0)&gt;0,metaboliteInfo[[#This Row],[MW (g/mol)]]-174.951262,metaboliteInfo[[#This Row],[MW (g/mol)]])</f>
        <v>115.0874</v>
      </c>
    </row>
    <row r="105" spans="1:5" x14ac:dyDescent="0.15">
      <c r="A105" t="s">
        <v>686</v>
      </c>
      <c r="B105" t="s">
        <v>738</v>
      </c>
      <c r="C105">
        <v>104.15084</v>
      </c>
      <c r="D105">
        <f>IF(IFERROR(MATCH(metaboliteInfo[[#This Row],[name w/o location]],{"atp","ctp","gtp","utp","datp","dctp","dgtp","dttp"},0),0)&gt;0,metaboliteInfo[[#This Row],[MW (g/mol)]]-174.951262,metaboliteInfo[[#This Row],[MW (g/mol)]])</f>
        <v>104.15084</v>
      </c>
    </row>
    <row r="106" spans="1:5" x14ac:dyDescent="0.15">
      <c r="A106" t="s">
        <v>687</v>
      </c>
      <c r="B106" t="s">
        <v>738</v>
      </c>
      <c r="C106">
        <v>129.13715999999999</v>
      </c>
      <c r="D106">
        <f>IF(IFERROR(MATCH(metaboliteInfo[[#This Row],[name w/o location]],{"atp","ctp","gtp","utp","datp","dctp","dgtp","dttp"},0),0)&gt;0,metaboliteInfo[[#This Row],[MW (g/mol)]]-174.951262,metaboliteInfo[[#This Row],[MW (g/mol)]])</f>
        <v>129.13715999999999</v>
      </c>
    </row>
    <row r="107" spans="1:5" x14ac:dyDescent="0.15">
      <c r="A107" t="s">
        <v>688</v>
      </c>
      <c r="B107" t="s">
        <v>738</v>
      </c>
      <c r="C107">
        <v>129.11398</v>
      </c>
      <c r="D107">
        <f>IF(IFERROR(MATCH(metaboliteInfo[[#This Row],[name w/o location]],{"atp","ctp","gtp","utp","datp","dctp","dgtp","dttp"},0),0)&gt;0,metaboliteInfo[[#This Row],[MW (g/mol)]]-174.951262,metaboliteInfo[[#This Row],[MW (g/mol)]])</f>
        <v>129.11398</v>
      </c>
    </row>
    <row r="108" spans="1:5" x14ac:dyDescent="0.15">
      <c r="A108" t="s">
        <v>689</v>
      </c>
      <c r="B108" t="s">
        <v>738</v>
      </c>
      <c r="C108">
        <v>58.059260000000002</v>
      </c>
      <c r="D108">
        <f>IF(IFERROR(MATCH(metaboliteInfo[[#This Row],[name w/o location]],{"atp","ctp","gtp","utp","datp","dctp","dgtp","dttp"},0),0)&gt;0,metaboliteInfo[[#This Row],[MW (g/mol)]]-174.951262,metaboliteInfo[[#This Row],[MW (g/mol)]])</f>
        <v>58.059260000000002</v>
      </c>
    </row>
    <row r="109" spans="1:5" x14ac:dyDescent="0.15">
      <c r="A109" t="s">
        <v>690</v>
      </c>
      <c r="B109" t="s">
        <v>738</v>
      </c>
      <c r="C109">
        <v>138.14722</v>
      </c>
      <c r="D109">
        <f>IF(IFERROR(MATCH(metaboliteInfo[[#This Row],[name w/o location]],{"atp","ctp","gtp","utp","datp","dctp","dgtp","dttp"},0),0)&gt;0,metaboliteInfo[[#This Row],[MW (g/mol)]]-174.951262,metaboliteInfo[[#This Row],[MW (g/mol)]])</f>
        <v>138.14722</v>
      </c>
    </row>
    <row r="110" spans="1:5" x14ac:dyDescent="0.15">
      <c r="A110" t="s">
        <v>691</v>
      </c>
      <c r="B110" t="s">
        <v>738</v>
      </c>
      <c r="C110">
        <v>114.16558000000001</v>
      </c>
      <c r="D110">
        <f>IF(IFERROR(MATCH(metaboliteInfo[[#This Row],[name w/o location]],{"atp","ctp","gtp","utp","datp","dctp","dgtp","dttp"},0),0)&gt;0,metaboliteInfo[[#This Row],[MW (g/mol)]]-174.951262,metaboliteInfo[[#This Row],[MW (g/mol)]])</f>
        <v>114.16558000000001</v>
      </c>
    </row>
    <row r="111" spans="1:5" x14ac:dyDescent="0.15">
      <c r="A111" t="s">
        <v>692</v>
      </c>
      <c r="B111" t="s">
        <v>738</v>
      </c>
      <c r="C111">
        <v>114.16558000000001</v>
      </c>
      <c r="D111">
        <f>IF(IFERROR(MATCH(metaboliteInfo[[#This Row],[name w/o location]],{"atp","ctp","gtp","utp","datp","dctp","dgtp","dttp"},0),0)&gt;0,metaboliteInfo[[#This Row],[MW (g/mol)]]-174.951262,metaboliteInfo[[#This Row],[MW (g/mol)]])</f>
        <v>114.16558000000001</v>
      </c>
    </row>
    <row r="112" spans="1:5" x14ac:dyDescent="0.15">
      <c r="A112" t="s">
        <v>693</v>
      </c>
      <c r="B112" t="s">
        <v>738</v>
      </c>
      <c r="C112">
        <v>130.18816000000001</v>
      </c>
      <c r="D112">
        <f>IF(IFERROR(MATCH(metaboliteInfo[[#This Row],[name w/o location]],{"atp","ctp","gtp","utp","datp","dctp","dgtp","dttp"},0),0)&gt;0,metaboliteInfo[[#This Row],[MW (g/mol)]]-174.951262,metaboliteInfo[[#This Row],[MW (g/mol)]])</f>
        <v>130.18816000000001</v>
      </c>
    </row>
    <row r="113" spans="1:4" x14ac:dyDescent="0.15">
      <c r="A113" t="s">
        <v>694</v>
      </c>
      <c r="B113" t="s">
        <v>738</v>
      </c>
      <c r="C113">
        <v>132.20400000000001</v>
      </c>
      <c r="D113">
        <f>IF(IFERROR(MATCH(metaboliteInfo[[#This Row],[name w/o location]],{"atp","ctp","gtp","utp","datp","dctp","dgtp","dttp"},0),0)&gt;0,metaboliteInfo[[#This Row],[MW (g/mol)]]-174.951262,metaboliteInfo[[#This Row],[MW (g/mol)]])</f>
        <v>132.20400000000001</v>
      </c>
    </row>
    <row r="114" spans="1:4" x14ac:dyDescent="0.15">
      <c r="A114" t="s">
        <v>695</v>
      </c>
      <c r="B114" t="s">
        <v>738</v>
      </c>
      <c r="C114">
        <v>148.18180000000001</v>
      </c>
      <c r="D114">
        <f>IF(IFERROR(MATCH(metaboliteInfo[[#This Row],[name w/o location]],{"atp","ctp","gtp","utp","datp","dctp","dgtp","dttp"},0),0)&gt;0,metaboliteInfo[[#This Row],[MW (g/mol)]]-174.951262,metaboliteInfo[[#This Row],[MW (g/mol)]])</f>
        <v>148.18180000000001</v>
      </c>
    </row>
    <row r="115" spans="1:4" x14ac:dyDescent="0.15">
      <c r="A115" t="s">
        <v>696</v>
      </c>
      <c r="B115" t="s">
        <v>738</v>
      </c>
      <c r="C115">
        <v>97.115179999999995</v>
      </c>
      <c r="D115">
        <f>IF(IFERROR(MATCH(metaboliteInfo[[#This Row],[name w/o location]],{"atp","ctp","gtp","utp","datp","dctp","dgtp","dttp"},0),0)&gt;0,metaboliteInfo[[#This Row],[MW (g/mol)]]-174.951262,metaboliteInfo[[#This Row],[MW (g/mol)]])</f>
        <v>97.115179999999995</v>
      </c>
    </row>
    <row r="116" spans="1:4" x14ac:dyDescent="0.15">
      <c r="A116" t="s">
        <v>697</v>
      </c>
      <c r="B116" t="s">
        <v>738</v>
      </c>
      <c r="C116">
        <v>88.085239999999999</v>
      </c>
      <c r="D116">
        <f>IF(IFERROR(MATCH(metaboliteInfo[[#This Row],[name w/o location]],{"atp","ctp","gtp","utp","datp","dctp","dgtp","dttp"},0),0)&gt;0,metaboliteInfo[[#This Row],[MW (g/mol)]]-174.951262,metaboliteInfo[[#This Row],[MW (g/mol)]])</f>
        <v>88.085239999999999</v>
      </c>
    </row>
    <row r="117" spans="1:4" x14ac:dyDescent="0.15">
      <c r="A117" t="s">
        <v>698</v>
      </c>
      <c r="B117" t="s">
        <v>738</v>
      </c>
      <c r="C117">
        <v>102.11181999999999</v>
      </c>
      <c r="D117">
        <f>IF(IFERROR(MATCH(metaboliteInfo[[#This Row],[name w/o location]],{"atp","ctp","gtp","utp","datp","dctp","dgtp","dttp"},0),0)&gt;0,metaboliteInfo[[#This Row],[MW (g/mol)]]-174.951262,metaboliteInfo[[#This Row],[MW (g/mol)]])</f>
        <v>102.11181999999999</v>
      </c>
    </row>
    <row r="118" spans="1:4" x14ac:dyDescent="0.15">
      <c r="A118" t="s">
        <v>699</v>
      </c>
      <c r="B118" t="s">
        <v>738</v>
      </c>
      <c r="C118">
        <v>187.21784</v>
      </c>
      <c r="D118">
        <f>IF(IFERROR(MATCH(metaboliteInfo[[#This Row],[name w/o location]],{"atp","ctp","gtp","utp","datp","dctp","dgtp","dttp"},0),0)&gt;0,metaboliteInfo[[#This Row],[MW (g/mol)]]-174.951262,metaboliteInfo[[#This Row],[MW (g/mol)]])</f>
        <v>187.21784</v>
      </c>
    </row>
    <row r="119" spans="1:4" x14ac:dyDescent="0.15">
      <c r="A119" t="s">
        <v>700</v>
      </c>
      <c r="B119" t="s">
        <v>738</v>
      </c>
      <c r="C119">
        <v>164.18119999999999</v>
      </c>
      <c r="D119">
        <f>IF(IFERROR(MATCH(metaboliteInfo[[#This Row],[name w/o location]],{"atp","ctp","gtp","utp","datp","dctp","dgtp","dttp"},0),0)&gt;0,metaboliteInfo[[#This Row],[MW (g/mol)]]-174.951262,metaboliteInfo[[#This Row],[MW (g/mol)]])</f>
        <v>164.18119999999999</v>
      </c>
    </row>
    <row r="120" spans="1:4" x14ac:dyDescent="0.15">
      <c r="A120" t="s">
        <v>701</v>
      </c>
      <c r="B120" t="s">
        <v>738</v>
      </c>
      <c r="C120">
        <v>100.139</v>
      </c>
      <c r="D120">
        <f>IF(IFERROR(MATCH(metaboliteInfo[[#This Row],[name w/o location]],{"atp","ctp","gtp","utp","datp","dctp","dgtp","dttp"},0),0)&gt;0,metaboliteInfo[[#This Row],[MW (g/mol)]]-174.951262,metaboliteInfo[[#This Row],[MW (g/mol)]])</f>
        <v>100.139</v>
      </c>
    </row>
    <row r="121" spans="1:4" x14ac:dyDescent="0.15">
      <c r="A121" t="s">
        <v>702</v>
      </c>
      <c r="B121" t="s">
        <v>275</v>
      </c>
      <c r="C121">
        <v>503.14926300000002</v>
      </c>
      <c r="D121">
        <f>IF(IFERROR(MATCH(metaboliteInfo[[#This Row],[name w/o location]],{"atp","ctp","gtp","utp","datp","dctp","dgtp","dttp"},0),0)&gt;0,metaboliteInfo[[#This Row],[MW (g/mol)]]-174.951262,metaboliteInfo[[#This Row],[MW (g/mol)]])</f>
        <v>328.19800099999998</v>
      </c>
    </row>
    <row r="122" spans="1:4" x14ac:dyDescent="0.15">
      <c r="A122" t="s">
        <v>703</v>
      </c>
      <c r="B122" t="s">
        <v>275</v>
      </c>
      <c r="C122">
        <v>479.12456300000002</v>
      </c>
      <c r="D122">
        <f>IF(IFERROR(MATCH(metaboliteInfo[[#This Row],[name w/o location]],{"atp","ctp","gtp","utp","datp","dctp","dgtp","dttp"},0),0)&gt;0,metaboliteInfo[[#This Row],[MW (g/mol)]]-174.951262,metaboliteInfo[[#This Row],[MW (g/mol)]])</f>
        <v>304.17330100000004</v>
      </c>
    </row>
    <row r="123" spans="1:4" x14ac:dyDescent="0.15">
      <c r="A123" t="s">
        <v>704</v>
      </c>
      <c r="B123" t="s">
        <v>275</v>
      </c>
      <c r="C123">
        <v>519.14866300000006</v>
      </c>
      <c r="D123">
        <f>IF(IFERROR(MATCH(metaboliteInfo[[#This Row],[name w/o location]],{"atp","ctp","gtp","utp","datp","dctp","dgtp","dttp"},0),0)&gt;0,metaboliteInfo[[#This Row],[MW (g/mol)]]-174.951262,metaboliteInfo[[#This Row],[MW (g/mol)]])</f>
        <v>344.19740100000001</v>
      </c>
    </row>
    <row r="124" spans="1:4" x14ac:dyDescent="0.15">
      <c r="A124" t="s">
        <v>705</v>
      </c>
      <c r="B124" t="s">
        <v>275</v>
      </c>
      <c r="C124">
        <v>480.10932300000002</v>
      </c>
      <c r="D124">
        <f>IF(IFERROR(MATCH(metaboliteInfo[[#This Row],[name w/o location]],{"atp","ctp","gtp","utp","datp","dctp","dgtp","dttp"},0),0)&gt;0,metaboliteInfo[[#This Row],[MW (g/mol)]]-174.951262,metaboliteInfo[[#This Row],[MW (g/mol)]])</f>
        <v>305.15806099999998</v>
      </c>
    </row>
    <row r="125" spans="1:4" x14ac:dyDescent="0.15">
      <c r="A125" t="s">
        <v>706</v>
      </c>
      <c r="B125" t="s">
        <v>739</v>
      </c>
      <c r="C125">
        <v>96.062600000000003</v>
      </c>
      <c r="D125">
        <f>IF(IFERROR(MATCH(metaboliteInfo[[#This Row],[name w/o location]],{"atp","ctp","gtp","utp","datp","dctp","dgtp","dttp"},0),0)&gt;0,metaboliteInfo[[#This Row],[MW (g/mol)]]-174.951262,metaboliteInfo[[#This Row],[MW (g/mol)]])</f>
        <v>96.062600000000003</v>
      </c>
    </row>
    <row r="126" spans="1:4" x14ac:dyDescent="0.15">
      <c r="A126" t="s">
        <v>637</v>
      </c>
      <c r="C126">
        <v>174.95126200000001</v>
      </c>
      <c r="D126">
        <f>IF(IFERROR(MATCH(metaboliteInfo[[#This Row],[name w/o location]],{"atp","ctp","gtp","utp","datp","dctp","dgtp","dttp"},0),0)&gt;0,metaboliteInfo[[#This Row],[MW (g/mol)]]-174.951262,metaboliteInfo[[#This Row],[MW (g/mol)]])</f>
        <v>174.95126200000001</v>
      </c>
    </row>
    <row r="127" spans="1:4" x14ac:dyDescent="0.15">
      <c r="A127" t="s">
        <v>1586</v>
      </c>
      <c r="B127" t="s">
        <v>734</v>
      </c>
      <c r="C127">
        <v>536.87264000000005</v>
      </c>
      <c r="D127">
        <f>IF(IFERROR(MATCH(metaboliteInfo[[#This Row],[name w/o location]],{"atp","ctp","gtp","utp","datp","dctp","dgtp","dttp"},0),0)&gt;0,metaboliteInfo[[#This Row],[MW (g/mol)]]-174.951262,metaboliteInfo[[#This Row],[MW (g/mol)]])</f>
        <v>536.87264000000005</v>
      </c>
    </row>
    <row r="128" spans="1:4" x14ac:dyDescent="0.15">
      <c r="A128" t="s">
        <v>1587</v>
      </c>
      <c r="B128" t="s">
        <v>734</v>
      </c>
      <c r="C128">
        <v>536.87264000000005</v>
      </c>
      <c r="D128">
        <f>IF(IFERROR(MATCH(metaboliteInfo[[#This Row],[name w/o location]],{"atp","ctp","gtp","utp","datp","dctp","dgtp","dttp"},0),0)&gt;0,metaboliteInfo[[#This Row],[MW (g/mol)]]-174.951262,metaboliteInfo[[#This Row],[MW (g/mol)]])</f>
        <v>536.87264000000005</v>
      </c>
    </row>
    <row r="129" spans="1:4" x14ac:dyDescent="0.15">
      <c r="A129" t="s">
        <v>1588</v>
      </c>
      <c r="B129" t="s">
        <v>734</v>
      </c>
      <c r="C129">
        <v>534.85676000000001</v>
      </c>
      <c r="D129">
        <f>IF(IFERROR(MATCH(metaboliteInfo[[#This Row],[name w/o location]],{"atp","ctp","gtp","utp","datp","dctp","dgtp","dttp"},0),0)&gt;0,metaboliteInfo[[#This Row],[MW (g/mol)]]-174.951262,metaboliteInfo[[#This Row],[MW (g/mol)]])</f>
        <v>534.85676000000001</v>
      </c>
    </row>
    <row r="130" spans="1:4" x14ac:dyDescent="0.15">
      <c r="A130" t="s">
        <v>1589</v>
      </c>
      <c r="B130" t="s">
        <v>734</v>
      </c>
      <c r="C130">
        <v>564.83967999999902</v>
      </c>
      <c r="D130">
        <f>IF(IFERROR(MATCH(metaboliteInfo[[#This Row],[name w/o location]],{"atp","ctp","gtp","utp","datp","dctp","dgtp","dttp"},0),0)&gt;0,metaboliteInfo[[#This Row],[MW (g/mol)]]-174.951262,metaboliteInfo[[#This Row],[MW (g/mol)]])</f>
        <v>564.83967999999902</v>
      </c>
    </row>
  </sheetData>
  <mergeCells count="1">
    <mergeCell ref="A1:C1"/>
  </mergeCells>
  <pageMargins left="0.7" right="0.7" top="0.75" bottom="0.75" header="0.3" footer="0.3"/>
  <pageSetup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07E660-BA2B-CB47-860B-1A8419DD71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64556</TotalTime>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RBABiomass-NOvarbiom-release2</vt:lpstr>
      <vt:lpstr>RBABiomass-Novarbiom-nlim</vt:lpstr>
      <vt:lpstr>batch-Pinheiro</vt:lpstr>
      <vt:lpstr>batch-Rabinowitz+Pinheiro-macro</vt:lpstr>
      <vt:lpstr>batch-Rabinowitz</vt:lpstr>
      <vt:lpstr>batch-Rabinowitz-updates-to-GSM</vt:lpstr>
      <vt:lpstr>batch-Rabinowitz-updates-to (2)</vt:lpstr>
      <vt:lpstr>chemo-clim-Rabinowitz</vt:lpstr>
      <vt:lpstr>release2-to-chemo-c-lim</vt:lpstr>
      <vt:lpstr>chemo-nlim-Rabinowitz</vt:lpstr>
      <vt:lpstr>release2-to-chemo-n-lim</vt:lpstr>
      <vt:lpstr>Kim-et-al-2020</vt:lpstr>
      <vt:lpstr>Kim-equation-conversion</vt:lpstr>
      <vt:lpstr>oldBiomass-RBABioRxns</vt:lpstr>
      <vt:lpstr>oldBiomass-Rabinowitz-clim</vt:lpstr>
      <vt:lpstr>metaboliteInfo</vt:lpstr>
      <vt:lpstr>'batch-Pinheiro'!tbl_mets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Mooney, Eric James</cp:lastModifiedBy>
  <cp:revision>1727</cp:revision>
  <dcterms:created xsi:type="dcterms:W3CDTF">2018-09-17T14:07:15Z</dcterms:created>
  <dcterms:modified xsi:type="dcterms:W3CDTF">2025-06-02T21:53:18Z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