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8BiomRebuild" sheetId="1" state="visible" r:id="rId2"/>
    <sheet name="Y8BiomRebuildCalc" sheetId="2" state="visible" r:id="rId3"/>
    <sheet name="Yeast8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<sst xmlns="http://schemas.openxmlformats.org/spreadsheetml/2006/main" count="875" uniqueCount="413">
  <si>
    <t xml:space="preserve">Metabolite</t>
  </si>
  <si>
    <t xml:space="preserve">Coeff</t>
  </si>
  <si>
    <t xml:space="preserve">Formula</t>
  </si>
  <si>
    <t xml:space="preserve">MW</t>
  </si>
  <si>
    <t xml:space="preserve">%wt.</t>
  </si>
  <si>
    <t xml:space="preserve">Remarks</t>
  </si>
  <si>
    <t xml:space="preserve">Total %</t>
  </si>
  <si>
    <t xml:space="preserve">Check sum</t>
  </si>
  <si>
    <t xml:space="preserve">Balance marks</t>
  </si>
  <si>
    <t xml:space="preserve">Check calculation</t>
  </si>
  <si>
    <t xml:space="preserve">Protein</t>
  </si>
  <si>
    <t xml:space="preserve">++</t>
  </si>
  <si>
    <t xml:space="preserve">Split H2O out thus minus H2O out fraction for %wt </t>
  </si>
  <si>
    <t xml:space="preserve">Biomass MW</t>
  </si>
  <si>
    <t xml:space="preserve">Biomass reaction</t>
  </si>
  <si>
    <t xml:space="preserve">Reference</t>
  </si>
  <si>
    <t xml:space="preserve">Lange and Heijnen. 2001</t>
  </si>
  <si>
    <t xml:space="preserve">Statistical Reconciliation of the Elemental and Molecular Biomass Composition of Saccharomyces cerevisiae</t>
  </si>
  <si>
    <t xml:space="preserve">Klis et. al. 2014</t>
  </si>
  <si>
    <t xml:space="preserve">Cell Wall-Related Bionumbers and Bioestimates of Saccharomyces cerevisiae and Candida albicans</t>
  </si>
  <si>
    <t xml:space="preserve">Yeast8.3.4 model</t>
  </si>
  <si>
    <t xml:space="preserve">Forster2003</t>
  </si>
  <si>
    <t xml:space="preserve">Carbohydrate</t>
  </si>
  <si>
    <t xml:space="preserve">Lipid</t>
  </si>
  <si>
    <t xml:space="preserve">Formula of lipid constituents were not reported due to the complex composition of acyl groups. In the model, “Acyl” was a formula to reflect this. Molecular weight was calculated based on acyl group composition</t>
  </si>
  <si>
    <t xml:space="preserve">RNA</t>
  </si>
  <si>
    <t xml:space="preserve">#,@</t>
  </si>
  <si>
    <t xml:space="preserve">Split PPi out thus minus it for %wt RNA</t>
  </si>
  <si>
    <t xml:space="preserve">#</t>
  </si>
  <si>
    <t xml:space="preserve">DNA</t>
  </si>
  <si>
    <t xml:space="preserve">Split PPi out thus minus it for %wt DNA</t>
  </si>
  <si>
    <t xml:space="preserve">Metals</t>
  </si>
  <si>
    <t xml:space="preserve">Trace</t>
  </si>
  <si>
    <t xml:space="preserve">Sulphate</t>
  </si>
  <si>
    <t xml:space="preserve">Phosphate</t>
  </si>
  <si>
    <t xml:space="preserve">*</t>
  </si>
  <si>
    <t xml:space="preserve">atp_c</t>
  </si>
  <si>
    <t xml:space="preserve">C10H12N5O13P3</t>
  </si>
  <si>
    <t xml:space="preserve">Growth associated maintenance</t>
  </si>
  <si>
    <t xml:space="preserve">h2o_c</t>
  </si>
  <si>
    <t xml:space="preserve">H2O</t>
  </si>
  <si>
    <t xml:space="preserve">adp_c</t>
  </si>
  <si>
    <t xml:space="preserve">C10H12N5O10P2</t>
  </si>
  <si>
    <t xml:space="preserve">pi_c</t>
  </si>
  <si>
    <t xml:space="preserve">HO4P</t>
  </si>
  <si>
    <t xml:space="preserve">h_c</t>
  </si>
  <si>
    <t xml:space="preserve">H</t>
  </si>
  <si>
    <t xml:space="preserve">Final coefficient</t>
  </si>
  <si>
    <t xml:space="preserve">@</t>
  </si>
  <si>
    <t xml:space="preserve">ppi_c</t>
  </si>
  <si>
    <t xml:space="preserve">H1O7P2</t>
  </si>
  <si>
    <t xml:space="preserve">DNA and RNA pyrophosphate out</t>
  </si>
  <si>
    <t xml:space="preserve">trnaala_c</t>
  </si>
  <si>
    <t xml:space="preserve">trnaarg_c</t>
  </si>
  <si>
    <t xml:space="preserve">trnaasn_c</t>
  </si>
  <si>
    <t xml:space="preserve">trnaasp_c</t>
  </si>
  <si>
    <t xml:space="preserve">trnacys_c</t>
  </si>
  <si>
    <t xml:space="preserve">trnagln_c</t>
  </si>
  <si>
    <t xml:space="preserve">trnaglu_c</t>
  </si>
  <si>
    <t xml:space="preserve">trnagly_c</t>
  </si>
  <si>
    <t xml:space="preserve">trnahis_c</t>
  </si>
  <si>
    <t xml:space="preserve">trnaile_c</t>
  </si>
  <si>
    <t xml:space="preserve">trnaleu_c</t>
  </si>
  <si>
    <t xml:space="preserve">trnalys_c</t>
  </si>
  <si>
    <t xml:space="preserve">trnamet_c</t>
  </si>
  <si>
    <t xml:space="preserve">trnaphe_c</t>
  </si>
  <si>
    <t xml:space="preserve">trnapro_c</t>
  </si>
  <si>
    <t xml:space="preserve">trnaser_c</t>
  </si>
  <si>
    <t xml:space="preserve">trnathr_c</t>
  </si>
  <si>
    <t xml:space="preserve">trnatrp_c</t>
  </si>
  <si>
    <t xml:space="preserve">trnatyr_c</t>
  </si>
  <si>
    <t xml:space="preserve">trnaval_c</t>
  </si>
  <si>
    <t xml:space="preserve">Maranas Group – Penn State</t>
  </si>
  <si>
    <t xml:space="preserve">Hoang Dinh</t>
  </si>
  <si>
    <t xml:space="preserve">Establishment of S. cerevisiae GEM Biomass Equation</t>
  </si>
  <si>
    <t xml:space="preserve">BIOMASS MACROMOLECULE COMPOSITION</t>
  </si>
  <si>
    <t xml:space="preserve">COEFFICIENTS CALCULATION</t>
  </si>
  <si>
    <t xml:space="preserve">L&amp;H2001</t>
  </si>
  <si>
    <t xml:space="preserve">Y8BiomRebuild</t>
  </si>
  <si>
    <t xml:space="preserve">Amino acid</t>
  </si>
  <si>
    <t xml:space="preserve">in-tRNA-formula</t>
  </si>
  <si>
    <t xml:space="preserve">%mol</t>
  </si>
  <si>
    <t xml:space="preserve">%wt in biom</t>
  </si>
  <si>
    <t xml:space="preserve">MW without PPi</t>
  </si>
  <si>
    <t xml:space="preserve">AA formula</t>
  </si>
  <si>
    <t xml:space="preserve">AA MW</t>
  </si>
  <si>
    <t xml:space="preserve">fProtein</t>
  </si>
  <si>
    <t xml:space="preserve">rescaled</t>
  </si>
  <si>
    <t xml:space="preserve">ala__L_c</t>
  </si>
  <si>
    <t xml:space="preserve">C3H6NO</t>
  </si>
  <si>
    <t xml:space="preserve">C3H7N1O2</t>
  </si>
  <si>
    <t xml:space="preserve">fCarb</t>
  </si>
  <si>
    <t xml:space="preserve">arg__L_c</t>
  </si>
  <si>
    <t xml:space="preserve">C6H14N4O</t>
  </si>
  <si>
    <t xml:space="preserve">ctp_c</t>
  </si>
  <si>
    <t xml:space="preserve">C9H12N3O14P3</t>
  </si>
  <si>
    <t xml:space="preserve">C6H15N4O2</t>
  </si>
  <si>
    <t xml:space="preserve">fLipid</t>
  </si>
  <si>
    <t xml:space="preserve">asn__L_c</t>
  </si>
  <si>
    <t xml:space="preserve">C4H7N2O2</t>
  </si>
  <si>
    <t xml:space="preserve">gtp_c</t>
  </si>
  <si>
    <t xml:space="preserve">C10H12N5O14P3</t>
  </si>
  <si>
    <t xml:space="preserve">C4H8N2O3</t>
  </si>
  <si>
    <t xml:space="preserve">fRNA</t>
  </si>
  <si>
    <t xml:space="preserve">asp__L_c</t>
  </si>
  <si>
    <t xml:space="preserve">C4H5NO3</t>
  </si>
  <si>
    <t xml:space="preserve">utp_c</t>
  </si>
  <si>
    <t xml:space="preserve">C9H11N2O15P3</t>
  </si>
  <si>
    <t xml:space="preserve">C4H6N1O4</t>
  </si>
  <si>
    <t xml:space="preserve">fDNA</t>
  </si>
  <si>
    <t xml:space="preserve">cys__L_c</t>
  </si>
  <si>
    <t xml:space="preserve">C3H6NOS</t>
  </si>
  <si>
    <t xml:space="preserve">C3H7N1O2S1</t>
  </si>
  <si>
    <t xml:space="preserve">fPi</t>
  </si>
  <si>
    <t xml:space="preserve">as in experimental data</t>
  </si>
  <si>
    <t xml:space="preserve">gln__L_c</t>
  </si>
  <si>
    <t xml:space="preserve">C5H9N2O2</t>
  </si>
  <si>
    <t xml:space="preserve">C5H10N2O3</t>
  </si>
  <si>
    <t xml:space="preserve">fSO4</t>
  </si>
  <si>
    <t xml:space="preserve">glu__L_c</t>
  </si>
  <si>
    <t xml:space="preserve">C5H7NO3</t>
  </si>
  <si>
    <t xml:space="preserve">C5H8N1O4</t>
  </si>
  <si>
    <t xml:space="preserve">fWater</t>
  </si>
  <si>
    <t xml:space="preserve">gly_c</t>
  </si>
  <si>
    <t xml:space="preserve">C2H4NO</t>
  </si>
  <si>
    <t xml:space="preserve">datp_c</t>
  </si>
  <si>
    <t xml:space="preserve">C10H12N5O12P3</t>
  </si>
  <si>
    <t xml:space="preserve">C2H5N1O2</t>
  </si>
  <si>
    <t xml:space="preserve">fMetal</t>
  </si>
  <si>
    <t xml:space="preserve">his__L_c</t>
  </si>
  <si>
    <t xml:space="preserve">C6H8N3O</t>
  </si>
  <si>
    <t xml:space="preserve">dctp_c</t>
  </si>
  <si>
    <t xml:space="preserve">C9H12N3O13P3</t>
  </si>
  <si>
    <t xml:space="preserve">C6H9N3O2</t>
  </si>
  <si>
    <t xml:space="preserve">fTrace</t>
  </si>
  <si>
    <t xml:space="preserve">from yeast8</t>
  </si>
  <si>
    <t xml:space="preserve">ile__L_c</t>
  </si>
  <si>
    <t xml:space="preserve">C6H12NO</t>
  </si>
  <si>
    <t xml:space="preserve">dgtp_c</t>
  </si>
  <si>
    <t xml:space="preserve">C6H13N1O2</t>
  </si>
  <si>
    <t xml:space="preserve">leu__L_c</t>
  </si>
  <si>
    <t xml:space="preserve">dttp_c</t>
  </si>
  <si>
    <t xml:space="preserve">C10H13N2O14P3</t>
  </si>
  <si>
    <t xml:space="preserve">lys__L_c</t>
  </si>
  <si>
    <t xml:space="preserve">C6H14N2O</t>
  </si>
  <si>
    <t xml:space="preserve">C6H15N2O2</t>
  </si>
  <si>
    <t xml:space="preserve">met__L_c</t>
  </si>
  <si>
    <t xml:space="preserve">C5H10NOS</t>
  </si>
  <si>
    <t xml:space="preserve">Metal</t>
  </si>
  <si>
    <t xml:space="preserve">C5H11N1O2S1</t>
  </si>
  <si>
    <t xml:space="preserve">MACROMOLECULE SUB-SPECIES RELATIVE COMPOSITION DATA</t>
  </si>
  <si>
    <t xml:space="preserve">phe__L_c</t>
  </si>
  <si>
    <t xml:space="preserve">C9H10NO</t>
  </si>
  <si>
    <t xml:space="preserve">ca2_c</t>
  </si>
  <si>
    <t xml:space="preserve">Ca</t>
  </si>
  <si>
    <t xml:space="preserve">C9H11N1O2</t>
  </si>
  <si>
    <t xml:space="preserve">DNA composition (referenced in Forster 2003, from Vaughan-Martini, 1993)</t>
  </si>
  <si>
    <t xml:space="preserve">pro__L_c</t>
  </si>
  <si>
    <t xml:space="preserve">C5H7NO</t>
  </si>
  <si>
    <t xml:space="preserve">cu2_c</t>
  </si>
  <si>
    <t xml:space="preserve">Cu</t>
  </si>
  <si>
    <t xml:space="preserve">C5H9N1O2</t>
  </si>
  <si>
    <t xml:space="preserve">GC content (experimental)</t>
  </si>
  <si>
    <t xml:space="preserve">ser__L_c</t>
  </si>
  <si>
    <t xml:space="preserve">C3H6NO2</t>
  </si>
  <si>
    <t xml:space="preserve">fe2_c</t>
  </si>
  <si>
    <t xml:space="preserve">Fe</t>
  </si>
  <si>
    <t xml:space="preserve">C3H7N1O3</t>
  </si>
  <si>
    <t xml:space="preserve">thr__L_c</t>
  </si>
  <si>
    <t xml:space="preserve">C4H8NO2</t>
  </si>
  <si>
    <t xml:space="preserve">k_c</t>
  </si>
  <si>
    <t xml:space="preserve">K</t>
  </si>
  <si>
    <t xml:space="preserve">C4H9N1O3</t>
  </si>
  <si>
    <t xml:space="preserve">RNA composition (referenced in Forster 2003, from Oura 1972)</t>
  </si>
  <si>
    <t xml:space="preserve">trp__L_c</t>
  </si>
  <si>
    <t xml:space="preserve">C11H11N2O</t>
  </si>
  <si>
    <t xml:space="preserve">mg2_c</t>
  </si>
  <si>
    <t xml:space="preserve">Mg</t>
  </si>
  <si>
    <t xml:space="preserve">C11H12N2O2</t>
  </si>
  <si>
    <t xml:space="preserve">Base</t>
  </si>
  <si>
    <t xml:space="preserve">Composition</t>
  </si>
  <si>
    <t xml:space="preserve">tyr__L_c</t>
  </si>
  <si>
    <t xml:space="preserve">C9H10NO2</t>
  </si>
  <si>
    <t xml:space="preserve">mn2_c</t>
  </si>
  <si>
    <t xml:space="preserve">Mn</t>
  </si>
  <si>
    <t xml:space="preserve">C9H11N1O3</t>
  </si>
  <si>
    <t xml:space="preserve">A</t>
  </si>
  <si>
    <t xml:space="preserve">val__L_c</t>
  </si>
  <si>
    <t xml:space="preserve">C5H10NO</t>
  </si>
  <si>
    <t xml:space="preserve">zn2_c</t>
  </si>
  <si>
    <t xml:space="preserve">Zn</t>
  </si>
  <si>
    <t xml:space="preserve">C5H11N1O2</t>
  </si>
  <si>
    <t xml:space="preserve">C</t>
  </si>
  <si>
    <t xml:space="preserve">G</t>
  </si>
  <si>
    <t xml:space="preserve">Cell Wall</t>
  </si>
  <si>
    <t xml:space="preserve">U</t>
  </si>
  <si>
    <t xml:space="preserve">mannan_c</t>
  </si>
  <si>
    <t xml:space="preserve">C6H12O6</t>
  </si>
  <si>
    <t xml:space="preserve">Cell wall and carbohydrate composition</t>
  </si>
  <si>
    <t xml:space="preserve">13BDglucan_en</t>
  </si>
  <si>
    <t xml:space="preserve">C6H10O5</t>
  </si>
  <si>
    <t xml:space="preserve">Type</t>
  </si>
  <si>
    <t xml:space="preserve">%wt of cell wall from Klis2014</t>
  </si>
  <si>
    <t xml:space="preserve">%wt of biomass from Forster2003</t>
  </si>
  <si>
    <t xml:space="preserve">%wt of carb</t>
  </si>
  <si>
    <t xml:space="preserve">%wt of biomass</t>
  </si>
  <si>
    <t xml:space="preserve">16BDglucan_en</t>
  </si>
  <si>
    <t xml:space="preserve">coa_c</t>
  </si>
  <si>
    <t xml:space="preserve">C21H32N7O16P3S</t>
  </si>
  <si>
    <t xml:space="preserve">Mannan</t>
  </si>
  <si>
    <t xml:space="preserve">chtn_c</t>
  </si>
  <si>
    <t xml:space="preserve">C8H13NO5</t>
  </si>
  <si>
    <t xml:space="preserve">fad_c</t>
  </si>
  <si>
    <t xml:space="preserve">C27H30N9O15P2</t>
  </si>
  <si>
    <t xml:space="preserve">1,3-Glucan</t>
  </si>
  <si>
    <t xml:space="preserve">Glucan</t>
  </si>
  <si>
    <t xml:space="preserve">glycogen_c</t>
  </si>
  <si>
    <t xml:space="preserve">hemeA_c</t>
  </si>
  <si>
    <t xml:space="preserve">C49H56FeN4O6</t>
  </si>
  <si>
    <t xml:space="preserve">1,6-Glucan</t>
  </si>
  <si>
    <t xml:space="preserve">tre_c</t>
  </si>
  <si>
    <t xml:space="preserve">C12H22O11</t>
  </si>
  <si>
    <t xml:space="preserve">nad_c</t>
  </si>
  <si>
    <t xml:space="preserve">C21H26N7O14P2</t>
  </si>
  <si>
    <t xml:space="preserve">Chitin</t>
  </si>
  <si>
    <t xml:space="preserve">nadh_c</t>
  </si>
  <si>
    <t xml:space="preserve">C21H27N7O14P2</t>
  </si>
  <si>
    <t xml:space="preserve">Storage</t>
  </si>
  <si>
    <t xml:space="preserve">nadp_c</t>
  </si>
  <si>
    <t xml:space="preserve">C21H25N7O17P3</t>
  </si>
  <si>
    <t xml:space="preserve">nadph_c</t>
  </si>
  <si>
    <t xml:space="preserve">C21H26N7O17P3</t>
  </si>
  <si>
    <t xml:space="preserve">ergst161_rm</t>
  </si>
  <si>
    <t xml:space="preserve">C44H72O2</t>
  </si>
  <si>
    <t xml:space="preserve">ribflv_c</t>
  </si>
  <si>
    <t xml:space="preserve">C17H19N4O6</t>
  </si>
  <si>
    <t xml:space="preserve">(18.4% is the sum of 1,3-Glucan, 1,6-Glucan, and Chitin)</t>
  </si>
  <si>
    <t xml:space="preserve">ergst181_rm</t>
  </si>
  <si>
    <t xml:space="preserve">C46H76O2</t>
  </si>
  <si>
    <t xml:space="preserve">thf_c</t>
  </si>
  <si>
    <t xml:space="preserve">C19H23N7O6</t>
  </si>
  <si>
    <t xml:space="preserve">ergst_c</t>
  </si>
  <si>
    <t xml:space="preserve">C28H44O</t>
  </si>
  <si>
    <t xml:space="preserve">thmpp_c</t>
  </si>
  <si>
    <t xml:space="preserve">C12H18N4O7P2S</t>
  </si>
  <si>
    <t xml:space="preserve">hdca_c</t>
  </si>
  <si>
    <t xml:space="preserve">C16H31O2</t>
  </si>
  <si>
    <t xml:space="preserve">Total vitamin MW</t>
  </si>
  <si>
    <t xml:space="preserve">Amino acid composition (Lange and Heijnen. 2001)</t>
  </si>
  <si>
    <t xml:space="preserve">hdcea_c</t>
  </si>
  <si>
    <t xml:space="preserve">C16H29O2</t>
  </si>
  <si>
    <t xml:space="preserve">aminoAcid</t>
  </si>
  <si>
    <t xml:space="preserve">trnaForm</t>
  </si>
  <si>
    <t xml:space="preserve">trnaFormula (exclude tRNA)</t>
  </si>
  <si>
    <t xml:space="preserve">trnaMW</t>
  </si>
  <si>
    <t xml:space="preserve">molComp</t>
  </si>
  <si>
    <t xml:space="preserve">molCompFix</t>
  </si>
  <si>
    <t xml:space="preserve">ocdca_c</t>
  </si>
  <si>
    <t xml:space="preserve">C18H35O2</t>
  </si>
  <si>
    <t xml:space="preserve">alatrna_c</t>
  </si>
  <si>
    <t xml:space="preserve">ocdcea_c</t>
  </si>
  <si>
    <t xml:space="preserve">C18H33O2</t>
  </si>
  <si>
    <t xml:space="preserve">argtrna_c</t>
  </si>
  <si>
    <t xml:space="preserve">pail_c</t>
  </si>
  <si>
    <t xml:space="preserve">C9H16O11PAcyl2</t>
  </si>
  <si>
    <t xml:space="preserve">asntrna_c</t>
  </si>
  <si>
    <t xml:space="preserve">pc_c</t>
  </si>
  <si>
    <t xml:space="preserve">C8H18NO6PAcyl2</t>
  </si>
  <si>
    <t xml:space="preserve">asptrna_c</t>
  </si>
  <si>
    <t xml:space="preserve">pe_c</t>
  </si>
  <si>
    <t xml:space="preserve">C5H12NO6PAcyl2</t>
  </si>
  <si>
    <t xml:space="preserve">Others</t>
  </si>
  <si>
    <t xml:space="preserve">cystrna_c</t>
  </si>
  <si>
    <t xml:space="preserve">ps_c</t>
  </si>
  <si>
    <t xml:space="preserve">C6H10NO8PAcyl2</t>
  </si>
  <si>
    <t xml:space="preserve">glntrna_c</t>
  </si>
  <si>
    <t xml:space="preserve">tag_c</t>
  </si>
  <si>
    <t xml:space="preserve">C3H5O3Acyl3</t>
  </si>
  <si>
    <t xml:space="preserve">H1O4P1</t>
  </si>
  <si>
    <t xml:space="preserve">glutrna_c</t>
  </si>
  <si>
    <t xml:space="preserve">ipc_g</t>
  </si>
  <si>
    <t xml:space="preserve">C6H10O8P1Cer</t>
  </si>
  <si>
    <t xml:space="preserve">so4_c</t>
  </si>
  <si>
    <t xml:space="preserve">O4S1</t>
  </si>
  <si>
    <t xml:space="preserve">glytrna_c</t>
  </si>
  <si>
    <t xml:space="preserve">histrna_c</t>
  </si>
  <si>
    <t xml:space="preserve">iletrna_c</t>
  </si>
  <si>
    <t xml:space="preserve">leutrna_c</t>
  </si>
  <si>
    <t xml:space="preserve">lystrna_c</t>
  </si>
  <si>
    <t xml:space="preserve">mettrna_c</t>
  </si>
  <si>
    <t xml:space="preserve">phetrna_c</t>
  </si>
  <si>
    <t xml:space="preserve">protrna_c</t>
  </si>
  <si>
    <t xml:space="preserve">sertrna_c</t>
  </si>
  <si>
    <t xml:space="preserve">thrtrna_c</t>
  </si>
  <si>
    <t xml:space="preserve">trptrna_c</t>
  </si>
  <si>
    <t xml:space="preserve">tyrtrna_c</t>
  </si>
  <si>
    <t xml:space="preserve">valtrna_c</t>
  </si>
  <si>
    <t xml:space="preserve">Lipid composition (from yeast 8.3.4)</t>
  </si>
  <si>
    <t xml:space="preserve">Acyl composition</t>
  </si>
  <si>
    <t xml:space="preserve">Coefficient</t>
  </si>
  <si>
    <t xml:space="preserve">yeast8 model</t>
  </si>
  <si>
    <t xml:space="preserve">Coefficients</t>
  </si>
  <si>
    <t xml:space="preserve">Mol %</t>
  </si>
  <si>
    <t xml:space="preserve">C16:0</t>
  </si>
  <si>
    <t xml:space="preserve">C16:1</t>
  </si>
  <si>
    <t xml:space="preserve">C18:0</t>
  </si>
  <si>
    <t xml:space="preserve">C18:1</t>
  </si>
  <si>
    <t xml:space="preserve">Glycolipid composition (yeast 7.6)</t>
  </si>
  <si>
    <t xml:space="preserve">%wt. in lipid</t>
  </si>
  <si>
    <t xml:space="preserve">%wt. in biom</t>
  </si>
  <si>
    <t xml:space="preserve">Calculate lipid subspecies MW</t>
  </si>
  <si>
    <t xml:space="preserve">N</t>
  </si>
  <si>
    <t xml:space="preserve">O</t>
  </si>
  <si>
    <t xml:space="preserve">P</t>
  </si>
  <si>
    <t xml:space="preserve">Charge</t>
  </si>
  <si>
    <t xml:space="preserve">Add group</t>
  </si>
  <si>
    <t xml:space="preserve">Note</t>
  </si>
  <si>
    <t xml:space="preserve">ID</t>
  </si>
  <si>
    <t xml:space="preserve">Acyl of C14:0</t>
  </si>
  <si>
    <t xml:space="preserve">Constitutes Acyl group</t>
  </si>
  <si>
    <t xml:space="preserve">tdcoa_c</t>
  </si>
  <si>
    <t xml:space="preserve">Acyl of C16:0</t>
  </si>
  <si>
    <t xml:space="preserve">pmtcoa_c</t>
  </si>
  <si>
    <t xml:space="preserve">Acyl of C16:1</t>
  </si>
  <si>
    <t xml:space="preserve">hdcoa_c</t>
  </si>
  <si>
    <t xml:space="preserve">Acyl of C17:1</t>
  </si>
  <si>
    <t xml:space="preserve">hpdcoa_c</t>
  </si>
  <si>
    <t xml:space="preserve">Acyl of C18:0</t>
  </si>
  <si>
    <t xml:space="preserve">stcoa_c</t>
  </si>
  <si>
    <t xml:space="preserve">Acyl of C18:1</t>
  </si>
  <si>
    <t xml:space="preserve">odecoa_c</t>
  </si>
  <si>
    <t xml:space="preserve">Acyl of C18:2</t>
  </si>
  <si>
    <t xml:space="preserve">linocoa_c</t>
  </si>
  <si>
    <t xml:space="preserve">Acyl of C18:3</t>
  </si>
  <si>
    <t xml:space="preserve">linolncoa_c</t>
  </si>
  <si>
    <t xml:space="preserve">Acyl of C22:0</t>
  </si>
  <si>
    <t xml:space="preserve">docoscoa_c</t>
  </si>
  <si>
    <t xml:space="preserve">Acyl of C24:0</t>
  </si>
  <si>
    <t xml:space="preserve">ttccoa_c</t>
  </si>
  <si>
    <t xml:space="preserve">Free FA C14:0</t>
  </si>
  <si>
    <t xml:space="preserve">Constitutes Free fatty acid</t>
  </si>
  <si>
    <t xml:space="preserve">ttdca_c</t>
  </si>
  <si>
    <t xml:space="preserve">Free FA C16:0</t>
  </si>
  <si>
    <t xml:space="preserve">Free FA C16:1</t>
  </si>
  <si>
    <t xml:space="preserve">Free FA C17:1</t>
  </si>
  <si>
    <t xml:space="preserve">hpdcea_c</t>
  </si>
  <si>
    <t xml:space="preserve">Free FA C18:0</t>
  </si>
  <si>
    <t xml:space="preserve">Free FA C18:1</t>
  </si>
  <si>
    <t xml:space="preserve">Free FA C18:2</t>
  </si>
  <si>
    <t xml:space="preserve">linoea_c</t>
  </si>
  <si>
    <t xml:space="preserve">Free FA C18:3</t>
  </si>
  <si>
    <t xml:space="preserve">linolen_c</t>
  </si>
  <si>
    <t xml:space="preserve">Free FA C22:0</t>
  </si>
  <si>
    <t xml:space="preserve">docosa_c</t>
  </si>
  <si>
    <t xml:space="preserve">Free FA C24:0</t>
  </si>
  <si>
    <t xml:space="preserve">ttcosa_c</t>
  </si>
  <si>
    <t xml:space="preserve">Acyl</t>
  </si>
  <si>
    <t xml:space="preserve">Cer1_24</t>
  </si>
  <si>
    <t xml:space="preserve">Cer1_26</t>
  </si>
  <si>
    <t xml:space="preserve">Cer2A_24</t>
  </si>
  <si>
    <t xml:space="preserve">Cer2A_26</t>
  </si>
  <si>
    <t xml:space="preserve">Cer</t>
  </si>
  <si>
    <t xml:space="preserve">Acyl2</t>
  </si>
  <si>
    <t xml:space="preserve">Acyl3</t>
  </si>
  <si>
    <t xml:space="preserve">mipc_g</t>
  </si>
  <si>
    <t xml:space="preserve">mip2c_g</t>
  </si>
  <si>
    <t xml:space="preserve">sphgl_g</t>
  </si>
  <si>
    <t xml:space="preserve">ergstest_rm</t>
  </si>
  <si>
    <t xml:space="preserve">Metal composition (S. cerevisiae, Lange and Heijnen, 2001)</t>
  </si>
  <si>
    <t xml:space="preserve">Coefficients from yeast 8.3.4</t>
  </si>
  <si>
    <t xml:space="preserve">Biomass_Eqn_y8</t>
  </si>
  <si>
    <t xml:space="preserve">%wt data</t>
  </si>
  <si>
    <t xml:space="preserve">Issues</t>
  </si>
  <si>
    <t xml:space="preserve">%wt</t>
  </si>
  <si>
    <t xml:space="preserve">wt.</t>
  </si>
  <si>
    <t xml:space="preserve">Schulze1995</t>
  </si>
  <si>
    <t xml:space="preserve">Yihui data (internal use only)</t>
  </si>
  <si>
    <t xml:space="preserve">1) Biomass MW is not equal to 1 g/mmol</t>
  </si>
  <si>
    <t xml:space="preserve">GAM</t>
  </si>
  <si>
    <t xml:space="preserve">Scaled</t>
  </si>
  <si>
    <t xml:space="preserve">Raw</t>
  </si>
  <si>
    <t xml:space="preserve">2) Missing chitin_c in carbohydrate</t>
  </si>
  <si>
    <t xml:space="preserve">carb_c</t>
  </si>
  <si>
    <t xml:space="preserve">3) Some data are off compared to literature data</t>
  </si>
  <si>
    <t xml:space="preserve">cofactor_c</t>
  </si>
  <si>
    <t xml:space="preserve">dna_c</t>
  </si>
  <si>
    <t xml:space="preserve">Solutions</t>
  </si>
  <si>
    <t xml:space="preserve">ion_c</t>
  </si>
  <si>
    <t xml:space="preserve">Rebuild, ensure MW = 1 g/mmol, anchor coefficient to data with reference</t>
  </si>
  <si>
    <t xml:space="preserve">lipid_c</t>
  </si>
  <si>
    <t xml:space="preserve">protein_c</t>
  </si>
  <si>
    <t xml:space="preserve">rna_c</t>
  </si>
  <si>
    <t xml:space="preserve">biom MW →</t>
  </si>
  <si>
    <t xml:space="preserve">biomCARB</t>
  </si>
  <si>
    <t xml:space="preserve">biomLIPID</t>
  </si>
  <si>
    <t xml:space="preserve">chitin_c</t>
  </si>
  <si>
    <t xml:space="preserve">biomCOFACTOR</t>
  </si>
  <si>
    <t xml:space="preserve">biomPROTEIN</t>
  </si>
  <si>
    <t xml:space="preserve">%mol data</t>
  </si>
  <si>
    <t xml:space="preserve">MW subtract H2O</t>
  </si>
  <si>
    <t xml:space="preserve">biomDNA</t>
  </si>
  <si>
    <t xml:space="preserve">damp_c</t>
  </si>
  <si>
    <t xml:space="preserve">dcmp_c</t>
  </si>
  <si>
    <t xml:space="preserve">dgmp_c</t>
  </si>
  <si>
    <t xml:space="preserve">dtmp_c</t>
  </si>
  <si>
    <t xml:space="preserve">biomION</t>
  </si>
  <si>
    <t xml:space="preserve">cl_c</t>
  </si>
  <si>
    <t xml:space="preserve">na1_c</t>
  </si>
  <si>
    <t xml:space="preserve">biomRNA</t>
  </si>
  <si>
    <t xml:space="preserve">amp_c</t>
  </si>
  <si>
    <t xml:space="preserve">cmp_c</t>
  </si>
  <si>
    <t xml:space="preserve">gmp_c</t>
  </si>
  <si>
    <t xml:space="preserve">ump_c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</si>
</sst>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General"/>
    <numFmt numFmtId="166" formatCode="0.000000"/>
    <numFmt numFmtId="167" formatCode="0.0"/>
    <numFmt numFmtId="168" formatCode="0.00%"/>
    <numFmt numFmtId="169" formatCode="0.000"/>
    <numFmt numFmtId="170" formatCode="0.00"/>
    <numFmt numFmtId="171" formatCode="0.000%"/>
    <numFmt numFmtId="172" formatCode="0.0000%"/>
    <numFmt numFmtId="173" formatCode="0.00000%"/>
    <numFmt numFmtId="174" formatCode="0.0000"/>
    <numFmt numFmtId="175" formatCode="mm/dd/yy"/>
    <numFmt numFmtId="176" formatCode="0.00000"/>
    <numFmt numFmtId="177" formatCode="#,##0.0000"/>
    <numFmt numFmtId="178" formatCode="0"/>
    <numFmt numFmtId="179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7B59"/>
      </patternFill>
    </fill>
    <fill>
      <patternFill patternType="solid">
        <fgColor rgb="FFFF99FF"/>
        <bgColor rgb="FFFF9999"/>
      </patternFill>
    </fill>
    <fill>
      <patternFill patternType="solid">
        <fgColor rgb="FF9999FF"/>
        <bgColor rgb="FFB2B2B2"/>
      </patternFill>
    </fill>
    <fill>
      <patternFill patternType="solid">
        <fgColor rgb="FFCCFF66"/>
        <bgColor rgb="FFFFFF99"/>
      </patternFill>
    </fill>
    <fill>
      <patternFill patternType="solid">
        <fgColor rgb="FFB2B2B2"/>
        <bgColor rgb="FF969696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  <fill>
      <patternFill patternType="solid">
        <fgColor rgb="FFFF7B59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41" activeCellId="0" sqref="D41"/>
    </sheetView>
  </sheetViews>
  <sheetFormatPr defaultColWidth="8.328125" defaultRowHeight="13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11.57"/>
    <col collapsed="false" customWidth="true" hidden="false" outlineLevel="0" max="3" min="3" style="0" width="15.49"/>
    <col collapsed="false" customWidth="true" hidden="false" outlineLevel="0" max="4" min="4" style="0" width="7.87"/>
    <col collapsed="false" customWidth="true" hidden="false" outlineLevel="0" max="5" min="5" style="0" width="10.6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11.81"/>
    <col collapsed="false" customWidth="true" hidden="false" outlineLevel="0" max="11" min="11" style="0" width="17.33"/>
    <col collapsed="false" customWidth="true" hidden="false" outlineLevel="0" max="12" min="12" style="0" width="8.83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 customFormat="false" ht="12.8" hidden="false" customHeight="false" outlineLevel="0" collapsed="false">
      <c r="A2" s="2" t="str">
        <f aca="false">Y8BiomRebuildCalc!B46</f>
        <v>alatrna_c</v>
      </c>
      <c r="B2" s="3" t="n">
        <f aca="false">Y8BiomRebuildCalc!J8</f>
        <v>-0.370406730840497</v>
      </c>
      <c r="C2" s="4" t="str">
        <f aca="false">Y8BiomRebuildCalc!K8</f>
        <v>C3H6NO</v>
      </c>
      <c r="D2" s="5" t="n">
        <f aca="false">Y8BiomRebuildCalc!L8</f>
        <v>72.08584</v>
      </c>
      <c r="E2" s="6" t="n">
        <f aca="false">-B2*D2/1000</f>
        <v>0.0267010803342911</v>
      </c>
      <c r="F2" s="7" t="s">
        <v>10</v>
      </c>
      <c r="G2" s="8" t="n">
        <f aca="false">Y8BiomRebuildCalc!F8</f>
        <v>0.415332250419199</v>
      </c>
      <c r="H2" s="8" t="n">
        <f aca="false">SUM(E2:E21)</f>
        <v>0.415332250419199</v>
      </c>
      <c r="I2" s="0" t="s">
        <v>11</v>
      </c>
      <c r="K2" s="0" t="s">
        <v>6</v>
      </c>
      <c r="L2" s="9" t="n">
        <f aca="false">SUM(E2:E67) + E75</f>
        <v>1</v>
      </c>
    </row>
    <row r="3" customFormat="false" ht="12.8" hidden="false" customHeight="false" outlineLevel="0" collapsed="false">
      <c r="A3" s="2" t="str">
        <f aca="false">Y8BiomRebuildCalc!B47</f>
        <v>argtrna_c</v>
      </c>
      <c r="B3" s="3" t="n">
        <f aca="false">Y8BiomRebuildCalc!J9</f>
        <v>-0.146342884446706</v>
      </c>
      <c r="C3" s="4" t="str">
        <f aca="false">Y8BiomRebuildCalc!K9</f>
        <v>C6H14N4O</v>
      </c>
      <c r="D3" s="5" t="n">
        <f aca="false">Y8BiomRebuildCalc!L9</f>
        <v>158.20156</v>
      </c>
      <c r="E3" s="6" t="n">
        <f aca="false">-B3*D3/1000</f>
        <v>0.0231516726143686</v>
      </c>
      <c r="F3" s="10" t="s">
        <v>12</v>
      </c>
      <c r="G3" s="2"/>
      <c r="H3" s="2"/>
      <c r="I3" s="0" t="s">
        <v>11</v>
      </c>
      <c r="K3" s="0" t="s">
        <v>13</v>
      </c>
      <c r="L3" s="0" t="n">
        <f aca="false">-SUMPRODUCT(B2:B72,D2:D72) - B75*D75</f>
        <v>999.999999999996</v>
      </c>
    </row>
    <row r="4" customFormat="false" ht="12.8" hidden="false" customHeight="false" outlineLevel="0" collapsed="false">
      <c r="A4" s="2" t="str">
        <f aca="false">Y8BiomRebuildCalc!B48</f>
        <v>asntrna_c</v>
      </c>
      <c r="B4" s="3" t="n">
        <f aca="false">Y8BiomRebuildCalc!J10</f>
        <v>-0.175914762650963</v>
      </c>
      <c r="C4" s="4" t="str">
        <f aca="false">Y8BiomRebuildCalc!K10</f>
        <v>C4H7N2O2</v>
      </c>
      <c r="D4" s="5" t="n">
        <f aca="false">Y8BiomRebuildCalc!L10</f>
        <v>115.11058</v>
      </c>
      <c r="E4" s="6" t="n">
        <f aca="false">-B4*D4/1000</f>
        <v>0.0202496503593147</v>
      </c>
      <c r="F4" s="2"/>
      <c r="G4" s="2"/>
      <c r="H4" s="2"/>
      <c r="I4" s="0" t="s">
        <v>11</v>
      </c>
    </row>
    <row r="5" customFormat="false" ht="12.8" hidden="false" customHeight="false" outlineLevel="0" collapsed="false">
      <c r="A5" s="2" t="str">
        <f aca="false">Y8BiomRebuildCalc!B49</f>
        <v>asptrna_c</v>
      </c>
      <c r="B5" s="3" t="n">
        <f aca="false">Y8BiomRebuildCalc!J11</f>
        <v>-0.175914762650963</v>
      </c>
      <c r="C5" s="4" t="str">
        <f aca="false">Y8BiomRebuildCalc!K11</f>
        <v>C4H5NO3</v>
      </c>
      <c r="D5" s="5" t="n">
        <f aca="false">Y8BiomRebuildCalc!L11</f>
        <v>115.0874</v>
      </c>
      <c r="E5" s="6" t="n">
        <f aca="false">-B5*D5/1000</f>
        <v>0.0202455726551164</v>
      </c>
      <c r="F5" s="2"/>
      <c r="G5" s="2"/>
      <c r="H5" s="2"/>
      <c r="I5" s="0" t="s">
        <v>11</v>
      </c>
      <c r="K5" s="1" t="s">
        <v>14</v>
      </c>
    </row>
    <row r="6" customFormat="false" ht="12.8" hidden="false" customHeight="false" outlineLevel="0" collapsed="false">
      <c r="A6" s="2" t="str">
        <f aca="false">Y8BiomRebuildCalc!B50</f>
        <v>cystrna_c</v>
      </c>
      <c r="B6" s="3" t="n">
        <f aca="false">Y8BiomRebuildCalc!J12</f>
        <v>-0.00530777301102043</v>
      </c>
      <c r="C6" s="4" t="str">
        <f aca="false">Y8BiomRebuildCalc!K12</f>
        <v>C3H6NOS</v>
      </c>
      <c r="D6" s="5" t="n">
        <f aca="false">Y8BiomRebuildCalc!L12</f>
        <v>104.15084</v>
      </c>
      <c r="E6" s="6" t="n">
        <f aca="false">-B6*D6/1000</f>
        <v>0.000552809017627107</v>
      </c>
      <c r="F6" s="2"/>
      <c r="G6" s="2"/>
      <c r="H6" s="2"/>
      <c r="I6" s="0" t="s">
        <v>11</v>
      </c>
      <c r="K6" s="11"/>
    </row>
    <row r="7" customFormat="false" ht="12.8" hidden="false" customHeight="false" outlineLevel="0" collapsed="false">
      <c r="A7" s="2" t="str">
        <f aca="false">Y8BiomRebuildCalc!B51</f>
        <v>glntrna_c</v>
      </c>
      <c r="B7" s="3" t="n">
        <f aca="false">Y8BiomRebuildCalc!J13</f>
        <v>-0.293444022180701</v>
      </c>
      <c r="C7" s="4" t="str">
        <f aca="false">Y8BiomRebuildCalc!K13</f>
        <v>C5H9N2O2</v>
      </c>
      <c r="D7" s="5" t="n">
        <f aca="false">Y8BiomRebuildCalc!L13</f>
        <v>129.13716</v>
      </c>
      <c r="E7" s="6" t="n">
        <f aca="false">-B7*D7/1000</f>
        <v>0.0378945276433927</v>
      </c>
      <c r="F7" s="2"/>
      <c r="G7" s="2"/>
      <c r="H7" s="2"/>
      <c r="I7" s="0" t="s">
        <v>11</v>
      </c>
    </row>
    <row r="8" customFormat="false" ht="12.8" hidden="false" customHeight="false" outlineLevel="0" collapsed="false">
      <c r="A8" s="2" t="str">
        <f aca="false">Y8BiomRebuildCalc!B52</f>
        <v>glutrna_c</v>
      </c>
      <c r="B8" s="3" t="n">
        <f aca="false">Y8BiomRebuildCalc!J14</f>
        <v>-0.293444022180701</v>
      </c>
      <c r="C8" s="4" t="str">
        <f aca="false">Y8BiomRebuildCalc!K14</f>
        <v>C5H7NO3</v>
      </c>
      <c r="D8" s="5" t="n">
        <f aca="false">Y8BiomRebuildCalc!L14</f>
        <v>129.11398</v>
      </c>
      <c r="E8" s="6" t="n">
        <f aca="false">-B8*D8/1000</f>
        <v>0.0378877256109586</v>
      </c>
      <c r="F8" s="2"/>
      <c r="G8" s="2"/>
      <c r="H8" s="2"/>
      <c r="I8" s="0" t="s">
        <v>11</v>
      </c>
      <c r="K8" s="1" t="s">
        <v>15</v>
      </c>
    </row>
    <row r="9" customFormat="false" ht="12.8" hidden="false" customHeight="false" outlineLevel="0" collapsed="false">
      <c r="A9" s="2" t="str">
        <f aca="false">Y8BiomRebuildCalc!B53</f>
        <v>glytrna_c</v>
      </c>
      <c r="B9" s="3" t="n">
        <f aca="false">Y8BiomRebuildCalc!J15</f>
        <v>-0.337043586199797</v>
      </c>
      <c r="C9" s="4" t="str">
        <f aca="false">Y8BiomRebuildCalc!K15</f>
        <v>C2H4NO</v>
      </c>
      <c r="D9" s="5" t="n">
        <f aca="false">Y8BiomRebuildCalc!L15</f>
        <v>58.05926</v>
      </c>
      <c r="E9" s="6" t="n">
        <f aca="false">-B9*D9/1000</f>
        <v>0.0195685012025064</v>
      </c>
      <c r="F9" s="2"/>
      <c r="G9" s="2"/>
      <c r="H9" s="2"/>
      <c r="I9" s="0" t="s">
        <v>11</v>
      </c>
      <c r="K9" s="12" t="s">
        <v>16</v>
      </c>
      <c r="L9" s="12" t="s">
        <v>17</v>
      </c>
    </row>
    <row r="10" customFormat="false" ht="12.8" hidden="false" customHeight="false" outlineLevel="0" collapsed="false">
      <c r="A10" s="2" t="str">
        <f aca="false">Y8BiomRebuildCalc!B54</f>
        <v>histrna_c</v>
      </c>
      <c r="B10" s="3" t="n">
        <f aca="false">Y8BiomRebuildCalc!J16</f>
        <v>-0.0731714422233531</v>
      </c>
      <c r="C10" s="4" t="str">
        <f aca="false">Y8BiomRebuildCalc!K16</f>
        <v>C6H8N3O</v>
      </c>
      <c r="D10" s="5" t="n">
        <f aca="false">Y8BiomRebuildCalc!L16</f>
        <v>138.14722</v>
      </c>
      <c r="E10" s="6" t="n">
        <f aca="false">-B10*D10/1000</f>
        <v>0.0101084313265468</v>
      </c>
      <c r="F10" s="2"/>
      <c r="G10" s="2"/>
      <c r="H10" s="2"/>
      <c r="I10" s="0" t="s">
        <v>11</v>
      </c>
      <c r="K10" s="12" t="s">
        <v>18</v>
      </c>
      <c r="L10" s="12" t="s">
        <v>19</v>
      </c>
    </row>
    <row r="11" customFormat="false" ht="12.8" hidden="false" customHeight="false" outlineLevel="0" collapsed="false">
      <c r="A11" s="2" t="str">
        <f aca="false">Y8BiomRebuildCalc!B55</f>
        <v>iletrna_c</v>
      </c>
      <c r="B11" s="3" t="n">
        <f aca="false">Y8BiomRebuildCalc!J17</f>
        <v>-0.223305593106502</v>
      </c>
      <c r="C11" s="4" t="str">
        <f aca="false">Y8BiomRebuildCalc!K17</f>
        <v>C6H12NO</v>
      </c>
      <c r="D11" s="5" t="n">
        <f aca="false">Y8BiomRebuildCalc!L17</f>
        <v>114.16558</v>
      </c>
      <c r="E11" s="6" t="n">
        <f aca="false">-B11*D11/1000</f>
        <v>0.0254938125542478</v>
      </c>
      <c r="F11" s="2"/>
      <c r="G11" s="2"/>
      <c r="H11" s="2"/>
      <c r="I11" s="0" t="s">
        <v>11</v>
      </c>
      <c r="K11" s="0" t="s">
        <v>20</v>
      </c>
      <c r="L11" s="13"/>
    </row>
    <row r="12" customFormat="false" ht="12.8" hidden="false" customHeight="false" outlineLevel="0" collapsed="false">
      <c r="A12" s="2" t="str">
        <f aca="false">Y8BiomRebuildCalc!B56</f>
        <v>leutrna_c</v>
      </c>
      <c r="B12" s="3" t="n">
        <f aca="false">Y8BiomRebuildCalc!J18</f>
        <v>-0.303680441559097</v>
      </c>
      <c r="C12" s="4" t="str">
        <f aca="false">Y8BiomRebuildCalc!K18</f>
        <v>C6H12NO</v>
      </c>
      <c r="D12" s="5" t="n">
        <f aca="false">Y8BiomRebuildCalc!L18</f>
        <v>114.16558</v>
      </c>
      <c r="E12" s="6" t="n">
        <f aca="false">-B12*D12/1000</f>
        <v>0.0346698537452505</v>
      </c>
      <c r="F12" s="2"/>
      <c r="G12" s="2"/>
      <c r="H12" s="2"/>
      <c r="I12" s="0" t="s">
        <v>11</v>
      </c>
      <c r="K12" s="0" t="s">
        <v>21</v>
      </c>
    </row>
    <row r="13" customFormat="false" ht="12.8" hidden="false" customHeight="false" outlineLevel="0" collapsed="false">
      <c r="A13" s="2" t="str">
        <f aca="false">Y8BiomRebuildCalc!B57</f>
        <v>lystrna_c</v>
      </c>
      <c r="B13" s="3" t="n">
        <f aca="false">Y8BiomRebuildCalc!J19</f>
        <v>-0.249086204874316</v>
      </c>
      <c r="C13" s="4" t="str">
        <f aca="false">Y8BiomRebuildCalc!K19</f>
        <v>C6H14N2O</v>
      </c>
      <c r="D13" s="5" t="n">
        <f aca="false">Y8BiomRebuildCalc!L19</f>
        <v>130.18816</v>
      </c>
      <c r="E13" s="6" t="n">
        <f aca="false">-B13*D13/1000</f>
        <v>0.0324280746939702</v>
      </c>
      <c r="F13" s="2"/>
      <c r="G13" s="2"/>
      <c r="H13" s="2"/>
      <c r="I13" s="0" t="s">
        <v>11</v>
      </c>
    </row>
    <row r="14" customFormat="false" ht="12.8" hidden="false" customHeight="false" outlineLevel="0" collapsed="false">
      <c r="A14" s="2" t="str">
        <f aca="false">Y8BiomRebuildCalc!B58</f>
        <v>mettrna_c</v>
      </c>
      <c r="B14" s="3" t="n">
        <f aca="false">Y8BiomRebuildCalc!J20</f>
        <v>-0.0432204373754521</v>
      </c>
      <c r="C14" s="4" t="str">
        <f aca="false">Y8BiomRebuildCalc!K20</f>
        <v>C5H10NOS</v>
      </c>
      <c r="D14" s="5" t="n">
        <f aca="false">Y8BiomRebuildCalc!L20</f>
        <v>132.204</v>
      </c>
      <c r="E14" s="6" t="n">
        <f aca="false">-B14*D14/1000</f>
        <v>0.00571391470278427</v>
      </c>
      <c r="F14" s="2"/>
      <c r="G14" s="2"/>
      <c r="H14" s="2"/>
      <c r="I14" s="0" t="s">
        <v>11</v>
      </c>
    </row>
    <row r="15" customFormat="false" ht="12.8" hidden="false" customHeight="false" outlineLevel="0" collapsed="false">
      <c r="A15" s="2" t="str">
        <f aca="false">Y8BiomRebuildCalc!B59</f>
        <v>phetrna_c</v>
      </c>
      <c r="B15" s="3" t="n">
        <f aca="false">Y8BiomRebuildCalc!J21</f>
        <v>-0.142551618010263</v>
      </c>
      <c r="C15" s="4" t="str">
        <f aca="false">Y8BiomRebuildCalc!K21</f>
        <v>C9H10NO</v>
      </c>
      <c r="D15" s="5" t="n">
        <f aca="false">Y8BiomRebuildCalc!L21</f>
        <v>148.1818</v>
      </c>
      <c r="E15" s="6" t="n">
        <f aca="false">-B15*D15/1000</f>
        <v>0.0211235553496732</v>
      </c>
      <c r="F15" s="2"/>
      <c r="G15" s="2"/>
      <c r="H15" s="2"/>
      <c r="I15" s="0" t="s">
        <v>11</v>
      </c>
      <c r="L15" s="12"/>
    </row>
    <row r="16" customFormat="false" ht="12.8" hidden="false" customHeight="false" outlineLevel="0" collapsed="false">
      <c r="A16" s="2" t="str">
        <f aca="false">Y8BiomRebuildCalc!B60</f>
        <v>protrna_c</v>
      </c>
      <c r="B16" s="3" t="n">
        <f aca="false">Y8BiomRebuildCalc!J22</f>
        <v>-0.159991443617901</v>
      </c>
      <c r="C16" s="4" t="str">
        <f aca="false">Y8BiomRebuildCalc!K22</f>
        <v>C5H7NO</v>
      </c>
      <c r="D16" s="5" t="n">
        <f aca="false">Y8BiomRebuildCalc!L22</f>
        <v>97.11518</v>
      </c>
      <c r="E16" s="6" t="n">
        <f aca="false">-B16*D16/1000</f>
        <v>0.0155375978454124</v>
      </c>
      <c r="F16" s="2"/>
      <c r="G16" s="2"/>
      <c r="H16" s="2"/>
      <c r="I16" s="0" t="s">
        <v>11</v>
      </c>
    </row>
    <row r="17" customFormat="false" ht="12.8" hidden="false" customHeight="false" outlineLevel="0" collapsed="false">
      <c r="A17" s="2" t="str">
        <f aca="false">Y8BiomRebuildCalc!B61</f>
        <v>sertrna_c</v>
      </c>
      <c r="B17" s="3" t="n">
        <f aca="false">Y8BiomRebuildCalc!J23</f>
        <v>-0.202074501062421</v>
      </c>
      <c r="C17" s="4" t="str">
        <f aca="false">Y8BiomRebuildCalc!K23</f>
        <v>C3H6NO2</v>
      </c>
      <c r="D17" s="5" t="n">
        <f aca="false">Y8BiomRebuildCalc!L23</f>
        <v>88.08524</v>
      </c>
      <c r="E17" s="6" t="n">
        <f aca="false">-B17*D17/1000</f>
        <v>0.0177997809239636</v>
      </c>
      <c r="F17" s="2"/>
      <c r="G17" s="2"/>
      <c r="H17" s="2"/>
      <c r="I17" s="0" t="s">
        <v>11</v>
      </c>
    </row>
    <row r="18" customFormat="false" ht="12.8" hidden="false" customHeight="false" outlineLevel="0" collapsed="false">
      <c r="A18" s="2" t="str">
        <f aca="false">Y8BiomRebuildCalc!B62</f>
        <v>thrtrna_c</v>
      </c>
      <c r="B18" s="3" t="n">
        <f aca="false">Y8BiomRebuildCalc!J24</f>
        <v>-0.211173540509884</v>
      </c>
      <c r="C18" s="4" t="str">
        <f aca="false">Y8BiomRebuildCalc!K24</f>
        <v>C4H8NO2</v>
      </c>
      <c r="D18" s="5" t="n">
        <f aca="false">Y8BiomRebuildCalc!L24</f>
        <v>102.11182</v>
      </c>
      <c r="E18" s="6" t="n">
        <f aca="false">-B18*D18/1000</f>
        <v>0.021563314557308</v>
      </c>
      <c r="F18" s="2"/>
      <c r="G18" s="2"/>
      <c r="H18" s="2"/>
      <c r="I18" s="0" t="s">
        <v>11</v>
      </c>
    </row>
    <row r="19" customFormat="false" ht="12.8" hidden="false" customHeight="false" outlineLevel="0" collapsed="false">
      <c r="A19" s="2" t="str">
        <f aca="false">Y8BiomRebuildCalc!B63</f>
        <v>trptrna_c</v>
      </c>
      <c r="B19" s="3" t="n">
        <f aca="false">Y8BiomRebuildCalc!J25</f>
        <v>-0.0246432318368806</v>
      </c>
      <c r="C19" s="4" t="str">
        <f aca="false">Y8BiomRebuildCalc!K25</f>
        <v>C11H11N2O</v>
      </c>
      <c r="D19" s="5" t="n">
        <f aca="false">Y8BiomRebuildCalc!L25</f>
        <v>187.21784</v>
      </c>
      <c r="E19" s="6" t="n">
        <f aca="false">-B19*D19/1000</f>
        <v>0.00461365263512001</v>
      </c>
      <c r="F19" s="2"/>
      <c r="G19" s="2"/>
      <c r="H19" s="2"/>
      <c r="I19" s="0" t="s">
        <v>11</v>
      </c>
    </row>
    <row r="20" customFormat="false" ht="12.8" hidden="false" customHeight="false" outlineLevel="0" collapsed="false">
      <c r="A20" s="2" t="str">
        <f aca="false">Y8BiomRebuildCalc!B64</f>
        <v>tyrtrna_c</v>
      </c>
      <c r="B20" s="3" t="n">
        <f aca="false">Y8BiomRebuildCalc!J26</f>
        <v>-0.074308822154286</v>
      </c>
      <c r="C20" s="4" t="str">
        <f aca="false">Y8BiomRebuildCalc!K26</f>
        <v>C9H10NO2</v>
      </c>
      <c r="D20" s="5" t="n">
        <f aca="false">Y8BiomRebuildCalc!L26</f>
        <v>164.1812</v>
      </c>
      <c r="E20" s="6" t="n">
        <f aca="false">-B20*D20/1000</f>
        <v>0.0122001115918773</v>
      </c>
      <c r="F20" s="2"/>
      <c r="G20" s="2"/>
      <c r="H20" s="2"/>
      <c r="I20" s="0" t="s">
        <v>11</v>
      </c>
    </row>
    <row r="21" customFormat="false" ht="12.8" hidden="false" customHeight="false" outlineLevel="0" collapsed="false">
      <c r="A21" s="2" t="str">
        <f aca="false">Y8BiomRebuildCalc!B65</f>
        <v>valtrna_c</v>
      </c>
      <c r="B21" s="3" t="n">
        <f aca="false">Y8BiomRebuildCalc!J27</f>
        <v>-0.277899829791284</v>
      </c>
      <c r="C21" s="4" t="str">
        <f aca="false">Y8BiomRebuildCalc!K27</f>
        <v>C5H10NO</v>
      </c>
      <c r="D21" s="5" t="n">
        <f aca="false">Y8BiomRebuildCalc!L27</f>
        <v>100.139</v>
      </c>
      <c r="E21" s="6" t="n">
        <f aca="false">-B21*D21/1000</f>
        <v>0.0278286110554694</v>
      </c>
      <c r="F21" s="2"/>
      <c r="G21" s="2"/>
      <c r="H21" s="2"/>
      <c r="I21" s="0" t="s">
        <v>11</v>
      </c>
      <c r="K21" s="1"/>
      <c r="L21" s="1"/>
      <c r="M21" s="1"/>
    </row>
    <row r="22" customFormat="false" ht="12.8" hidden="false" customHeight="false" outlineLevel="0" collapsed="false">
      <c r="A22" s="14" t="str">
        <f aca="false">Y8BiomRebuildCalc!I31</f>
        <v>mannan_c</v>
      </c>
      <c r="B22" s="15" t="n">
        <f aca="false">Y8BiomRebuildCalc!J31</f>
        <v>-0.62393026814313</v>
      </c>
      <c r="C22" s="14" t="str">
        <f aca="false">Y8BiomRebuildCalc!K31</f>
        <v>C6H12O6</v>
      </c>
      <c r="D22" s="16" t="n">
        <f aca="false">Y8BiomRebuildCalc!L31</f>
        <v>180.15588</v>
      </c>
      <c r="E22" s="17" t="n">
        <f aca="false">-B22*D22/1000</f>
        <v>0.112404706515962</v>
      </c>
      <c r="F22" s="18" t="s">
        <v>22</v>
      </c>
      <c r="G22" s="19" t="n">
        <f aca="false">Y8BiomRebuildCalc!F9</f>
        <v>0.407456540482805</v>
      </c>
      <c r="H22" s="19" t="n">
        <f aca="false">SUM(E22:E27)</f>
        <v>0.407456540482805</v>
      </c>
      <c r="L22" s="13"/>
      <c r="M22" s="13"/>
      <c r="N22" s="12"/>
      <c r="O22" s="12"/>
      <c r="R22" s="13"/>
    </row>
    <row r="23" customFormat="false" ht="12.8" hidden="false" customHeight="false" outlineLevel="0" collapsed="false">
      <c r="A23" s="14" t="str">
        <f aca="false">Y8BiomRebuildCalc!I32</f>
        <v>13BDglucan_en</v>
      </c>
      <c r="B23" s="15" t="n">
        <f aca="false">Y8BiomRebuildCalc!J32</f>
        <v>-0.968205660560579</v>
      </c>
      <c r="C23" s="14" t="str">
        <f aca="false">Y8BiomRebuildCalc!K32</f>
        <v>C6H10O5</v>
      </c>
      <c r="D23" s="16" t="n">
        <f aca="false">Y8BiomRebuildCalc!L32</f>
        <v>162.1406</v>
      </c>
      <c r="E23" s="17" t="n">
        <f aca="false">-B23*D23/1000</f>
        <v>0.156985446726689</v>
      </c>
      <c r="F23" s="20"/>
      <c r="G23" s="20"/>
      <c r="H23" s="20"/>
      <c r="L23" s="13"/>
      <c r="M23" s="13"/>
      <c r="N23" s="12"/>
      <c r="O23" s="12"/>
    </row>
    <row r="24" customFormat="false" ht="12.8" hidden="false" customHeight="false" outlineLevel="0" collapsed="false">
      <c r="A24" s="14" t="str">
        <f aca="false">Y8BiomRebuildCalc!I33</f>
        <v>16BDglucan_en</v>
      </c>
      <c r="B24" s="15" t="n">
        <f aca="false">Y8BiomRebuildCalc!J33</f>
        <v>-0.254790963305416</v>
      </c>
      <c r="C24" s="14" t="str">
        <f aca="false">Y8BiomRebuildCalc!K33</f>
        <v>C6H10O5</v>
      </c>
      <c r="D24" s="16" t="n">
        <f aca="false">Y8BiomRebuildCalc!L33</f>
        <v>162.1406</v>
      </c>
      <c r="E24" s="17" t="n">
        <f aca="false">-B24*D24/1000</f>
        <v>0.0413119596649181</v>
      </c>
      <c r="F24" s="20"/>
      <c r="G24" s="20"/>
      <c r="H24" s="20"/>
      <c r="L24" s="13"/>
      <c r="M24" s="13"/>
      <c r="N24" s="12"/>
      <c r="O24" s="12"/>
    </row>
    <row r="25" customFormat="false" ht="12.8" hidden="false" customHeight="false" outlineLevel="0" collapsed="false">
      <c r="A25" s="14" t="str">
        <f aca="false">Y8BiomRebuildCalc!I34</f>
        <v>chtn_c</v>
      </c>
      <c r="B25" s="15" t="n">
        <f aca="false">Y8BiomRebuildCalc!J34</f>
        <v>-0.0228907502852135</v>
      </c>
      <c r="C25" s="14" t="str">
        <f aca="false">Y8BiomRebuildCalc!K34</f>
        <v>C8H13NO5</v>
      </c>
      <c r="D25" s="16" t="n">
        <f aca="false">Y8BiomRebuildCalc!L34</f>
        <v>203.19252</v>
      </c>
      <c r="E25" s="17" t="n">
        <f aca="false">-B25*D25/1000</f>
        <v>0.00465122923514325</v>
      </c>
      <c r="F25" s="20"/>
      <c r="G25" s="20"/>
      <c r="H25" s="20"/>
      <c r="L25" s="13"/>
      <c r="M25" s="13"/>
      <c r="N25" s="12"/>
      <c r="O25" s="12"/>
    </row>
    <row r="26" customFormat="false" ht="12.8" hidden="false" customHeight="false" outlineLevel="0" collapsed="false">
      <c r="A26" s="14" t="str">
        <f aca="false">Y8BiomRebuildCalc!I35</f>
        <v>glycogen_c</v>
      </c>
      <c r="B26" s="15" t="n">
        <f aca="false">Y8BiomRebuildCalc!J35</f>
        <v>-0.466785899918391</v>
      </c>
      <c r="C26" s="14" t="str">
        <f aca="false">Y8BiomRebuildCalc!K35</f>
        <v>C6H12O6</v>
      </c>
      <c r="D26" s="16" t="n">
        <f aca="false">Y8BiomRebuildCalc!L35</f>
        <v>180.15588</v>
      </c>
      <c r="E26" s="17" t="n">
        <f aca="false">-B26*D26/1000</f>
        <v>0.0840942245713897</v>
      </c>
      <c r="F26" s="20"/>
      <c r="G26" s="20"/>
      <c r="H26" s="20"/>
      <c r="L26" s="13"/>
      <c r="M26" s="13"/>
      <c r="N26" s="12"/>
      <c r="O26" s="12"/>
    </row>
    <row r="27" customFormat="false" ht="12.8" hidden="false" customHeight="false" outlineLevel="0" collapsed="false">
      <c r="A27" s="14" t="str">
        <f aca="false">Y8BiomRebuildCalc!I36</f>
        <v>tre_c</v>
      </c>
      <c r="B27" s="15" t="n">
        <f aca="false">Y8BiomRebuildCalc!J36</f>
        <v>-0.0233977684161514</v>
      </c>
      <c r="C27" s="14" t="str">
        <f aca="false">Y8BiomRebuildCalc!K36</f>
        <v>C12H22O11</v>
      </c>
      <c r="D27" s="16" t="n">
        <f aca="false">Y8BiomRebuildCalc!L36</f>
        <v>342.29648</v>
      </c>
      <c r="E27" s="17" t="n">
        <f aca="false">-B27*D27/1000</f>
        <v>0.00800897376870378</v>
      </c>
      <c r="F27" s="20"/>
      <c r="G27" s="20"/>
      <c r="H27" s="20"/>
      <c r="L27" s="13"/>
      <c r="M27" s="13"/>
      <c r="N27" s="12"/>
      <c r="O27" s="12"/>
    </row>
    <row r="28" customFormat="false" ht="12.8" hidden="false" customHeight="false" outlineLevel="0" collapsed="false">
      <c r="A28" s="21" t="str">
        <f aca="false">Y8BiomRebuildCalc!I40</f>
        <v>ergst161_rm</v>
      </c>
      <c r="B28" s="22" t="n">
        <f aca="false">Y8BiomRebuildCalc!J40</f>
        <v>-0.00615466318335084</v>
      </c>
      <c r="C28" s="21" t="str">
        <f aca="false">Y8BiomRebuildCalc!K40</f>
        <v>C44H72O2</v>
      </c>
      <c r="D28" s="23" t="n">
        <f aca="false">Y8BiomRebuildCalc!L40</f>
        <v>633.04128</v>
      </c>
      <c r="E28" s="24" t="n">
        <f aca="false">-B28*D28/1000</f>
        <v>0.00389615585955729</v>
      </c>
      <c r="F28" s="25" t="s">
        <v>23</v>
      </c>
      <c r="G28" s="26" t="n">
        <f aca="false">Y8BiomRebuildCalc!F10</f>
        <v>0.0725159707350873</v>
      </c>
      <c r="H28" s="26" t="n">
        <f aca="false">SUM(E28:E40)</f>
        <v>0.0725159707350873</v>
      </c>
      <c r="L28" s="13"/>
      <c r="M28" s="13"/>
      <c r="N28" s="12"/>
      <c r="O28" s="12"/>
    </row>
    <row r="29" customFormat="false" ht="12.8" hidden="false" customHeight="false" outlineLevel="0" collapsed="false">
      <c r="A29" s="21" t="str">
        <f aca="false">Y8BiomRebuildCalc!I41</f>
        <v>ergst181_rm</v>
      </c>
      <c r="B29" s="22" t="n">
        <f aca="false">Y8BiomRebuildCalc!J41</f>
        <v>-0.00225839920385258</v>
      </c>
      <c r="C29" s="21" t="str">
        <f aca="false">Y8BiomRebuildCalc!K41</f>
        <v>C46H76O2</v>
      </c>
      <c r="D29" s="23" t="n">
        <f aca="false">Y8BiomRebuildCalc!L41</f>
        <v>661.09444</v>
      </c>
      <c r="E29" s="24" t="n">
        <f aca="false">-B29*D29/1000</f>
        <v>0.00149301515696737</v>
      </c>
      <c r="F29" s="21" t="s">
        <v>24</v>
      </c>
      <c r="G29" s="21"/>
      <c r="H29" s="21"/>
      <c r="L29" s="13"/>
      <c r="M29" s="13"/>
      <c r="N29" s="12"/>
      <c r="O29" s="12"/>
    </row>
    <row r="30" customFormat="false" ht="12.8" hidden="false" customHeight="false" outlineLevel="0" collapsed="false">
      <c r="A30" s="21" t="str">
        <f aca="false">Y8BiomRebuildCalc!I42</f>
        <v>ergst_c</v>
      </c>
      <c r="B30" s="22" t="n">
        <f aca="false">Y8BiomRebuildCalc!J42</f>
        <v>-0.0328598938347088</v>
      </c>
      <c r="C30" s="21" t="str">
        <f aca="false">Y8BiomRebuildCalc!K42</f>
        <v>C28H44O</v>
      </c>
      <c r="D30" s="23" t="n">
        <f aca="false">Y8BiomRebuildCalc!L42</f>
        <v>396.64836</v>
      </c>
      <c r="E30" s="24" t="n">
        <f aca="false">-B30*D30/1000</f>
        <v>0.0130338229993114</v>
      </c>
      <c r="F30" s="21"/>
      <c r="G30" s="21"/>
      <c r="H30" s="21"/>
      <c r="L30" s="13"/>
      <c r="M30" s="13"/>
      <c r="N30" s="12"/>
      <c r="O30" s="12"/>
    </row>
    <row r="31" customFormat="false" ht="12.8" hidden="false" customHeight="false" outlineLevel="0" collapsed="false">
      <c r="A31" s="21" t="str">
        <f aca="false">Y8BiomRebuildCalc!I43</f>
        <v>hdca_c</v>
      </c>
      <c r="B31" s="22" t="n">
        <f aca="false">Y8BiomRebuildCalc!J43</f>
        <v>-0.000346114820513805</v>
      </c>
      <c r="C31" s="21" t="str">
        <f aca="false">Y8BiomRebuildCalc!K43</f>
        <v>C16H31O2</v>
      </c>
      <c r="D31" s="23" t="n">
        <f aca="false">Y8BiomRebuildCalc!L43</f>
        <v>255.41534</v>
      </c>
      <c r="E31" s="24" t="n">
        <f aca="false">-B31*D31/1000</f>
        <v>8.84030345605724E-005</v>
      </c>
      <c r="F31" s="21"/>
      <c r="G31" s="21"/>
      <c r="H31" s="21"/>
      <c r="L31" s="13"/>
      <c r="M31" s="13"/>
      <c r="N31" s="12"/>
      <c r="O31" s="12"/>
    </row>
    <row r="32" customFormat="false" ht="12.8" hidden="false" customHeight="false" outlineLevel="0" collapsed="false">
      <c r="A32" s="21" t="str">
        <f aca="false">Y8BiomRebuildCalc!I44</f>
        <v>hdcea_c</v>
      </c>
      <c r="B32" s="22" t="n">
        <f aca="false">Y8BiomRebuildCalc!J44</f>
        <v>-0.00101485809872084</v>
      </c>
      <c r="C32" s="21" t="str">
        <f aca="false">Y8BiomRebuildCalc!K44</f>
        <v>C16H29O2</v>
      </c>
      <c r="D32" s="23" t="n">
        <f aca="false">Y8BiomRebuildCalc!L44</f>
        <v>253.39946</v>
      </c>
      <c r="E32" s="24" t="n">
        <f aca="false">-B32*D32/1000</f>
        <v>0.000257164494192486</v>
      </c>
      <c r="F32" s="21"/>
      <c r="G32" s="21"/>
      <c r="H32" s="21"/>
    </row>
    <row r="33" customFormat="false" ht="12.8" hidden="false" customHeight="false" outlineLevel="0" collapsed="false">
      <c r="A33" s="21" t="str">
        <f aca="false">Y8BiomRebuildCalc!I45</f>
        <v>ocdca_c</v>
      </c>
      <c r="B33" s="22" t="n">
        <f aca="false">Y8BiomRebuildCalc!J45</f>
        <v>-9.64177000002742E-005</v>
      </c>
      <c r="C33" s="21" t="str">
        <f aca="false">Y8BiomRebuildCalc!K45</f>
        <v>C18H35O2</v>
      </c>
      <c r="D33" s="23" t="n">
        <f aca="false">Y8BiomRebuildCalc!L45</f>
        <v>283.4685</v>
      </c>
      <c r="E33" s="24" t="n">
        <f aca="false">-B33*D33/1000</f>
        <v>2.73313807925277E-005</v>
      </c>
      <c r="F33" s="21"/>
      <c r="G33" s="21"/>
      <c r="H33" s="21"/>
    </row>
    <row r="34" customFormat="false" ht="12.8" hidden="false" customHeight="false" outlineLevel="0" collapsed="false">
      <c r="A34" s="21" t="str">
        <f aca="false">Y8BiomRebuildCalc!I46</f>
        <v>ocdcea_c</v>
      </c>
      <c r="B34" s="22" t="n">
        <f aca="false">Y8BiomRebuildCalc!J46</f>
        <v>-0.00037207343205234</v>
      </c>
      <c r="C34" s="21" t="str">
        <f aca="false">Y8BiomRebuildCalc!K46</f>
        <v>C18H33O2</v>
      </c>
      <c r="D34" s="23" t="n">
        <f aca="false">Y8BiomRebuildCalc!L46</f>
        <v>281.45262</v>
      </c>
      <c r="E34" s="24" t="n">
        <f aca="false">-B34*D34/1000</f>
        <v>0.000104721042283523</v>
      </c>
      <c r="F34" s="21"/>
      <c r="G34" s="21"/>
      <c r="H34" s="21"/>
      <c r="M34" s="13"/>
      <c r="N34" s="12"/>
      <c r="O34" s="12"/>
    </row>
    <row r="35" customFormat="false" ht="12.8" hidden="false" customHeight="false" outlineLevel="0" collapsed="false">
      <c r="A35" s="21" t="str">
        <f aca="false">Y8BiomRebuildCalc!I47</f>
        <v>pail_c</v>
      </c>
      <c r="B35" s="22" t="n">
        <f aca="false">Y8BiomRebuildCalc!J47</f>
        <v>-0.00854161932053711</v>
      </c>
      <c r="C35" s="21" t="str">
        <f aca="false">Y8BiomRebuildCalc!K47</f>
        <v>C9H16O11PAcyl2</v>
      </c>
      <c r="D35" s="23" t="n">
        <f aca="false">Y8BiomRebuildCalc!L47</f>
        <v>821.350569418454</v>
      </c>
      <c r="E35" s="24" t="n">
        <f aca="false">-B35*D35/1000</f>
        <v>0.00701566389267883</v>
      </c>
      <c r="F35" s="21"/>
      <c r="G35" s="21"/>
      <c r="H35" s="21"/>
      <c r="M35" s="13"/>
      <c r="N35" s="12"/>
      <c r="O35" s="12"/>
    </row>
    <row r="36" customFormat="false" ht="12.8" hidden="false" customHeight="false" outlineLevel="0" collapsed="false">
      <c r="A36" s="21" t="str">
        <f aca="false">Y8BiomRebuildCalc!I48</f>
        <v>pc_c</v>
      </c>
      <c r="B36" s="22" t="n">
        <f aca="false">Y8BiomRebuildCalc!J48</f>
        <v>-0.0318709943475266</v>
      </c>
      <c r="C36" s="21" t="str">
        <f aca="false">Y8BiomRebuildCalc!K48</f>
        <v>C8H18NO6PAcyl2</v>
      </c>
      <c r="D36" s="23" t="n">
        <f aca="false">Y8BiomRebuildCalc!L48</f>
        <v>745.367449418454</v>
      </c>
      <c r="E36" s="24" t="n">
        <f aca="false">-B36*D36/1000</f>
        <v>0.0237556017672459</v>
      </c>
      <c r="F36" s="21"/>
      <c r="G36" s="21"/>
      <c r="H36" s="21"/>
      <c r="M36" s="13"/>
      <c r="N36" s="12"/>
      <c r="O36" s="12"/>
    </row>
    <row r="37" customFormat="false" ht="12.8" hidden="false" customHeight="false" outlineLevel="0" collapsed="false">
      <c r="A37" s="21" t="str">
        <f aca="false">Y8BiomRebuildCalc!I49</f>
        <v>pe_c</v>
      </c>
      <c r="B37" s="22" t="n">
        <f aca="false">Y8BiomRebuildCalc!J49</f>
        <v>-0.00856510568335769</v>
      </c>
      <c r="C37" s="21" t="str">
        <f aca="false">Y8BiomRebuildCalc!K49</f>
        <v>C5H12NO6PAcyl2</v>
      </c>
      <c r="D37" s="23" t="n">
        <f aca="false">Y8BiomRebuildCalc!L49</f>
        <v>703.287709418454</v>
      </c>
      <c r="E37" s="24" t="n">
        <f aca="false">-B37*D37/1000</f>
        <v>0.00602373355697561</v>
      </c>
      <c r="F37" s="21"/>
      <c r="G37" s="21"/>
      <c r="H37" s="21"/>
    </row>
    <row r="38" customFormat="false" ht="12.8" hidden="false" customHeight="false" outlineLevel="0" collapsed="false">
      <c r="A38" s="21" t="str">
        <f aca="false">Y8BiomRebuildCalc!I50</f>
        <v>ps_c</v>
      </c>
      <c r="B38" s="22" t="n">
        <f aca="false">Y8BiomRebuildCalc!J50</f>
        <v>-0.00735617606027733</v>
      </c>
      <c r="C38" s="21" t="str">
        <f aca="false">Y8BiomRebuildCalc!K50</f>
        <v>C6H10NO8PAcyl2</v>
      </c>
      <c r="D38" s="23" t="n">
        <f aca="false">Y8BiomRebuildCalc!L50</f>
        <v>745.280529418454</v>
      </c>
      <c r="E38" s="24" t="n">
        <f aca="false">-B38*D38/1000</f>
        <v>0.00548241478869885</v>
      </c>
      <c r="F38" s="21"/>
      <c r="G38" s="21"/>
      <c r="H38" s="21"/>
    </row>
    <row r="39" customFormat="false" ht="12.8" hidden="false" customHeight="false" outlineLevel="0" collapsed="false">
      <c r="A39" s="21" t="str">
        <f aca="false">Y8BiomRebuildCalc!I51</f>
        <v>tag_c</v>
      </c>
      <c r="B39" s="22" t="n">
        <f aca="false">Y8BiomRebuildCalc!J51</f>
        <v>-0.00847610472951128</v>
      </c>
      <c r="C39" s="21" t="str">
        <f aca="false">Y8BiomRebuildCalc!K51</f>
        <v>C3H5O3Acyl3</v>
      </c>
      <c r="D39" s="23" t="n">
        <f aca="false">Y8BiomRebuildCalc!L51</f>
        <v>824.315501127681</v>
      </c>
      <c r="E39" s="24" t="n">
        <f aca="false">-B39*D39/1000</f>
        <v>0.0069869845177178</v>
      </c>
      <c r="F39" s="21"/>
      <c r="G39" s="21"/>
      <c r="H39" s="21"/>
    </row>
    <row r="40" customFormat="false" ht="12.8" hidden="false" customHeight="false" outlineLevel="0" collapsed="false">
      <c r="A40" s="21" t="str">
        <f aca="false">Y8BiomRebuildCalc!I52</f>
        <v>ipc_g</v>
      </c>
      <c r="B40" s="22" t="n">
        <f aca="false">Y8BiomRebuildCalc!J52</f>
        <v>-0.00475377693945438</v>
      </c>
      <c r="C40" s="21" t="str">
        <f aca="false">Y8BiomRebuildCalc!K52</f>
        <v>C6H10O8P1Cer</v>
      </c>
      <c r="D40" s="23" t="n">
        <f aca="false">Y8BiomRebuildCalc!L52</f>
        <v>915.263442</v>
      </c>
      <c r="E40" s="24" t="n">
        <f aca="false">-B40*D40/1000</f>
        <v>0.00435095824410524</v>
      </c>
      <c r="F40" s="21"/>
      <c r="G40" s="21"/>
      <c r="H40" s="21"/>
    </row>
    <row r="41" customFormat="false" ht="12.8" hidden="false" customHeight="false" outlineLevel="0" collapsed="false">
      <c r="A41" s="27" t="str">
        <f aca="false">Y8BiomRebuildCalc!Q8</f>
        <v>atp_c</v>
      </c>
      <c r="B41" s="28" t="n">
        <f aca="false">Y8BiomRebuildCalc!R8</f>
        <v>-0.0420108491332355</v>
      </c>
      <c r="C41" s="27" t="str">
        <f aca="false">Y8BiomRebuildCalc!S8</f>
        <v>C10H12N5O13P3</v>
      </c>
      <c r="D41" s="29" t="n">
        <v>503.149263</v>
      </c>
      <c r="E41" s="30" t="n">
        <f aca="false">-B41*D41/1000</f>
        <v>0.0211377277793916</v>
      </c>
      <c r="F41" s="31" t="s">
        <v>25</v>
      </c>
      <c r="G41" s="32" t="n">
        <f aca="false">Y8BiomRebuildCalc!F11</f>
        <v>0.0573589440650485</v>
      </c>
      <c r="H41" s="32" t="n">
        <f aca="false">SUM(E41:E44) + SUM(B41:B44)*D75/1000</f>
        <v>0.0573589440650485</v>
      </c>
      <c r="I41" s="0" t="s">
        <v>26</v>
      </c>
    </row>
    <row r="42" customFormat="false" ht="12.8" hidden="false" customHeight="false" outlineLevel="0" collapsed="false">
      <c r="A42" s="27" t="str">
        <f aca="false">Y8BiomRebuildCalc!Q9</f>
        <v>ctp_c</v>
      </c>
      <c r="B42" s="28" t="n">
        <f aca="false">Y8BiomRebuildCalc!R9</f>
        <v>-0.0408232066260222</v>
      </c>
      <c r="C42" s="27" t="str">
        <f aca="false">Y8BiomRebuildCalc!S9</f>
        <v>C9H12N3O14P3</v>
      </c>
      <c r="D42" s="29" t="n">
        <v>479.124563</v>
      </c>
      <c r="E42" s="30" t="n">
        <f aca="false">-B42*D42/1000</f>
        <v>0.0195594010349516</v>
      </c>
      <c r="F42" s="27" t="s">
        <v>27</v>
      </c>
      <c r="G42" s="27"/>
      <c r="H42" s="27"/>
      <c r="I42" s="0" t="s">
        <v>28</v>
      </c>
    </row>
    <row r="43" customFormat="false" ht="12.8" hidden="false" customHeight="false" outlineLevel="0" collapsed="false">
      <c r="A43" s="27" t="str">
        <f aca="false">Y8BiomRebuildCalc!Q10</f>
        <v>gtp_c</v>
      </c>
      <c r="B43" s="28" t="n">
        <f aca="false">Y8BiomRebuildCalc!R10</f>
        <v>-0.0420108491332355</v>
      </c>
      <c r="C43" s="27" t="str">
        <f aca="false">Y8BiomRebuildCalc!S10</f>
        <v>C10H12N5O14P3</v>
      </c>
      <c r="D43" s="29" t="n">
        <v>519.148663</v>
      </c>
      <c r="E43" s="30" t="n">
        <f aca="false">-B43*D43/1000</f>
        <v>0.0218098761590139</v>
      </c>
      <c r="F43" s="27"/>
      <c r="G43" s="27"/>
      <c r="H43" s="27"/>
      <c r="I43" s="0" t="s">
        <v>28</v>
      </c>
    </row>
    <row r="44" customFormat="false" ht="12.8" hidden="false" customHeight="false" outlineLevel="0" collapsed="false">
      <c r="A44" s="27" t="str">
        <f aca="false">Y8BiomRebuildCalc!Q11</f>
        <v>utp_c</v>
      </c>
      <c r="B44" s="28" t="n">
        <f aca="false">Y8BiomRebuildCalc!R11</f>
        <v>-0.0547051344545771</v>
      </c>
      <c r="C44" s="27" t="str">
        <f aca="false">Y8BiomRebuildCalc!S11</f>
        <v>C9H11N2O15P3</v>
      </c>
      <c r="D44" s="29" t="n">
        <v>480.109323</v>
      </c>
      <c r="E44" s="30" t="n">
        <f aca="false">-B44*D44/1000</f>
        <v>0.026264445067611</v>
      </c>
      <c r="F44" s="27"/>
      <c r="G44" s="27"/>
      <c r="H44" s="27"/>
      <c r="I44" s="0" t="s">
        <v>28</v>
      </c>
    </row>
    <row r="45" customFormat="false" ht="12.8" hidden="false" customHeight="false" outlineLevel="0" collapsed="false">
      <c r="A45" s="33" t="str">
        <f aca="false">Y8BiomRebuildCalc!Q15</f>
        <v>datp_c</v>
      </c>
      <c r="B45" s="34" t="n">
        <f aca="false">Y8BiomRebuildCalc!R15</f>
        <v>-0.0038897789986954</v>
      </c>
      <c r="C45" s="33" t="str">
        <f aca="false">Y8BiomRebuildCalc!S15</f>
        <v>C10H12N5O12P3</v>
      </c>
      <c r="D45" s="35" t="n">
        <v>487.149863</v>
      </c>
      <c r="E45" s="36" t="n">
        <f aca="false">-B45*D45/1000</f>
        <v>0.00189490530631474</v>
      </c>
      <c r="F45" s="37" t="s">
        <v>29</v>
      </c>
      <c r="G45" s="38" t="n">
        <f aca="false">Y8BiomRebuildCalc!F12</f>
        <v>0.00401215411853966</v>
      </c>
      <c r="H45" s="38" t="n">
        <f aca="false">SUM(E45:E48) + + SUM(B45:B48)*D75/1000</f>
        <v>0.00401215411853966</v>
      </c>
      <c r="I45" s="0" t="s">
        <v>28</v>
      </c>
    </row>
    <row r="46" customFormat="false" ht="12.8" hidden="false" customHeight="false" outlineLevel="0" collapsed="false">
      <c r="A46" s="33" t="str">
        <f aca="false">Y8BiomRebuildCalc!Q16</f>
        <v>dctp_c</v>
      </c>
      <c r="B46" s="34" t="n">
        <f aca="false">Y8BiomRebuildCalc!R16</f>
        <v>-0.00262576371268718</v>
      </c>
      <c r="C46" s="33" t="str">
        <f aca="false">Y8BiomRebuildCalc!S16</f>
        <v>C9H12N3O13P3</v>
      </c>
      <c r="D46" s="35" t="n">
        <v>463.125163</v>
      </c>
      <c r="E46" s="36" t="n">
        <f aca="false">-B46*D46/1000</f>
        <v>0.00121605724743773</v>
      </c>
      <c r="F46" s="33" t="s">
        <v>30</v>
      </c>
      <c r="G46" s="33"/>
      <c r="H46" s="33"/>
      <c r="I46" s="0" t="s">
        <v>28</v>
      </c>
    </row>
    <row r="47" customFormat="false" ht="12.8" hidden="false" customHeight="false" outlineLevel="0" collapsed="false">
      <c r="A47" s="33" t="str">
        <f aca="false">Y8BiomRebuildCalc!Q17</f>
        <v>dgtp_c</v>
      </c>
      <c r="B47" s="34" t="n">
        <f aca="false">Y8BiomRebuildCalc!R17</f>
        <v>-0.00262576371268718</v>
      </c>
      <c r="C47" s="33" t="str">
        <f aca="false">Y8BiomRebuildCalc!S17</f>
        <v>C10H12N5O13P3</v>
      </c>
      <c r="D47" s="35" t="n">
        <v>503.149263</v>
      </c>
      <c r="E47" s="36" t="n">
        <f aca="false">-B47*D47/1000</f>
        <v>0.0013211510768507</v>
      </c>
      <c r="F47" s="33"/>
      <c r="G47" s="33"/>
      <c r="H47" s="33"/>
      <c r="I47" s="0" t="s">
        <v>28</v>
      </c>
    </row>
    <row r="48" customFormat="false" ht="12.8" hidden="false" customHeight="false" outlineLevel="0" collapsed="false">
      <c r="A48" s="33" t="str">
        <f aca="false">Y8BiomRebuildCalc!Q18</f>
        <v>dttp_c</v>
      </c>
      <c r="B48" s="34" t="n">
        <f aca="false">Y8BiomRebuildCalc!R18</f>
        <v>-0.0038897789986954</v>
      </c>
      <c r="C48" s="33" t="str">
        <f aca="false">Y8BiomRebuildCalc!S18</f>
        <v>C10H13N2O14P3</v>
      </c>
      <c r="D48" s="35" t="n">
        <v>478.136503</v>
      </c>
      <c r="E48" s="36" t="n">
        <f aca="false">-B48*D48/1000</f>
        <v>0.00185984532787906</v>
      </c>
      <c r="F48" s="33"/>
      <c r="G48" s="33"/>
      <c r="H48" s="33"/>
      <c r="I48" s="0" t="s">
        <v>28</v>
      </c>
    </row>
    <row r="49" customFormat="false" ht="12.8" hidden="false" customHeight="false" outlineLevel="0" collapsed="false">
      <c r="A49" s="39" t="str">
        <f aca="false">Y8BiomRebuildCalc!Q21</f>
        <v>ca2_c</v>
      </c>
      <c r="B49" s="40" t="n">
        <f aca="false">Y8BiomRebuildCalc!R21</f>
        <v>-0.00128579410545924</v>
      </c>
      <c r="C49" s="39" t="str">
        <f aca="false">Y8BiomRebuildCalc!S21</f>
        <v>Ca</v>
      </c>
      <c r="D49" s="41" t="n">
        <f aca="false">Y8BiomRebuildCalc!T21</f>
        <v>40.078</v>
      </c>
      <c r="E49" s="42" t="n">
        <f aca="false">-B49*D49/1000</f>
        <v>5.15320561585954E-005</v>
      </c>
      <c r="F49" s="43" t="s">
        <v>31</v>
      </c>
      <c r="G49" s="44" t="n">
        <f aca="false">Y8BiomRebuildCalc!F16</f>
        <v>0.0253517103477826</v>
      </c>
      <c r="H49" s="44" t="n">
        <f aca="false">SUM(E49:E55)</f>
        <v>0.0253517103477826</v>
      </c>
    </row>
    <row r="50" customFormat="false" ht="12.8" hidden="false" customHeight="false" outlineLevel="0" collapsed="false">
      <c r="A50" s="39" t="str">
        <f aca="false">Y8BiomRebuildCalc!Q22</f>
        <v>cu2_c</v>
      </c>
      <c r="B50" s="40" t="n">
        <f aca="false">Y8BiomRebuildCalc!R22</f>
        <v>-0.000113531738617747</v>
      </c>
      <c r="C50" s="39" t="str">
        <f aca="false">Y8BiomRebuildCalc!S22</f>
        <v>Cu</v>
      </c>
      <c r="D50" s="41" t="n">
        <f aca="false">Y8BiomRebuildCalc!T22</f>
        <v>63.546</v>
      </c>
      <c r="E50" s="42" t="n">
        <f aca="false">-B50*D50/1000</f>
        <v>7.21448786220336E-006</v>
      </c>
      <c r="F50" s="45"/>
      <c r="G50" s="45"/>
      <c r="H50" s="45"/>
      <c r="K50" s="1"/>
    </row>
    <row r="51" customFormat="false" ht="12.8" hidden="false" customHeight="false" outlineLevel="0" collapsed="false">
      <c r="A51" s="39" t="str">
        <f aca="false">Y8BiomRebuildCalc!Q23</f>
        <v>fe2_c</v>
      </c>
      <c r="B51" s="40" t="n">
        <f aca="false">Y8BiomRebuildCalc!R23</f>
        <v>-0.000664393955308241</v>
      </c>
      <c r="C51" s="39" t="str">
        <f aca="false">Y8BiomRebuildCalc!S23</f>
        <v>Fe</v>
      </c>
      <c r="D51" s="41" t="n">
        <f aca="false">Y8BiomRebuildCalc!T23</f>
        <v>55.845</v>
      </c>
      <c r="E51" s="42" t="n">
        <f aca="false">-B51*D51/1000</f>
        <v>3.71030804341887E-005</v>
      </c>
      <c r="F51" s="45"/>
      <c r="G51" s="45"/>
      <c r="H51" s="45"/>
      <c r="L51" s="1"/>
      <c r="M51" s="1"/>
      <c r="N51" s="1"/>
    </row>
    <row r="52" customFormat="false" ht="12.8" hidden="false" customHeight="false" outlineLevel="0" collapsed="false">
      <c r="A52" s="39" t="str">
        <f aca="false">Y8BiomRebuildCalc!Q24</f>
        <v>k_c</v>
      </c>
      <c r="B52" s="40" t="n">
        <f aca="false">Y8BiomRebuildCalc!R24</f>
        <v>-0.603649819062125</v>
      </c>
      <c r="C52" s="39" t="str">
        <f aca="false">Y8BiomRebuildCalc!S24</f>
        <v>K</v>
      </c>
      <c r="D52" s="41" t="n">
        <f aca="false">Y8BiomRebuildCalc!T24</f>
        <v>39.0983</v>
      </c>
      <c r="E52" s="42" t="n">
        <f aca="false">-B52*D52/1000</f>
        <v>0.0236016817206367</v>
      </c>
      <c r="F52" s="45"/>
      <c r="G52" s="45"/>
      <c r="H52" s="45"/>
      <c r="N52" s="46"/>
    </row>
    <row r="53" customFormat="false" ht="12.8" hidden="false" customHeight="false" outlineLevel="0" collapsed="false">
      <c r="A53" s="39" t="str">
        <f aca="false">Y8BiomRebuildCalc!Q25</f>
        <v>mg2_c</v>
      </c>
      <c r="B53" s="40" t="n">
        <f aca="false">Y8BiomRebuildCalc!R25</f>
        <v>-0.0636067346125432</v>
      </c>
      <c r="C53" s="39" t="str">
        <f aca="false">Y8BiomRebuildCalc!S25</f>
        <v>Mg</v>
      </c>
      <c r="D53" s="41" t="n">
        <f aca="false">Y8BiomRebuildCalc!T25</f>
        <v>24.305</v>
      </c>
      <c r="E53" s="42" t="n">
        <f aca="false">-B53*D53/1000</f>
        <v>0.00154596168475786</v>
      </c>
      <c r="F53" s="45"/>
      <c r="G53" s="45"/>
      <c r="H53" s="45"/>
      <c r="N53" s="46"/>
    </row>
    <row r="54" customFormat="false" ht="12.8" hidden="false" customHeight="false" outlineLevel="0" collapsed="false">
      <c r="A54" s="39" t="str">
        <f aca="false">Y8BiomRebuildCalc!Q26</f>
        <v>mn2_c</v>
      </c>
      <c r="B54" s="40" t="n">
        <f aca="false">Y8BiomRebuildCalc!R26</f>
        <v>-9.38003110532938E-005</v>
      </c>
      <c r="C54" s="39" t="str">
        <f aca="false">Y8BiomRebuildCalc!S26</f>
        <v>Mn</v>
      </c>
      <c r="D54" s="41" t="n">
        <f aca="false">Y8BiomRebuildCalc!T26</f>
        <v>54.938044</v>
      </c>
      <c r="E54" s="42" t="n">
        <f aca="false">-B54*D54/1000</f>
        <v>5.15320561585954E-006</v>
      </c>
      <c r="F54" s="45"/>
      <c r="G54" s="45"/>
      <c r="H54" s="45"/>
    </row>
    <row r="55" customFormat="false" ht="12.8" hidden="false" customHeight="false" outlineLevel="0" collapsed="false">
      <c r="A55" s="39" t="str">
        <f aca="false">Y8BiomRebuildCalc!Q27</f>
        <v>zn2_c</v>
      </c>
      <c r="B55" s="40" t="n">
        <f aca="false">Y8BiomRebuildCalc!R27</f>
        <v>-0.00157638593326997</v>
      </c>
      <c r="C55" s="39" t="str">
        <f aca="false">Y8BiomRebuildCalc!S27</f>
        <v>Zn</v>
      </c>
      <c r="D55" s="41" t="n">
        <f aca="false">Y8BiomRebuildCalc!T27</f>
        <v>65.38</v>
      </c>
      <c r="E55" s="42" t="n">
        <f aca="false">-B55*D55/1000</f>
        <v>0.000103064112317191</v>
      </c>
      <c r="F55" s="45"/>
      <c r="G55" s="45"/>
      <c r="H55" s="45"/>
    </row>
    <row r="56" customFormat="false" ht="12.8" hidden="false" customHeight="false" outlineLevel="0" collapsed="false">
      <c r="A56" s="47" t="str">
        <f aca="false">Y8BiomRebuildCalc!Q33</f>
        <v>coa_c</v>
      </c>
      <c r="B56" s="48" t="n">
        <f aca="false">Y8BiomRebuildCalc!R33</f>
        <v>-0.00019</v>
      </c>
      <c r="C56" s="47" t="str">
        <f aca="false">Y8BiomRebuildCalc!S33</f>
        <v>C21H32N7O16P3S</v>
      </c>
      <c r="D56" s="49" t="n">
        <f aca="false">Y8BiomRebuildCalc!T33</f>
        <v>763.502363</v>
      </c>
      <c r="E56" s="50" t="n">
        <f aca="false">-B56*D56/1000</f>
        <v>0.00014506544897</v>
      </c>
      <c r="F56" s="51" t="s">
        <v>32</v>
      </c>
      <c r="G56" s="52" t="n">
        <f aca="false">Y8BiomRebuildCalc!F17</f>
        <v>0.004832388411842</v>
      </c>
      <c r="H56" s="52" t="n">
        <f aca="false">SUM(E56:E65)</f>
        <v>0.004832388411842</v>
      </c>
    </row>
    <row r="57" customFormat="false" ht="12.8" hidden="false" customHeight="false" outlineLevel="0" collapsed="false">
      <c r="A57" s="47" t="str">
        <f aca="false">Y8BiomRebuildCalc!Q34</f>
        <v>fad_c</v>
      </c>
      <c r="B57" s="48" t="n">
        <f aca="false">Y8BiomRebuildCalc!R34</f>
        <v>-1E-005</v>
      </c>
      <c r="C57" s="47" t="str">
        <f aca="false">Y8BiomRebuildCalc!S34</f>
        <v>C27H30N9O15P2</v>
      </c>
      <c r="D57" s="49" t="n">
        <f aca="false">Y8BiomRebuildCalc!T34</f>
        <v>782.525922</v>
      </c>
      <c r="E57" s="50" t="n">
        <f aca="false">-B57*D57/1000</f>
        <v>7.82525922E-006</v>
      </c>
      <c r="F57" s="53"/>
      <c r="G57" s="53"/>
      <c r="H57" s="53"/>
    </row>
    <row r="58" customFormat="false" ht="12.8" hidden="false" customHeight="false" outlineLevel="0" collapsed="false">
      <c r="A58" s="47" t="str">
        <f aca="false">Y8BiomRebuildCalc!Q35</f>
        <v>hemeA_c</v>
      </c>
      <c r="B58" s="48" t="n">
        <f aca="false">Y8BiomRebuildCalc!R35</f>
        <v>-1E-006</v>
      </c>
      <c r="C58" s="47" t="str">
        <f aca="false">Y8BiomRebuildCalc!S35</f>
        <v>C49H56FeN4O6</v>
      </c>
      <c r="D58" s="49" t="n">
        <f aca="false">Y8BiomRebuildCalc!T35</f>
        <v>850.82126</v>
      </c>
      <c r="E58" s="54" t="n">
        <f aca="false">-B58*D58/1000</f>
        <v>8.5082126E-007</v>
      </c>
      <c r="F58" s="53"/>
      <c r="G58" s="53"/>
      <c r="H58" s="53"/>
    </row>
    <row r="59" customFormat="false" ht="12.8" hidden="false" customHeight="false" outlineLevel="0" collapsed="false">
      <c r="A59" s="47" t="str">
        <f aca="false">Y8BiomRebuildCalc!Q36</f>
        <v>nad_c</v>
      </c>
      <c r="B59" s="48" t="n">
        <f aca="false">Y8BiomRebuildCalc!R36</f>
        <v>-0.00265</v>
      </c>
      <c r="C59" s="47" t="str">
        <f aca="false">Y8BiomRebuildCalc!S36</f>
        <v>C21H26N7O14P2</v>
      </c>
      <c r="D59" s="49" t="n">
        <f aca="false">Y8BiomRebuildCalc!T36</f>
        <v>662.417162</v>
      </c>
      <c r="E59" s="50" t="n">
        <f aca="false">-B59*D59/1000</f>
        <v>0.0017554054793</v>
      </c>
      <c r="F59" s="53"/>
      <c r="G59" s="53"/>
      <c r="H59" s="53"/>
    </row>
    <row r="60" customFormat="false" ht="12.8" hidden="false" customHeight="false" outlineLevel="0" collapsed="false">
      <c r="A60" s="47" t="str">
        <f aca="false">Y8BiomRebuildCalc!Q37</f>
        <v>nadh_c</v>
      </c>
      <c r="B60" s="48" t="n">
        <f aca="false">Y8BiomRebuildCalc!R37</f>
        <v>-0.00015</v>
      </c>
      <c r="C60" s="47" t="str">
        <f aca="false">Y8BiomRebuildCalc!S37</f>
        <v>C21H27N7O14P2</v>
      </c>
      <c r="D60" s="49" t="n">
        <f aca="false">Y8BiomRebuildCalc!T37</f>
        <v>663.425102</v>
      </c>
      <c r="E60" s="50" t="n">
        <f aca="false">-B60*D60/1000</f>
        <v>9.95137653E-005</v>
      </c>
      <c r="F60" s="53"/>
      <c r="G60" s="53"/>
      <c r="H60" s="53"/>
    </row>
    <row r="61" customFormat="false" ht="12.8" hidden="false" customHeight="false" outlineLevel="0" collapsed="false">
      <c r="A61" s="47" t="str">
        <f aca="false">Y8BiomRebuildCalc!Q38</f>
        <v>nadp_c</v>
      </c>
      <c r="B61" s="48" t="n">
        <f aca="false">Y8BiomRebuildCalc!R38</f>
        <v>-0.00057</v>
      </c>
      <c r="C61" s="47" t="str">
        <f aca="false">Y8BiomRebuildCalc!S38</f>
        <v>C21H25N7O17P3</v>
      </c>
      <c r="D61" s="49" t="n">
        <f aca="false">Y8BiomRebuildCalc!T38</f>
        <v>740.381183</v>
      </c>
      <c r="E61" s="50" t="n">
        <f aca="false">-B61*D61/1000</f>
        <v>0.00042201727431</v>
      </c>
      <c r="F61" s="53"/>
      <c r="G61" s="53"/>
      <c r="H61" s="53"/>
    </row>
    <row r="62" customFormat="false" ht="12.8" hidden="false" customHeight="false" outlineLevel="0" collapsed="false">
      <c r="A62" s="47" t="str">
        <f aca="false">Y8BiomRebuildCalc!Q39</f>
        <v>nadph_c</v>
      </c>
      <c r="B62" s="48" t="n">
        <f aca="false">Y8BiomRebuildCalc!R39</f>
        <v>-0.0027</v>
      </c>
      <c r="C62" s="47" t="str">
        <f aca="false">Y8BiomRebuildCalc!S39</f>
        <v>C21H26N7O17P3</v>
      </c>
      <c r="D62" s="49" t="n">
        <f aca="false">Y8BiomRebuildCalc!T39</f>
        <v>741.389123</v>
      </c>
      <c r="E62" s="50" t="n">
        <f aca="false">-B62*D62/1000</f>
        <v>0.0020017506321</v>
      </c>
      <c r="F62" s="53"/>
      <c r="G62" s="53"/>
      <c r="H62" s="53"/>
    </row>
    <row r="63" customFormat="false" ht="12.8" hidden="false" customHeight="false" outlineLevel="0" collapsed="false">
      <c r="A63" s="47" t="str">
        <f aca="false">Y8BiomRebuildCalc!Q40</f>
        <v>ribflv_c</v>
      </c>
      <c r="B63" s="48" t="n">
        <f aca="false">Y8BiomRebuildCalc!R40</f>
        <v>-0.00099</v>
      </c>
      <c r="C63" s="47" t="str">
        <f aca="false">Y8BiomRebuildCalc!S40</f>
        <v>C17H19N4O6</v>
      </c>
      <c r="D63" s="49" t="n">
        <f aca="false">Y8BiomRebuildCalc!T40</f>
        <v>375.35596</v>
      </c>
      <c r="E63" s="50" t="n">
        <f aca="false">-B63*D63/1000</f>
        <v>0.0003716024004</v>
      </c>
      <c r="F63" s="53"/>
      <c r="G63" s="53"/>
      <c r="H63" s="53"/>
    </row>
    <row r="64" customFormat="false" ht="12.8" hidden="false" customHeight="false" outlineLevel="0" collapsed="false">
      <c r="A64" s="47" t="str">
        <f aca="false">Y8BiomRebuildCalc!Q41</f>
        <v>thf_c</v>
      </c>
      <c r="B64" s="48" t="n">
        <f aca="false">Y8BiomRebuildCalc!R41</f>
        <v>-6.3E-005</v>
      </c>
      <c r="C64" s="47" t="str">
        <f aca="false">Y8BiomRebuildCalc!S41</f>
        <v>C19H23N7O6</v>
      </c>
      <c r="D64" s="49" t="n">
        <f aca="false">Y8BiomRebuildCalc!T41</f>
        <v>443.41334</v>
      </c>
      <c r="E64" s="50" t="n">
        <f aca="false">-B64*D64/1000</f>
        <v>2.793504042E-005</v>
      </c>
      <c r="F64" s="53"/>
      <c r="G64" s="53"/>
      <c r="H64" s="53"/>
    </row>
    <row r="65" customFormat="false" ht="12.8" hidden="false" customHeight="false" outlineLevel="0" collapsed="false">
      <c r="A65" s="47" t="str">
        <f aca="false">Y8BiomRebuildCalc!Q42</f>
        <v>thmpp_c</v>
      </c>
      <c r="B65" s="48" t="n">
        <f aca="false">Y8BiomRebuildCalc!R42</f>
        <v>-1E-006</v>
      </c>
      <c r="C65" s="47" t="str">
        <f aca="false">Y8BiomRebuildCalc!S42</f>
        <v>C12H18N4O7P2S</v>
      </c>
      <c r="D65" s="49" t="n">
        <f aca="false">Y8BiomRebuildCalc!T42</f>
        <v>422.290562</v>
      </c>
      <c r="E65" s="55" t="n">
        <f aca="false">-B65*D65/1000</f>
        <v>4.22290562E-007</v>
      </c>
      <c r="F65" s="53"/>
      <c r="G65" s="53"/>
      <c r="H65" s="53"/>
    </row>
    <row r="66" customFormat="false" ht="12.8" hidden="false" customHeight="false" outlineLevel="0" collapsed="false">
      <c r="A66" s="56" t="str">
        <f aca="false">Y8BiomRebuildCalc!Q52</f>
        <v>so4_c</v>
      </c>
      <c r="B66" s="57" t="n">
        <f aca="false">Y8BiomRebuildCalc!R52</f>
        <v>-0.0312229450439893</v>
      </c>
      <c r="C66" s="56" t="str">
        <f aca="false">Y8BiomRebuildCalc!S52</f>
        <v>O4S1</v>
      </c>
      <c r="D66" s="58" t="n">
        <f aca="false">Y8BiomRebuildCalc!T52</f>
        <v>96.0626</v>
      </c>
      <c r="E66" s="59" t="n">
        <f aca="false">-B66*D66/1000</f>
        <v>0.00299935728058273</v>
      </c>
      <c r="F66" s="60" t="s">
        <v>33</v>
      </c>
      <c r="G66" s="61" t="n">
        <f aca="false">Y8BiomRebuildCalc!F14</f>
        <v>0.00299935728058273</v>
      </c>
      <c r="H66" s="61" t="n">
        <f aca="false">E66</f>
        <v>0.00299935728058273</v>
      </c>
    </row>
    <row r="67" customFormat="false" ht="12.8" hidden="false" customHeight="false" outlineLevel="0" collapsed="false">
      <c r="A67" s="62" t="str">
        <f aca="false">Y8BiomRebuildCalc!Q51</f>
        <v>pi_c</v>
      </c>
      <c r="B67" s="63" t="n">
        <f aca="false">Y8BiomRebuildCalc!R51</f>
        <v>-0.105654907187884</v>
      </c>
      <c r="C67" s="62" t="str">
        <f aca="false">Y8BiomRebuildCalc!S51</f>
        <v>H1O4P1</v>
      </c>
      <c r="D67" s="64" t="n">
        <f aca="false">Y8BiomRebuildCalc!T51</f>
        <v>95.979301</v>
      </c>
      <c r="E67" s="65" t="n">
        <f aca="false">-B67*D67/1000</f>
        <v>0.010140684139113</v>
      </c>
      <c r="F67" s="66" t="s">
        <v>34</v>
      </c>
      <c r="G67" s="67" t="n">
        <f aca="false">Y8BiomRebuildCalc!F13</f>
        <v>0.010140684139113</v>
      </c>
      <c r="H67" s="67" t="n">
        <f aca="false">E67</f>
        <v>0.010140684139113</v>
      </c>
      <c r="I67" s="0" t="s">
        <v>35</v>
      </c>
    </row>
    <row r="68" customFormat="false" ht="12.8" hidden="false" customHeight="false" outlineLevel="0" collapsed="false">
      <c r="A68" s="68" t="s">
        <v>36</v>
      </c>
      <c r="B68" s="69" t="n">
        <f aca="false">-$G$68</f>
        <v>-95.30828</v>
      </c>
      <c r="C68" s="68" t="s">
        <v>37</v>
      </c>
      <c r="D68" s="70" t="n">
        <v>503.149263</v>
      </c>
      <c r="E68" s="68"/>
      <c r="F68" s="71" t="s">
        <v>38</v>
      </c>
      <c r="G68" s="72" t="n">
        <v>95.30828</v>
      </c>
      <c r="H68" s="68"/>
    </row>
    <row r="69" customFormat="false" ht="12.8" hidden="false" customHeight="false" outlineLevel="0" collapsed="false">
      <c r="A69" s="68" t="s">
        <v>39</v>
      </c>
      <c r="B69" s="69" t="n">
        <f aca="false">-$G$68</f>
        <v>-95.30828</v>
      </c>
      <c r="C69" s="68" t="s">
        <v>40</v>
      </c>
      <c r="D69" s="70" t="n">
        <v>18.01528</v>
      </c>
      <c r="E69" s="68"/>
      <c r="F69" s="68"/>
      <c r="G69" s="68"/>
      <c r="H69" s="68"/>
      <c r="K69" s="12"/>
      <c r="L69" s="12"/>
    </row>
    <row r="70" customFormat="false" ht="12.8" hidden="false" customHeight="false" outlineLevel="0" collapsed="false">
      <c r="A70" s="68" t="s">
        <v>41</v>
      </c>
      <c r="B70" s="69" t="n">
        <f aca="false">$G$68</f>
        <v>95.30828</v>
      </c>
      <c r="C70" s="68" t="s">
        <v>42</v>
      </c>
      <c r="D70" s="70" t="n">
        <v>424.177302</v>
      </c>
      <c r="E70" s="68"/>
      <c r="F70" s="68"/>
      <c r="G70" s="68"/>
      <c r="H70" s="68"/>
    </row>
    <row r="71" customFormat="false" ht="12.8" hidden="false" customHeight="false" outlineLevel="0" collapsed="false">
      <c r="A71" s="68" t="s">
        <v>43</v>
      </c>
      <c r="B71" s="69" t="n">
        <f aca="false">$G$68</f>
        <v>95.30828</v>
      </c>
      <c r="C71" s="68" t="s">
        <v>44</v>
      </c>
      <c r="D71" s="70" t="n">
        <v>95.979301</v>
      </c>
      <c r="E71" s="68"/>
      <c r="F71" s="68"/>
      <c r="G71" s="68"/>
      <c r="H71" s="68"/>
      <c r="I71" s="0" t="s">
        <v>35</v>
      </c>
    </row>
    <row r="72" customFormat="false" ht="12.8" hidden="false" customHeight="false" outlineLevel="0" collapsed="false">
      <c r="A72" s="68" t="s">
        <v>45</v>
      </c>
      <c r="B72" s="69" t="n">
        <f aca="false">$G$68</f>
        <v>95.30828</v>
      </c>
      <c r="C72" s="68" t="s">
        <v>46</v>
      </c>
      <c r="D72" s="70" t="n">
        <v>1.00794</v>
      </c>
      <c r="E72" s="68"/>
      <c r="F72" s="68"/>
      <c r="G72" s="68"/>
      <c r="H72" s="68"/>
      <c r="K72" s="12"/>
      <c r="L72" s="12"/>
    </row>
    <row r="73" customFormat="false" ht="12.8" hidden="false" customHeight="false" outlineLevel="0" collapsed="false">
      <c r="A73" s="12" t="s">
        <v>36</v>
      </c>
      <c r="B73" s="73" t="n">
        <f aca="false">B41+B68</f>
        <v>-95.3502908491332</v>
      </c>
      <c r="C73" s="12" t="s">
        <v>37</v>
      </c>
      <c r="D73" s="74" t="n">
        <v>503.149263</v>
      </c>
      <c r="E73" s="12"/>
      <c r="F73" s="1" t="s">
        <v>47</v>
      </c>
      <c r="G73" s="12"/>
      <c r="H73" s="12"/>
      <c r="I73" s="0" t="s">
        <v>48</v>
      </c>
    </row>
    <row r="74" customFormat="false" ht="12.8" hidden="false" customHeight="false" outlineLevel="0" collapsed="false">
      <c r="A74" s="0" t="s">
        <v>43</v>
      </c>
      <c r="B74" s="73" t="n">
        <f aca="false">SUM(B67,B71)</f>
        <v>95.2026250928121</v>
      </c>
      <c r="C74" s="0" t="s">
        <v>44</v>
      </c>
      <c r="D74" s="74" t="n">
        <v>95.979301</v>
      </c>
      <c r="F74" s="1" t="s">
        <v>47</v>
      </c>
      <c r="I74" s="0" t="s">
        <v>35</v>
      </c>
    </row>
    <row r="75" customFormat="false" ht="12.85" hidden="false" customHeight="false" outlineLevel="0" collapsed="false">
      <c r="A75" s="0" t="s">
        <v>49</v>
      </c>
      <c r="B75" s="75" t="n">
        <f aca="false">-SUM(B41:B48)</f>
        <v>0.192581124769835</v>
      </c>
      <c r="C75" s="76" t="s">
        <v>50</v>
      </c>
      <c r="D75" s="77" t="n">
        <v>174.951262</v>
      </c>
      <c r="E75" s="9" t="n">
        <f aca="false">-B75*D75/1000</f>
        <v>-0.0336923108158622</v>
      </c>
      <c r="F75" s="1" t="s">
        <v>51</v>
      </c>
      <c r="I75" s="0" t="s">
        <v>28</v>
      </c>
      <c r="K75" s="76"/>
    </row>
    <row r="76" customFormat="false" ht="12.8" hidden="false" customHeight="false" outlineLevel="0" collapsed="false">
      <c r="A76" s="0" t="s">
        <v>52</v>
      </c>
      <c r="B76" s="75" t="n">
        <f aca="false">-B2</f>
        <v>0.370406730840497</v>
      </c>
      <c r="I76" s="0" t="s">
        <v>11</v>
      </c>
    </row>
    <row r="77" customFormat="false" ht="12.8" hidden="false" customHeight="false" outlineLevel="0" collapsed="false">
      <c r="A77" s="0" t="s">
        <v>53</v>
      </c>
      <c r="B77" s="75" t="n">
        <f aca="false">-B3</f>
        <v>0.146342884446706</v>
      </c>
      <c r="I77" s="0" t="s">
        <v>11</v>
      </c>
    </row>
    <row r="78" customFormat="false" ht="12.8" hidden="false" customHeight="false" outlineLevel="0" collapsed="false">
      <c r="A78" s="0" t="s">
        <v>54</v>
      </c>
      <c r="B78" s="75" t="n">
        <f aca="false">-B4</f>
        <v>0.175914762650963</v>
      </c>
      <c r="I78" s="0" t="s">
        <v>11</v>
      </c>
    </row>
    <row r="79" customFormat="false" ht="12.8" hidden="false" customHeight="false" outlineLevel="0" collapsed="false">
      <c r="A79" s="0" t="s">
        <v>55</v>
      </c>
      <c r="B79" s="75" t="n">
        <f aca="false">-B5</f>
        <v>0.175914762650963</v>
      </c>
      <c r="I79" s="0" t="s">
        <v>11</v>
      </c>
    </row>
    <row r="80" customFormat="false" ht="12.8" hidden="false" customHeight="false" outlineLevel="0" collapsed="false">
      <c r="A80" s="0" t="s">
        <v>56</v>
      </c>
      <c r="B80" s="75" t="n">
        <f aca="false">-B6</f>
        <v>0.00530777301102043</v>
      </c>
      <c r="I80" s="0" t="s">
        <v>11</v>
      </c>
    </row>
    <row r="81" customFormat="false" ht="12.8" hidden="false" customHeight="false" outlineLevel="0" collapsed="false">
      <c r="A81" s="0" t="s">
        <v>57</v>
      </c>
      <c r="B81" s="75" t="n">
        <f aca="false">-B7</f>
        <v>0.293444022180701</v>
      </c>
      <c r="I81" s="0" t="s">
        <v>11</v>
      </c>
    </row>
    <row r="82" customFormat="false" ht="12.8" hidden="false" customHeight="false" outlineLevel="0" collapsed="false">
      <c r="A82" s="0" t="s">
        <v>58</v>
      </c>
      <c r="B82" s="75" t="n">
        <f aca="false">-B8</f>
        <v>0.293444022180701</v>
      </c>
      <c r="I82" s="0" t="s">
        <v>11</v>
      </c>
    </row>
    <row r="83" customFormat="false" ht="12.8" hidden="false" customHeight="false" outlineLevel="0" collapsed="false">
      <c r="A83" s="0" t="s">
        <v>59</v>
      </c>
      <c r="B83" s="75" t="n">
        <f aca="false">-B9</f>
        <v>0.337043586199797</v>
      </c>
      <c r="I83" s="0" t="s">
        <v>11</v>
      </c>
    </row>
    <row r="84" customFormat="false" ht="12.8" hidden="false" customHeight="false" outlineLevel="0" collapsed="false">
      <c r="A84" s="0" t="s">
        <v>60</v>
      </c>
      <c r="B84" s="75" t="n">
        <f aca="false">-B10</f>
        <v>0.0731714422233531</v>
      </c>
      <c r="I84" s="0" t="s">
        <v>11</v>
      </c>
    </row>
    <row r="85" customFormat="false" ht="12.8" hidden="false" customHeight="false" outlineLevel="0" collapsed="false">
      <c r="A85" s="0" t="s">
        <v>61</v>
      </c>
      <c r="B85" s="75" t="n">
        <f aca="false">-B11</f>
        <v>0.223305593106502</v>
      </c>
      <c r="I85" s="0" t="s">
        <v>11</v>
      </c>
    </row>
    <row r="86" customFormat="false" ht="12.8" hidden="false" customHeight="false" outlineLevel="0" collapsed="false">
      <c r="A86" s="0" t="s">
        <v>62</v>
      </c>
      <c r="B86" s="75" t="n">
        <f aca="false">-B12</f>
        <v>0.303680441559097</v>
      </c>
      <c r="I86" s="0" t="s">
        <v>11</v>
      </c>
    </row>
    <row r="87" customFormat="false" ht="12.8" hidden="false" customHeight="false" outlineLevel="0" collapsed="false">
      <c r="A87" s="0" t="s">
        <v>63</v>
      </c>
      <c r="B87" s="75" t="n">
        <f aca="false">-B13</f>
        <v>0.249086204874316</v>
      </c>
      <c r="I87" s="0" t="s">
        <v>11</v>
      </c>
    </row>
    <row r="88" customFormat="false" ht="12.8" hidden="false" customHeight="false" outlineLevel="0" collapsed="false">
      <c r="A88" s="0" t="s">
        <v>64</v>
      </c>
      <c r="B88" s="75" t="n">
        <f aca="false">-B14</f>
        <v>0.0432204373754521</v>
      </c>
      <c r="I88" s="0" t="s">
        <v>11</v>
      </c>
    </row>
    <row r="89" customFormat="false" ht="12.8" hidden="false" customHeight="false" outlineLevel="0" collapsed="false">
      <c r="A89" s="0" t="s">
        <v>65</v>
      </c>
      <c r="B89" s="75" t="n">
        <f aca="false">-B15</f>
        <v>0.142551618010263</v>
      </c>
      <c r="I89" s="0" t="s">
        <v>11</v>
      </c>
    </row>
    <row r="90" customFormat="false" ht="12.8" hidden="false" customHeight="false" outlineLevel="0" collapsed="false">
      <c r="A90" s="0" t="s">
        <v>66</v>
      </c>
      <c r="B90" s="75" t="n">
        <f aca="false">-B16</f>
        <v>0.159991443617901</v>
      </c>
      <c r="I90" s="0" t="s">
        <v>11</v>
      </c>
    </row>
    <row r="91" customFormat="false" ht="12.8" hidden="false" customHeight="false" outlineLevel="0" collapsed="false">
      <c r="A91" s="0" t="s">
        <v>67</v>
      </c>
      <c r="B91" s="75" t="n">
        <f aca="false">-B17</f>
        <v>0.202074501062421</v>
      </c>
      <c r="I91" s="0" t="s">
        <v>11</v>
      </c>
    </row>
    <row r="92" customFormat="false" ht="12.8" hidden="false" customHeight="false" outlineLevel="0" collapsed="false">
      <c r="A92" s="0" t="s">
        <v>68</v>
      </c>
      <c r="B92" s="75" t="n">
        <f aca="false">-B18</f>
        <v>0.211173540509884</v>
      </c>
      <c r="I92" s="0" t="s">
        <v>11</v>
      </c>
    </row>
    <row r="93" customFormat="false" ht="12.8" hidden="false" customHeight="false" outlineLevel="0" collapsed="false">
      <c r="A93" s="0" t="s">
        <v>69</v>
      </c>
      <c r="B93" s="75" t="n">
        <f aca="false">-B19</f>
        <v>0.0246432318368806</v>
      </c>
      <c r="I93" s="0" t="s">
        <v>11</v>
      </c>
    </row>
    <row r="94" customFormat="false" ht="12.8" hidden="false" customHeight="false" outlineLevel="0" collapsed="false">
      <c r="A94" s="0" t="s">
        <v>70</v>
      </c>
      <c r="B94" s="75" t="n">
        <f aca="false">-B20</f>
        <v>0.074308822154286</v>
      </c>
      <c r="I94" s="0" t="s">
        <v>11</v>
      </c>
    </row>
    <row r="95" customFormat="false" ht="12.8" hidden="false" customHeight="false" outlineLevel="0" collapsed="false">
      <c r="A95" s="0" t="s">
        <v>71</v>
      </c>
      <c r="B95" s="75" t="n">
        <f aca="false">-B21</f>
        <v>0.277899829791284</v>
      </c>
      <c r="I95" s="0" t="s">
        <v>11</v>
      </c>
    </row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8" activeCellId="0" sqref="T8"/>
    </sheetView>
  </sheetViews>
  <sheetFormatPr defaultColWidth="6.01953125" defaultRowHeight="13" zeroHeight="false" outlineLevelRow="0" outlineLevelCol="0"/>
  <cols>
    <col collapsed="false" customWidth="true" hidden="false" outlineLevel="0" max="1" min="1" style="12" width="15.48"/>
    <col collapsed="false" customWidth="true" hidden="false" outlineLevel="0" max="2" min="2" style="12" width="10.65"/>
    <col collapsed="false" customWidth="true" hidden="false" outlineLevel="0" max="3" min="3" style="12" width="13.43"/>
    <col collapsed="false" customWidth="true" hidden="false" outlineLevel="0" max="4" min="4" style="12" width="12.15"/>
    <col collapsed="false" customWidth="true" hidden="false" outlineLevel="0" max="5" min="5" style="12" width="10.65"/>
    <col collapsed="false" customWidth="true" hidden="false" outlineLevel="0" max="6" min="6" style="12" width="12.63"/>
    <col collapsed="false" customWidth="true" hidden="false" outlineLevel="0" max="7" min="7" style="12" width="8.67"/>
    <col collapsed="false" customWidth="true" hidden="false" outlineLevel="0" max="8" min="8" style="12" width="10.72"/>
    <col collapsed="false" customWidth="true" hidden="false" outlineLevel="0" max="9" min="9" style="12" width="14.69"/>
    <col collapsed="false" customWidth="true" hidden="false" outlineLevel="0" max="10" min="10" style="12" width="11.49"/>
    <col collapsed="false" customWidth="true" hidden="false" outlineLevel="0" max="11" min="11" style="12" width="15.34"/>
    <col collapsed="false" customWidth="true" hidden="false" outlineLevel="0" max="12" min="12" style="12" width="7.67"/>
    <col collapsed="false" customWidth="true" hidden="false" outlineLevel="0" max="13" min="13" style="12" width="7.83"/>
    <col collapsed="false" customWidth="true" hidden="false" outlineLevel="0" max="14" min="14" style="12" width="7.67"/>
    <col collapsed="false" customWidth="false" hidden="false" outlineLevel="0" max="16" min="15" style="12" width="6.01"/>
    <col collapsed="false" customWidth="true" hidden="false" outlineLevel="0" max="17" min="17" style="12" width="12.66"/>
    <col collapsed="false" customWidth="true" hidden="false" outlineLevel="0" max="18" min="18" style="12" width="9.16"/>
    <col collapsed="false" customWidth="true" hidden="false" outlineLevel="0" max="19" min="19" style="12" width="9.47"/>
    <col collapsed="false" customWidth="true" hidden="false" outlineLevel="0" max="20" min="20" style="12" width="7.53"/>
    <col collapsed="false" customWidth="true" hidden="false" outlineLevel="0" max="21" min="21" style="12" width="7.41"/>
    <col collapsed="false" customWidth="true" hidden="false" outlineLevel="0" max="22" min="22" style="12" width="9.09"/>
    <col collapsed="false" customWidth="false" hidden="false" outlineLevel="0" max="24" min="23" style="12" width="6.01"/>
    <col collapsed="false" customWidth="true" hidden="false" outlineLevel="0" max="25" min="25" style="12" width="15.28"/>
    <col collapsed="false" customWidth="true" hidden="false" outlineLevel="0" max="26" min="26" style="12" width="13.55"/>
    <col collapsed="false" customWidth="false" hidden="false" outlineLevel="0" max="1024" min="27" style="12" width="6.01"/>
  </cols>
  <sheetData>
    <row r="1" customFormat="false" ht="12.8" hidden="false" customHeight="false" outlineLevel="0" collapsed="false">
      <c r="A1" s="12" t="s">
        <v>72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P1" s="0"/>
      <c r="Q1" s="0"/>
      <c r="R1" s="0"/>
      <c r="S1" s="0"/>
      <c r="T1" s="0"/>
      <c r="U1" s="0"/>
      <c r="V1" s="0"/>
    </row>
    <row r="2" customFormat="false" ht="12.8" hidden="false" customHeight="false" outlineLevel="0" collapsed="false">
      <c r="A2" s="12" t="s">
        <v>73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P2" s="0"/>
      <c r="Q2" s="0"/>
      <c r="R2" s="0"/>
      <c r="S2" s="0"/>
      <c r="T2" s="0"/>
      <c r="U2" s="0"/>
      <c r="V2" s="0"/>
    </row>
    <row r="3" customFormat="false" ht="12.8" hidden="false" customHeight="false" outlineLevel="0" collapsed="false">
      <c r="A3" s="78" t="s">
        <v>74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P3" s="0"/>
      <c r="Q3" s="0"/>
      <c r="R3" s="0"/>
      <c r="S3" s="0"/>
      <c r="T3" s="0"/>
      <c r="U3" s="0"/>
      <c r="V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P4" s="0"/>
      <c r="Q4" s="0"/>
      <c r="R4" s="0"/>
      <c r="S4" s="0"/>
      <c r="T4" s="0"/>
      <c r="U4" s="0"/>
      <c r="V4" s="0"/>
    </row>
    <row r="5" customFormat="false" ht="12.8" hidden="false" customHeight="false" outlineLevel="0" collapsed="false">
      <c r="A5" s="1" t="s">
        <v>75</v>
      </c>
      <c r="B5" s="0"/>
      <c r="C5" s="0"/>
      <c r="D5" s="0"/>
      <c r="E5" s="1"/>
      <c r="F5" s="46"/>
      <c r="G5" s="0"/>
      <c r="H5" s="0"/>
      <c r="I5" s="1" t="s">
        <v>76</v>
      </c>
      <c r="J5" s="0"/>
      <c r="K5" s="0"/>
      <c r="L5" s="0"/>
      <c r="M5" s="0"/>
      <c r="N5" s="0"/>
      <c r="P5" s="0"/>
      <c r="Q5" s="0"/>
      <c r="R5" s="0"/>
      <c r="S5" s="0"/>
      <c r="T5" s="0"/>
      <c r="U5" s="0"/>
      <c r="V5" s="0"/>
    </row>
    <row r="6" customFormat="false" ht="12.8" hidden="false" customHeight="false" outlineLevel="0" collapsed="false">
      <c r="A6" s="0"/>
      <c r="B6" s="0"/>
      <c r="C6" s="0"/>
      <c r="D6" s="0"/>
      <c r="E6" s="0"/>
      <c r="F6" s="9"/>
      <c r="G6" s="0"/>
      <c r="H6" s="0"/>
      <c r="I6" s="1" t="s">
        <v>10</v>
      </c>
      <c r="J6" s="0"/>
      <c r="K6" s="0"/>
      <c r="L6" s="0"/>
      <c r="M6" s="0"/>
      <c r="N6" s="0"/>
      <c r="P6" s="0"/>
      <c r="Q6" s="1" t="s">
        <v>25</v>
      </c>
      <c r="R6" s="0"/>
      <c r="S6" s="0"/>
      <c r="T6" s="46"/>
      <c r="U6" s="0"/>
      <c r="V6" s="0"/>
      <c r="Y6" s="1" t="s">
        <v>10</v>
      </c>
      <c r="Z6" s="0"/>
    </row>
    <row r="7" customFormat="false" ht="12.8" hidden="false" customHeight="false" outlineLevel="0" collapsed="false">
      <c r="A7" s="0"/>
      <c r="B7" s="2" t="s">
        <v>77</v>
      </c>
      <c r="C7" s="79"/>
      <c r="D7" s="0"/>
      <c r="E7" s="0"/>
      <c r="F7" s="79" t="s">
        <v>78</v>
      </c>
      <c r="G7" s="79"/>
      <c r="H7" s="0"/>
      <c r="I7" s="1" t="s">
        <v>79</v>
      </c>
      <c r="J7" s="1" t="s">
        <v>1</v>
      </c>
      <c r="K7" s="1" t="s">
        <v>80</v>
      </c>
      <c r="L7" s="1" t="s">
        <v>3</v>
      </c>
      <c r="M7" s="1" t="s">
        <v>81</v>
      </c>
      <c r="N7" s="1" t="s">
        <v>82</v>
      </c>
      <c r="P7" s="0"/>
      <c r="Q7" s="1" t="s">
        <v>0</v>
      </c>
      <c r="R7" s="1" t="s">
        <v>1</v>
      </c>
      <c r="S7" s="1" t="s">
        <v>2</v>
      </c>
      <c r="T7" s="80" t="s">
        <v>83</v>
      </c>
      <c r="U7" s="1" t="s">
        <v>81</v>
      </c>
      <c r="V7" s="1" t="s">
        <v>82</v>
      </c>
      <c r="Y7" s="1" t="s">
        <v>84</v>
      </c>
      <c r="Z7" s="1" t="s">
        <v>85</v>
      </c>
    </row>
    <row r="8" customFormat="false" ht="12.8" hidden="false" customHeight="false" outlineLevel="0" collapsed="false">
      <c r="A8" s="1" t="s">
        <v>86</v>
      </c>
      <c r="B8" s="6" t="n">
        <v>0.399200171391845</v>
      </c>
      <c r="C8" s="9"/>
      <c r="D8" s="1" t="s">
        <v>86</v>
      </c>
      <c r="E8" s="9" t="n">
        <f aca="false">B8</f>
        <v>0.399200171391845</v>
      </c>
      <c r="F8" s="9" t="n">
        <f aca="false">E8 / SUM($E$8:$E$12) * (1 - SUM($F$13:$F$17))</f>
        <v>0.415332250419199</v>
      </c>
      <c r="G8" s="9" t="s">
        <v>87</v>
      </c>
      <c r="H8" s="0"/>
      <c r="I8" s="12" t="s">
        <v>88</v>
      </c>
      <c r="J8" s="81" t="n">
        <f aca="false">-N8*1000 / L8</f>
        <v>-0.370406730840497</v>
      </c>
      <c r="K8" s="11" t="s">
        <v>89</v>
      </c>
      <c r="L8" s="82" t="n">
        <v>72.08584</v>
      </c>
      <c r="M8" s="83" t="n">
        <f aca="false">F46</f>
        <v>0.0979154139106033</v>
      </c>
      <c r="N8" s="9" t="n">
        <f aca="false">$F$8*L8*M8 / SUMPRODUCT($L$8:$L$27,$M$8:$M$27)</f>
        <v>0.0267010803342911</v>
      </c>
      <c r="P8" s="0"/>
      <c r="Q8" s="12" t="s">
        <v>36</v>
      </c>
      <c r="R8" s="84" t="n">
        <f aca="false">-V8*1000 / T8</f>
        <v>-0.0420108491332355</v>
      </c>
      <c r="S8" s="11" t="s">
        <v>37</v>
      </c>
      <c r="T8" s="85" t="n">
        <f aca="false">503.149263 - 174.951262</f>
        <v>328.198001</v>
      </c>
      <c r="U8" s="86" t="n">
        <f aca="false">C27</f>
        <v>0.233978501402768</v>
      </c>
      <c r="V8" s="9" t="n">
        <f aca="false">$F$11*T8*U8 / SUMPRODUCT($T$8:$T$11,$U$8:$U$11)</f>
        <v>0.0137878767058405</v>
      </c>
      <c r="Y8" s="76" t="s">
        <v>90</v>
      </c>
      <c r="Z8" s="85" t="n">
        <v>89.09318</v>
      </c>
    </row>
    <row r="9" customFormat="false" ht="12.8" hidden="false" customHeight="false" outlineLevel="0" collapsed="false">
      <c r="A9" s="1" t="s">
        <v>91</v>
      </c>
      <c r="B9" s="6" t="n">
        <v>0.391630364921802</v>
      </c>
      <c r="C9" s="9"/>
      <c r="D9" s="1" t="s">
        <v>91</v>
      </c>
      <c r="E9" s="9" t="n">
        <f aca="false">B9</f>
        <v>0.391630364921802</v>
      </c>
      <c r="F9" s="9" t="n">
        <f aca="false">E9 / SUM($E$8:$E$12) * (1 - SUM($F$13:$F$17))</f>
        <v>0.407456540482805</v>
      </c>
      <c r="G9" s="0" t="s">
        <v>87</v>
      </c>
      <c r="H9" s="0"/>
      <c r="I9" s="12" t="s">
        <v>92</v>
      </c>
      <c r="J9" s="81" t="n">
        <f aca="false">-N9*1000 / L9</f>
        <v>-0.146342884446706</v>
      </c>
      <c r="K9" s="11" t="s">
        <v>93</v>
      </c>
      <c r="L9" s="82" t="n">
        <v>158.20156</v>
      </c>
      <c r="M9" s="83" t="n">
        <f aca="false">F47</f>
        <v>0.038685107235919</v>
      </c>
      <c r="N9" s="9" t="n">
        <f aca="false">$F$8*L9*M9 / SUMPRODUCT($L$8:$L$27,$M$8:$M$27)</f>
        <v>0.0231516726143686</v>
      </c>
      <c r="P9" s="0"/>
      <c r="Q9" s="12" t="s">
        <v>94</v>
      </c>
      <c r="R9" s="84" t="n">
        <f aca="false">-V9*1000 / T9</f>
        <v>-0.0408232066260222</v>
      </c>
      <c r="S9" s="11" t="s">
        <v>95</v>
      </c>
      <c r="T9" s="85" t="n">
        <f aca="false">479.124563 - 174.951262</f>
        <v>304.173301</v>
      </c>
      <c r="U9" s="86" t="n">
        <f aca="false">C28</f>
        <v>0.227363952547573</v>
      </c>
      <c r="V9" s="9" t="n">
        <f aca="false">$F$11*T9*U9 / SUMPRODUCT($T$8:$T$11,$U$8:$U$11)</f>
        <v>0.0124173295168422</v>
      </c>
      <c r="Y9" s="76" t="s">
        <v>96</v>
      </c>
      <c r="Z9" s="85" t="n">
        <v>175.2089</v>
      </c>
    </row>
    <row r="10" customFormat="false" ht="12.8" hidden="false" customHeight="false" outlineLevel="0" collapsed="false">
      <c r="A10" s="1" t="s">
        <v>97</v>
      </c>
      <c r="B10" s="6" t="n">
        <v>0.0696993501392559</v>
      </c>
      <c r="C10" s="87"/>
      <c r="D10" s="1" t="s">
        <v>97</v>
      </c>
      <c r="E10" s="9" t="n">
        <f aca="false">B10</f>
        <v>0.0696993501392559</v>
      </c>
      <c r="F10" s="9" t="n">
        <f aca="false">E10 / SUM($E$8:$E$12) * (1 - SUM($F$13:$F$17))</f>
        <v>0.0725159707350873</v>
      </c>
      <c r="G10" s="9" t="s">
        <v>87</v>
      </c>
      <c r="H10" s="0"/>
      <c r="I10" s="12" t="s">
        <v>98</v>
      </c>
      <c r="J10" s="81" t="n">
        <f aca="false">-N10*1000 / L10</f>
        <v>-0.175914762650963</v>
      </c>
      <c r="K10" s="11" t="s">
        <v>99</v>
      </c>
      <c r="L10" s="82" t="n">
        <v>115.11058</v>
      </c>
      <c r="M10" s="83" t="n">
        <f aca="false">F48</f>
        <v>0.0465023050711566</v>
      </c>
      <c r="N10" s="9" t="n">
        <f aca="false">$F$8*L10*M10 / SUMPRODUCT($L$8:$L$27,$M$8:$M$27)</f>
        <v>0.0202496503593147</v>
      </c>
      <c r="P10" s="0"/>
      <c r="Q10" s="12" t="s">
        <v>100</v>
      </c>
      <c r="R10" s="84" t="n">
        <f aca="false">-V10*1000 / T10</f>
        <v>-0.0420108491332355</v>
      </c>
      <c r="S10" s="11" t="s">
        <v>101</v>
      </c>
      <c r="T10" s="85" t="n">
        <f aca="false">519.148663 - 174.951262</f>
        <v>344.197401</v>
      </c>
      <c r="U10" s="86" t="n">
        <f aca="false">C29</f>
        <v>0.233978501402768</v>
      </c>
      <c r="V10" s="9" t="n">
        <f aca="false">$F$11*T10*U10 / SUMPRODUCT($T$8:$T$11,$U$8:$U$11)</f>
        <v>0.0144600250854628</v>
      </c>
      <c r="Y10" s="76" t="s">
        <v>102</v>
      </c>
      <c r="Z10" s="85" t="n">
        <v>132.11792</v>
      </c>
    </row>
    <row r="11" customFormat="false" ht="12.8" hidden="false" customHeight="false" outlineLevel="0" collapsed="false">
      <c r="A11" s="1" t="s">
        <v>103</v>
      </c>
      <c r="B11" s="6" t="n">
        <v>0.055131043347854</v>
      </c>
      <c r="C11" s="9"/>
      <c r="D11" s="1" t="s">
        <v>103</v>
      </c>
      <c r="E11" s="9" t="n">
        <f aca="false">B11</f>
        <v>0.055131043347854</v>
      </c>
      <c r="F11" s="9" t="n">
        <f aca="false">E11 / SUM($E$8:$E$12) * (1 - SUM($F$13:$F$17))</f>
        <v>0.0573589440650485</v>
      </c>
      <c r="G11" s="9" t="s">
        <v>87</v>
      </c>
      <c r="H11" s="0"/>
      <c r="I11" s="12" t="s">
        <v>104</v>
      </c>
      <c r="J11" s="81" t="n">
        <f aca="false">-N11*1000 / L11</f>
        <v>-0.175914762650963</v>
      </c>
      <c r="K11" s="11" t="s">
        <v>105</v>
      </c>
      <c r="L11" s="82" t="n">
        <v>115.0874</v>
      </c>
      <c r="M11" s="83" t="n">
        <f aca="false">F49</f>
        <v>0.0465023050711566</v>
      </c>
      <c r="N11" s="9" t="n">
        <f aca="false">$F$8*L11*M11 / SUMPRODUCT($L$8:$L$27,$M$8:$M$27)</f>
        <v>0.0202455726551164</v>
      </c>
      <c r="P11" s="0"/>
      <c r="Q11" s="12" t="s">
        <v>106</v>
      </c>
      <c r="R11" s="84" t="n">
        <f aca="false">-V11*1000 / T11</f>
        <v>-0.0547051344545771</v>
      </c>
      <c r="S11" s="11" t="s">
        <v>107</v>
      </c>
      <c r="T11" s="85" t="n">
        <f aca="false">480.109323 - 174.951262</f>
        <v>305.158061</v>
      </c>
      <c r="U11" s="86" t="n">
        <f aca="false">C30</f>
        <v>0.304679044646891</v>
      </c>
      <c r="V11" s="9" t="n">
        <f aca="false">$F$11*T11*U11 / SUMPRODUCT($T$8:$T$11,$U$8:$U$11)</f>
        <v>0.016693712756903</v>
      </c>
      <c r="Y11" s="76" t="s">
        <v>108</v>
      </c>
      <c r="Z11" s="85" t="n">
        <v>132.09474</v>
      </c>
    </row>
    <row r="12" customFormat="false" ht="12.8" hidden="false" customHeight="false" outlineLevel="0" collapsed="false">
      <c r="A12" s="1" t="s">
        <v>109</v>
      </c>
      <c r="B12" s="6" t="n">
        <v>0.00385631650360637</v>
      </c>
      <c r="C12" s="9"/>
      <c r="D12" s="1" t="s">
        <v>109</v>
      </c>
      <c r="E12" s="9" t="n">
        <f aca="false">B12</f>
        <v>0.00385631650360637</v>
      </c>
      <c r="F12" s="9" t="n">
        <f aca="false">E12 / SUM($E$8:$E$12) * (1 - SUM($F$13:$F$17))</f>
        <v>0.00401215411853966</v>
      </c>
      <c r="G12" s="9" t="s">
        <v>87</v>
      </c>
      <c r="H12" s="0"/>
      <c r="I12" s="12" t="s">
        <v>110</v>
      </c>
      <c r="J12" s="81" t="n">
        <f aca="false">-N12*1000 / L12</f>
        <v>-0.00530777301102043</v>
      </c>
      <c r="K12" s="11" t="s">
        <v>111</v>
      </c>
      <c r="L12" s="82" t="n">
        <v>104.15084</v>
      </c>
      <c r="M12" s="83" t="n">
        <f aca="false">F50</f>
        <v>0.00140308679094007</v>
      </c>
      <c r="N12" s="9" t="n">
        <f aca="false">$F$8*L12*M12 / SUMPRODUCT($L$8:$L$27,$M$8:$M$27)</f>
        <v>0.000552809017627107</v>
      </c>
      <c r="P12" s="0"/>
      <c r="Q12" s="0"/>
      <c r="R12" s="0"/>
      <c r="S12" s="0"/>
      <c r="T12" s="46"/>
      <c r="U12" s="0"/>
      <c r="V12" s="0"/>
      <c r="Y12" s="76" t="s">
        <v>112</v>
      </c>
      <c r="Z12" s="85" t="n">
        <v>121.15818</v>
      </c>
    </row>
    <row r="13" customFormat="false" ht="12.8" hidden="false" customHeight="false" outlineLevel="0" collapsed="false">
      <c r="A13" s="1" t="s">
        <v>113</v>
      </c>
      <c r="B13" s="6" t="n">
        <v>0.010140684139113</v>
      </c>
      <c r="C13" s="9"/>
      <c r="D13" s="1" t="s">
        <v>113</v>
      </c>
      <c r="E13" s="9" t="n">
        <f aca="false">B13</f>
        <v>0.010140684139113</v>
      </c>
      <c r="F13" s="9" t="n">
        <f aca="false">E13</f>
        <v>0.010140684139113</v>
      </c>
      <c r="G13" s="9" t="s">
        <v>114</v>
      </c>
      <c r="H13" s="0"/>
      <c r="I13" s="12" t="s">
        <v>115</v>
      </c>
      <c r="J13" s="81" t="n">
        <f aca="false">-N13*1000 / L13</f>
        <v>-0.293444022180701</v>
      </c>
      <c r="K13" s="11" t="s">
        <v>116</v>
      </c>
      <c r="L13" s="82" t="n">
        <v>129.13716</v>
      </c>
      <c r="M13" s="83" t="n">
        <f aca="false">F51</f>
        <v>0.0775706554419724</v>
      </c>
      <c r="N13" s="9" t="n">
        <f aca="false">$F$8*L13*M13 / SUMPRODUCT($L$8:$L$27,$M$8:$M$27)</f>
        <v>0.0378945276433927</v>
      </c>
      <c r="P13" s="0"/>
      <c r="Q13" s="1" t="s">
        <v>29</v>
      </c>
      <c r="R13" s="0"/>
      <c r="S13" s="0"/>
      <c r="T13" s="46"/>
      <c r="U13" s="0"/>
      <c r="V13" s="0"/>
      <c r="Y13" s="76" t="s">
        <v>117</v>
      </c>
      <c r="Z13" s="85" t="n">
        <v>146.1445</v>
      </c>
    </row>
    <row r="14" customFormat="false" ht="12.8" hidden="false" customHeight="false" outlineLevel="0" collapsed="false">
      <c r="A14" s="1" t="s">
        <v>118</v>
      </c>
      <c r="B14" s="6" t="n">
        <v>0.00299935728058273</v>
      </c>
      <c r="C14" s="9"/>
      <c r="D14" s="1" t="s">
        <v>118</v>
      </c>
      <c r="E14" s="9" t="n">
        <f aca="false">B14</f>
        <v>0.00299935728058273</v>
      </c>
      <c r="F14" s="9" t="n">
        <f aca="false">E14</f>
        <v>0.00299935728058273</v>
      </c>
      <c r="G14" s="9" t="s">
        <v>114</v>
      </c>
      <c r="H14" s="0"/>
      <c r="I14" s="12" t="s">
        <v>119</v>
      </c>
      <c r="J14" s="81" t="n">
        <f aca="false">-N14*1000 / L14</f>
        <v>-0.293444022180701</v>
      </c>
      <c r="K14" s="11" t="s">
        <v>120</v>
      </c>
      <c r="L14" s="82" t="n">
        <v>129.11398</v>
      </c>
      <c r="M14" s="83" t="n">
        <f aca="false">F52</f>
        <v>0.0775706554419724</v>
      </c>
      <c r="N14" s="9" t="n">
        <f aca="false">$F$8*L14*M14 / SUMPRODUCT($L$8:$L$27,$M$8:$M$27)</f>
        <v>0.0378877256109586</v>
      </c>
      <c r="P14" s="0"/>
      <c r="Q14" s="1" t="s">
        <v>0</v>
      </c>
      <c r="R14" s="1" t="s">
        <v>1</v>
      </c>
      <c r="S14" s="1" t="s">
        <v>2</v>
      </c>
      <c r="T14" s="80" t="s">
        <v>83</v>
      </c>
      <c r="U14" s="1" t="s">
        <v>81</v>
      </c>
      <c r="V14" s="1" t="s">
        <v>82</v>
      </c>
      <c r="Y14" s="76" t="s">
        <v>121</v>
      </c>
      <c r="Z14" s="85" t="n">
        <v>146.12132</v>
      </c>
    </row>
    <row r="15" customFormat="false" ht="12.8" hidden="false" customHeight="false" outlineLevel="0" collapsed="false">
      <c r="A15" s="1" t="s">
        <v>122</v>
      </c>
      <c r="B15" s="6" t="n">
        <v>0.0419910019281583</v>
      </c>
      <c r="C15" s="9"/>
      <c r="D15" s="1" t="s">
        <v>122</v>
      </c>
      <c r="E15" s="9" t="n">
        <v>0</v>
      </c>
      <c r="F15" s="9" t="n">
        <f aca="false">Y8BiomRebuildCalc!E15*(1-SUM(Y8BiomRebuildCalc!$E$8:$E$10))/(SUM(Y8BiomRebuildCalc!$E$11:$E$16)+Y8BiomRebuildCalc!$F$17)</f>
        <v>0</v>
      </c>
      <c r="G15" s="9"/>
      <c r="H15" s="0"/>
      <c r="I15" s="12" t="s">
        <v>123</v>
      </c>
      <c r="J15" s="81" t="n">
        <f aca="false">-N15*1000 / L15</f>
        <v>-0.337043586199797</v>
      </c>
      <c r="K15" s="11" t="s">
        <v>124</v>
      </c>
      <c r="L15" s="82" t="n">
        <v>58.05926</v>
      </c>
      <c r="M15" s="83" t="n">
        <f aca="false">F53</f>
        <v>0.0890960112246943</v>
      </c>
      <c r="N15" s="9" t="n">
        <f aca="false">$F$8*L15*M15 / SUMPRODUCT($L$8:$L$27,$M$8:$M$27)</f>
        <v>0.0195685012025064</v>
      </c>
      <c r="P15" s="0"/>
      <c r="Q15" s="12" t="s">
        <v>125</v>
      </c>
      <c r="R15" s="84" t="n">
        <f aca="false">-V15*1000 / T15</f>
        <v>-0.0038897789986954</v>
      </c>
      <c r="S15" s="11" t="s">
        <v>126</v>
      </c>
      <c r="T15" s="85" t="n">
        <f aca="false">487.149863 - 174.951262</f>
        <v>312.198601</v>
      </c>
      <c r="U15" s="88" t="n">
        <f aca="false">(1-$B$23)/2</f>
        <v>0.2985</v>
      </c>
      <c r="V15" s="9" t="n">
        <f aca="false">$F$12*T15*U15 / SUMPRODUCT($T$15:$T$18,$U$15:$U$18)</f>
        <v>0.00121438356159188</v>
      </c>
      <c r="Y15" s="76" t="s">
        <v>127</v>
      </c>
      <c r="Z15" s="85" t="n">
        <v>75.0666</v>
      </c>
    </row>
    <row r="16" customFormat="false" ht="12.8" hidden="false" customHeight="false" outlineLevel="0" collapsed="false">
      <c r="A16" s="1" t="s">
        <v>128</v>
      </c>
      <c r="B16" s="6" t="n">
        <v>0.0253517103477826</v>
      </c>
      <c r="C16" s="9"/>
      <c r="D16" s="1" t="s">
        <v>128</v>
      </c>
      <c r="E16" s="9" t="n">
        <v>0.0253517103477826</v>
      </c>
      <c r="F16" s="9" t="n">
        <f aca="false">E16</f>
        <v>0.0253517103477826</v>
      </c>
      <c r="G16" s="9" t="s">
        <v>114</v>
      </c>
      <c r="H16" s="0"/>
      <c r="I16" s="12" t="s">
        <v>129</v>
      </c>
      <c r="J16" s="81" t="n">
        <f aca="false">-N16*1000 / L16</f>
        <v>-0.0731714422233531</v>
      </c>
      <c r="K16" s="11" t="s">
        <v>130</v>
      </c>
      <c r="L16" s="82" t="n">
        <v>138.14722</v>
      </c>
      <c r="M16" s="83" t="n">
        <f aca="false">F54</f>
        <v>0.0193425536179595</v>
      </c>
      <c r="N16" s="9" t="n">
        <f aca="false">$F$8*L16*M16 / SUMPRODUCT($L$8:$L$27,$M$8:$M$27)</f>
        <v>0.0101084313265468</v>
      </c>
      <c r="P16" s="0"/>
      <c r="Q16" s="12" t="s">
        <v>131</v>
      </c>
      <c r="R16" s="84" t="n">
        <f aca="false">-V16*1000 / T16</f>
        <v>-0.00262576371268718</v>
      </c>
      <c r="S16" s="11" t="s">
        <v>132</v>
      </c>
      <c r="T16" s="85" t="n">
        <f aca="false">463.125163 - 174.951262</f>
        <v>288.173901</v>
      </c>
      <c r="U16" s="88" t="n">
        <f aca="false">$B$23/2</f>
        <v>0.2015</v>
      </c>
      <c r="V16" s="9" t="n">
        <f aca="false">$F$12*T16*U16 / SUMPRODUCT($T$15:$T$18,$U$15:$U$18)</f>
        <v>0.000756676572189307</v>
      </c>
      <c r="Y16" s="76" t="s">
        <v>133</v>
      </c>
      <c r="Z16" s="85" t="n">
        <v>155.15456</v>
      </c>
    </row>
    <row r="17" customFormat="false" ht="12.8" hidden="false" customHeight="false" outlineLevel="0" collapsed="false">
      <c r="A17" s="1" t="s">
        <v>134</v>
      </c>
      <c r="B17" s="9" t="n">
        <v>0</v>
      </c>
      <c r="C17" s="9"/>
      <c r="D17" s="1" t="s">
        <v>134</v>
      </c>
      <c r="E17" s="9"/>
      <c r="F17" s="9" t="n">
        <f aca="false">$R$43/1000</f>
        <v>0.004832388411842</v>
      </c>
      <c r="G17" s="9" t="s">
        <v>135</v>
      </c>
      <c r="H17" s="0"/>
      <c r="I17" s="12" t="s">
        <v>136</v>
      </c>
      <c r="J17" s="81" t="n">
        <f aca="false">-N17*1000 / L17</f>
        <v>-0.223305593106502</v>
      </c>
      <c r="K17" s="11" t="s">
        <v>137</v>
      </c>
      <c r="L17" s="82" t="n">
        <v>114.16558</v>
      </c>
      <c r="M17" s="83" t="n">
        <f aca="false">F55</f>
        <v>0.05902986570455</v>
      </c>
      <c r="N17" s="9" t="n">
        <f aca="false">$F$8*L17*M17 / SUMPRODUCT($L$8:$L$27,$M$8:$M$27)</f>
        <v>0.0254938125542478</v>
      </c>
      <c r="P17" s="0"/>
      <c r="Q17" s="12" t="s">
        <v>138</v>
      </c>
      <c r="R17" s="84" t="n">
        <f aca="false">-V17*1000 / T17</f>
        <v>-0.00262576371268718</v>
      </c>
      <c r="S17" s="11" t="s">
        <v>37</v>
      </c>
      <c r="T17" s="85" t="n">
        <f aca="false">503.149263 - 174.951262</f>
        <v>328.198001</v>
      </c>
      <c r="U17" s="89" t="n">
        <f aca="false">$B$23/2</f>
        <v>0.2015</v>
      </c>
      <c r="V17" s="9" t="n">
        <f aca="false">$F$12*T17*U17 / SUMPRODUCT($T$15:$T$18,$U$15:$U$18)</f>
        <v>0.00086177040160227</v>
      </c>
      <c r="Y17" s="76" t="s">
        <v>139</v>
      </c>
      <c r="Z17" s="85" t="n">
        <v>131.17292</v>
      </c>
    </row>
    <row r="18" customFormat="false" ht="12.8" hidden="false" customHeight="false" outlineLevel="0" collapsed="false">
      <c r="A18" s="0"/>
      <c r="B18" s="46" t="n">
        <f aca="false">SUM(Y8BiomRebuildCalc!B8:B17)</f>
        <v>1</v>
      </c>
      <c r="C18" s="46"/>
      <c r="D18" s="0"/>
      <c r="E18" s="46" t="n">
        <f aca="false">SUM(Y8BiomRebuildCalc!E8:E17)</f>
        <v>0.958008998071842</v>
      </c>
      <c r="F18" s="86" t="n">
        <f aca="false">SUM(Y8BiomRebuildCalc!F8:F17)</f>
        <v>1</v>
      </c>
      <c r="G18" s="0"/>
      <c r="H18" s="0"/>
      <c r="I18" s="12" t="s">
        <v>140</v>
      </c>
      <c r="J18" s="81" t="n">
        <f aca="false">-N18*1000 / L18</f>
        <v>-0.303680441559097</v>
      </c>
      <c r="K18" s="11" t="s">
        <v>137</v>
      </c>
      <c r="L18" s="82" t="n">
        <v>114.16558</v>
      </c>
      <c r="M18" s="83" t="n">
        <f aca="false">F56</f>
        <v>0.0802766085387853</v>
      </c>
      <c r="N18" s="9" t="n">
        <f aca="false">$F$8*L18*M18 / SUMPRODUCT($L$8:$L$27,$M$8:$M$27)</f>
        <v>0.0346698537452505</v>
      </c>
      <c r="P18" s="0"/>
      <c r="Q18" s="12" t="s">
        <v>141</v>
      </c>
      <c r="R18" s="84" t="n">
        <f aca="false">-V18*1000 / T18</f>
        <v>-0.0038897789986954</v>
      </c>
      <c r="S18" s="11" t="s">
        <v>142</v>
      </c>
      <c r="T18" s="85" t="n">
        <f aca="false">478.136503 - 174.951262</f>
        <v>303.185241</v>
      </c>
      <c r="U18" s="89" t="n">
        <f aca="false">(1-$B$23)/2</f>
        <v>0.2985</v>
      </c>
      <c r="V18" s="9" t="n">
        <f aca="false">$F$12*T18*U18 / SUMPRODUCT($T$15:$T$18,$U$15:$U$18)</f>
        <v>0.0011793235831562</v>
      </c>
      <c r="Y18" s="76" t="s">
        <v>139</v>
      </c>
      <c r="Z18" s="85" t="n">
        <v>131.17292</v>
      </c>
    </row>
    <row r="19" customFormat="false" ht="12.8" hidden="false" customHeight="false" outlineLevel="0" collapsed="false">
      <c r="B19" s="0"/>
      <c r="C19" s="0"/>
      <c r="D19" s="0"/>
      <c r="E19" s="0"/>
      <c r="F19" s="0"/>
      <c r="G19" s="0"/>
      <c r="H19" s="0"/>
      <c r="I19" s="12" t="s">
        <v>143</v>
      </c>
      <c r="J19" s="81" t="n">
        <f aca="false">-N19*1000 / L19</f>
        <v>-0.249086204874316</v>
      </c>
      <c r="K19" s="11" t="s">
        <v>144</v>
      </c>
      <c r="L19" s="82" t="n">
        <v>130.18816</v>
      </c>
      <c r="M19" s="83" t="n">
        <f aca="false">F57</f>
        <v>0.0658448586891161</v>
      </c>
      <c r="N19" s="9" t="n">
        <f aca="false">$F$8*L19*M19 / SUMPRODUCT($L$8:$L$27,$M$8:$M$27)</f>
        <v>0.0324280746939702</v>
      </c>
      <c r="P19" s="0"/>
      <c r="Q19" s="0"/>
      <c r="R19" s="0"/>
      <c r="S19" s="0"/>
      <c r="T19" s="0"/>
      <c r="U19" s="0"/>
      <c r="V19" s="0"/>
      <c r="Y19" s="76" t="s">
        <v>145</v>
      </c>
      <c r="Z19" s="85" t="n">
        <v>147.1955</v>
      </c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12" t="s">
        <v>146</v>
      </c>
      <c r="J20" s="81" t="n">
        <f aca="false">-N20*1000 / L20</f>
        <v>-0.0432204373754521</v>
      </c>
      <c r="K20" s="11" t="s">
        <v>147</v>
      </c>
      <c r="L20" s="82" t="n">
        <v>132.204</v>
      </c>
      <c r="M20" s="83" t="n">
        <f aca="false">F58</f>
        <v>0.0114251352976548</v>
      </c>
      <c r="N20" s="9" t="n">
        <f aca="false">$F$8*L20*M20 / SUMPRODUCT($L$8:$L$27,$M$8:$M$27)</f>
        <v>0.00571391470278427</v>
      </c>
      <c r="P20" s="0"/>
      <c r="Q20" s="1" t="s">
        <v>148</v>
      </c>
      <c r="R20" s="1" t="s">
        <v>1</v>
      </c>
      <c r="S20" s="1" t="s">
        <v>2</v>
      </c>
      <c r="T20" s="80" t="s">
        <v>3</v>
      </c>
      <c r="U20" s="1" t="s">
        <v>81</v>
      </c>
      <c r="V20" s="1" t="s">
        <v>82</v>
      </c>
      <c r="Y20" s="76" t="s">
        <v>149</v>
      </c>
      <c r="Z20" s="85" t="n">
        <v>149.21134</v>
      </c>
    </row>
    <row r="21" customFormat="false" ht="12.8" hidden="false" customHeight="false" outlineLevel="0" collapsed="false">
      <c r="A21" s="1" t="s">
        <v>150</v>
      </c>
      <c r="B21" s="0"/>
      <c r="C21" s="0"/>
      <c r="D21" s="0"/>
      <c r="E21" s="0"/>
      <c r="F21" s="0"/>
      <c r="G21" s="0"/>
      <c r="H21" s="0"/>
      <c r="I21" s="12" t="s">
        <v>151</v>
      </c>
      <c r="J21" s="81" t="n">
        <f aca="false">-N21*1000 / L21</f>
        <v>-0.142551618010263</v>
      </c>
      <c r="K21" s="11" t="s">
        <v>152</v>
      </c>
      <c r="L21" s="82" t="n">
        <v>148.1818</v>
      </c>
      <c r="M21" s="83" t="n">
        <f aca="false">F59</f>
        <v>0.0376829023852475</v>
      </c>
      <c r="N21" s="9" t="n">
        <f aca="false">$F$8*L21*M21 / SUMPRODUCT($L$8:$L$27,$M$8:$M$27)</f>
        <v>0.0211235553496732</v>
      </c>
      <c r="P21" s="0"/>
      <c r="Q21" s="12" t="s">
        <v>153</v>
      </c>
      <c r="R21" s="81" t="n">
        <f aca="false">-V21*1000/T21</f>
        <v>-0.00128579410545924</v>
      </c>
      <c r="S21" s="12" t="s">
        <v>154</v>
      </c>
      <c r="T21" s="12" t="n">
        <v>40.078</v>
      </c>
      <c r="U21" s="0"/>
      <c r="V21" s="9" t="n">
        <f aca="false">$F$16 * B124 / SUM($B$124:$B$130)</f>
        <v>5.15320561585954E-005</v>
      </c>
      <c r="Y21" s="76" t="s">
        <v>155</v>
      </c>
      <c r="Z21" s="85" t="n">
        <v>165.18914</v>
      </c>
    </row>
    <row r="22" customFormat="false" ht="12.8" hidden="false" customHeight="false" outlineLevel="0" collapsed="false">
      <c r="A22" s="1" t="s">
        <v>156</v>
      </c>
      <c r="B22" s="0"/>
      <c r="C22" s="0"/>
      <c r="D22" s="0"/>
      <c r="E22" s="0"/>
      <c r="F22" s="0"/>
      <c r="G22" s="0"/>
      <c r="H22" s="0"/>
      <c r="I22" s="12" t="s">
        <v>157</v>
      </c>
      <c r="J22" s="81" t="n">
        <f aca="false">-N22*1000 / L22</f>
        <v>-0.159991443617901</v>
      </c>
      <c r="K22" s="11" t="s">
        <v>158</v>
      </c>
      <c r="L22" s="82" t="n">
        <v>97.11518</v>
      </c>
      <c r="M22" s="83" t="n">
        <f aca="false">F60</f>
        <v>0.0422930446983363</v>
      </c>
      <c r="N22" s="9" t="n">
        <f aca="false">$F$8*L22*M22 / SUMPRODUCT($L$8:$L$27,$M$8:$M$27)</f>
        <v>0.0155375978454124</v>
      </c>
      <c r="P22" s="0"/>
      <c r="Q22" s="12" t="s">
        <v>159</v>
      </c>
      <c r="R22" s="81" t="n">
        <f aca="false">-V22*1000/T22</f>
        <v>-0.000113531738617747</v>
      </c>
      <c r="S22" s="12" t="s">
        <v>160</v>
      </c>
      <c r="T22" s="12" t="n">
        <v>63.546</v>
      </c>
      <c r="U22" s="0"/>
      <c r="V22" s="90" t="n">
        <f aca="false">$F$16 * B125 / SUM($B$124:$B$130)</f>
        <v>7.21448786220336E-006</v>
      </c>
      <c r="Y22" s="76" t="s">
        <v>161</v>
      </c>
      <c r="Z22" s="85" t="n">
        <v>115.13046</v>
      </c>
    </row>
    <row r="23" customFormat="false" ht="12.8" hidden="false" customHeight="false" outlineLevel="0" collapsed="false">
      <c r="A23" s="12" t="s">
        <v>162</v>
      </c>
      <c r="B23" s="9" t="n">
        <v>0.403</v>
      </c>
      <c r="D23" s="0"/>
      <c r="E23" s="0"/>
      <c r="F23" s="0"/>
      <c r="G23" s="0"/>
      <c r="H23" s="0"/>
      <c r="I23" s="12" t="s">
        <v>163</v>
      </c>
      <c r="J23" s="81" t="n">
        <f aca="false">-N23*1000 / L23</f>
        <v>-0.202074501062421</v>
      </c>
      <c r="K23" s="11" t="s">
        <v>164</v>
      </c>
      <c r="L23" s="82" t="n">
        <v>88.08524</v>
      </c>
      <c r="M23" s="83" t="n">
        <f aca="false">F61</f>
        <v>0.0534175185407897</v>
      </c>
      <c r="N23" s="9" t="n">
        <f aca="false">$F$8*L23*M23 / SUMPRODUCT($L$8:$L$27,$M$8:$M$27)</f>
        <v>0.0177997809239636</v>
      </c>
      <c r="P23" s="0"/>
      <c r="Q23" s="12" t="s">
        <v>165</v>
      </c>
      <c r="R23" s="81" t="n">
        <f aca="false">-V23*1000/T23</f>
        <v>-0.000664393955308241</v>
      </c>
      <c r="S23" s="12" t="s">
        <v>166</v>
      </c>
      <c r="T23" s="12" t="n">
        <v>55.845</v>
      </c>
      <c r="U23" s="0"/>
      <c r="V23" s="90" t="n">
        <f aca="false">$F$16 * B126 / SUM($B$124:$B$130)</f>
        <v>3.71030804341887E-005</v>
      </c>
      <c r="Y23" s="76" t="s">
        <v>167</v>
      </c>
      <c r="Z23" s="85" t="n">
        <v>105.09258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12" t="s">
        <v>168</v>
      </c>
      <c r="J24" s="81" t="n">
        <f aca="false">-N24*1000 / L24</f>
        <v>-0.211173540509884</v>
      </c>
      <c r="K24" s="11" t="s">
        <v>169</v>
      </c>
      <c r="L24" s="82" t="n">
        <v>102.11182</v>
      </c>
      <c r="M24" s="83" t="n">
        <f aca="false">F62</f>
        <v>0.0558228101824013</v>
      </c>
      <c r="N24" s="9" t="n">
        <f aca="false">$F$8*L24*M24 / SUMPRODUCT($L$8:$L$27,$M$8:$M$27)</f>
        <v>0.021563314557308</v>
      </c>
      <c r="P24" s="0"/>
      <c r="Q24" s="12" t="s">
        <v>170</v>
      </c>
      <c r="R24" s="81" t="n">
        <f aca="false">-V24*1000/T24</f>
        <v>-0.603649819062125</v>
      </c>
      <c r="S24" s="12" t="s">
        <v>171</v>
      </c>
      <c r="T24" s="12" t="n">
        <v>39.0983</v>
      </c>
      <c r="U24" s="0"/>
      <c r="V24" s="9" t="n">
        <f aca="false">$F$16 * B127 / SUM($B$124:$B$130)</f>
        <v>0.0236016817206367</v>
      </c>
      <c r="Y24" s="76" t="s">
        <v>172</v>
      </c>
      <c r="Z24" s="85" t="n">
        <v>119.11916</v>
      </c>
    </row>
    <row r="25" customFormat="false" ht="12.8" hidden="false" customHeight="false" outlineLevel="0" collapsed="false">
      <c r="A25" s="1" t="s">
        <v>173</v>
      </c>
      <c r="B25" s="0"/>
      <c r="C25" s="0"/>
      <c r="D25" s="0"/>
      <c r="E25" s="0"/>
      <c r="F25" s="0"/>
      <c r="G25" s="0"/>
      <c r="H25" s="0"/>
      <c r="I25" s="12" t="s">
        <v>174</v>
      </c>
      <c r="J25" s="81" t="n">
        <f aca="false">-N25*1000 / L25</f>
        <v>-0.0246432318368806</v>
      </c>
      <c r="K25" s="11" t="s">
        <v>175</v>
      </c>
      <c r="L25" s="82" t="n">
        <v>187.21784</v>
      </c>
      <c r="M25" s="83" t="n">
        <f aca="false">F63</f>
        <v>0.0065143315293646</v>
      </c>
      <c r="N25" s="9" t="n">
        <f aca="false">$F$8*L25*M25 / SUMPRODUCT($L$8:$L$27,$M$8:$M$27)</f>
        <v>0.00461365263512001</v>
      </c>
      <c r="P25" s="0"/>
      <c r="Q25" s="12" t="s">
        <v>176</v>
      </c>
      <c r="R25" s="81" t="n">
        <f aca="false">-V25*1000/T25</f>
        <v>-0.0636067346125432</v>
      </c>
      <c r="S25" s="12" t="s">
        <v>177</v>
      </c>
      <c r="T25" s="12" t="n">
        <v>24.305</v>
      </c>
      <c r="U25" s="0"/>
      <c r="V25" s="9" t="n">
        <f aca="false">$F$16 * B128 / SUM($B$124:$B$130)</f>
        <v>0.00154596168475786</v>
      </c>
      <c r="Y25" s="76" t="s">
        <v>178</v>
      </c>
      <c r="Z25" s="85" t="n">
        <v>204.22518</v>
      </c>
    </row>
    <row r="26" customFormat="false" ht="12.8" hidden="false" customHeight="false" outlineLevel="0" collapsed="false">
      <c r="A26" s="1" t="s">
        <v>179</v>
      </c>
      <c r="B26" s="1" t="s">
        <v>180</v>
      </c>
      <c r="C26" s="1" t="s">
        <v>81</v>
      </c>
      <c r="D26" s="0"/>
      <c r="E26" s="1"/>
      <c r="F26" s="0"/>
      <c r="G26" s="0"/>
      <c r="H26" s="0"/>
      <c r="I26" s="12" t="s">
        <v>181</v>
      </c>
      <c r="J26" s="81" t="n">
        <f aca="false">-N26*1000 / L26</f>
        <v>-0.074308822154286</v>
      </c>
      <c r="K26" s="11" t="s">
        <v>182</v>
      </c>
      <c r="L26" s="82" t="n">
        <v>164.1812</v>
      </c>
      <c r="M26" s="83" t="n">
        <f aca="false">F64</f>
        <v>0.019643215073161</v>
      </c>
      <c r="N26" s="9" t="n">
        <f aca="false">$F$8*L26*M26 / SUMPRODUCT($L$8:$L$27,$M$8:$M$27)</f>
        <v>0.0122001115918773</v>
      </c>
      <c r="P26" s="0"/>
      <c r="Q26" s="12" t="s">
        <v>183</v>
      </c>
      <c r="R26" s="81" t="n">
        <f aca="false">-V26*1000/T26</f>
        <v>-9.38003110532938E-005</v>
      </c>
      <c r="S26" s="12" t="s">
        <v>184</v>
      </c>
      <c r="T26" s="12" t="n">
        <v>54.938044</v>
      </c>
      <c r="U26" s="0"/>
      <c r="V26" s="90" t="n">
        <f aca="false">$F$16 * B129 / SUM($B$124:$B$130)</f>
        <v>5.15320561585954E-006</v>
      </c>
      <c r="Y26" s="76" t="s">
        <v>185</v>
      </c>
      <c r="Z26" s="85" t="n">
        <v>181.18854</v>
      </c>
    </row>
    <row r="27" customFormat="false" ht="12.8" hidden="false" customHeight="false" outlineLevel="0" collapsed="false">
      <c r="A27" s="12" t="s">
        <v>186</v>
      </c>
      <c r="B27" s="91" t="n">
        <v>0.044535</v>
      </c>
      <c r="C27" s="9" t="n">
        <f aca="false">B27/SUM($B$27:$B$30)</f>
        <v>0.233978501402768</v>
      </c>
      <c r="D27" s="86"/>
      <c r="E27" s="92"/>
      <c r="F27" s="86"/>
      <c r="G27" s="0"/>
      <c r="H27" s="0"/>
      <c r="I27" s="12" t="s">
        <v>187</v>
      </c>
      <c r="J27" s="81" t="n">
        <f aca="false">-N27*1000 / L27</f>
        <v>-0.277899829791284</v>
      </c>
      <c r="K27" s="11" t="s">
        <v>188</v>
      </c>
      <c r="L27" s="82" t="n">
        <v>100.139</v>
      </c>
      <c r="M27" s="83" t="n">
        <f aca="false">F65</f>
        <v>0.0734616155542193</v>
      </c>
      <c r="N27" s="9" t="n">
        <f aca="false">$F$8*L27*M27 / SUMPRODUCT($L$8:$L$27,$M$8:$M$27)</f>
        <v>0.0278286110554694</v>
      </c>
      <c r="P27" s="0"/>
      <c r="Q27" s="12" t="s">
        <v>189</v>
      </c>
      <c r="R27" s="81" t="n">
        <f aca="false">-V27*1000/T27</f>
        <v>-0.00157638593326997</v>
      </c>
      <c r="S27" s="12" t="s">
        <v>190</v>
      </c>
      <c r="T27" s="12" t="n">
        <v>65.38</v>
      </c>
      <c r="U27" s="0"/>
      <c r="V27" s="9" t="n">
        <f aca="false">$F$16 * B130 / SUM($B$124:$B$130)</f>
        <v>0.000103064112317191</v>
      </c>
      <c r="Y27" s="76" t="s">
        <v>191</v>
      </c>
      <c r="Z27" s="85" t="n">
        <v>117.14634</v>
      </c>
    </row>
    <row r="28" customFormat="false" ht="12.8" hidden="false" customHeight="false" outlineLevel="0" collapsed="false">
      <c r="A28" s="12" t="s">
        <v>192</v>
      </c>
      <c r="B28" s="91" t="n">
        <v>0.043276</v>
      </c>
      <c r="C28" s="9" t="n">
        <f aca="false">B28/SUM($B$27:$B$30)</f>
        <v>0.227363952547573</v>
      </c>
      <c r="D28" s="0"/>
      <c r="E28" s="92"/>
      <c r="F28" s="86"/>
      <c r="G28" s="0"/>
      <c r="H28" s="0"/>
      <c r="I28" s="0"/>
      <c r="J28" s="81"/>
      <c r="K28" s="0"/>
      <c r="L28" s="0"/>
      <c r="M28" s="0"/>
      <c r="N28" s="0"/>
      <c r="P28" s="0"/>
      <c r="Q28" s="0"/>
      <c r="R28" s="0"/>
      <c r="S28" s="0"/>
      <c r="T28" s="0"/>
      <c r="U28" s="0"/>
      <c r="V28" s="0"/>
    </row>
    <row r="29" customFormat="false" ht="12.8" hidden="false" customHeight="false" outlineLevel="0" collapsed="false">
      <c r="A29" s="12" t="s">
        <v>193</v>
      </c>
      <c r="B29" s="91" t="n">
        <v>0.044535</v>
      </c>
      <c r="C29" s="9" t="n">
        <f aca="false">B29/SUM($B$27:$B$30)</f>
        <v>0.233978501402768</v>
      </c>
      <c r="D29" s="0"/>
      <c r="E29" s="92"/>
      <c r="F29" s="86"/>
      <c r="G29" s="0"/>
      <c r="H29" s="0"/>
      <c r="I29" s="1" t="s">
        <v>194</v>
      </c>
      <c r="J29" s="81"/>
      <c r="K29" s="0"/>
      <c r="L29" s="0"/>
      <c r="M29" s="0"/>
      <c r="N29" s="0"/>
      <c r="P29" s="0"/>
      <c r="Q29" s="0"/>
      <c r="R29" s="0"/>
      <c r="S29" s="0"/>
      <c r="T29" s="0"/>
      <c r="U29" s="0"/>
      <c r="V29" s="0"/>
    </row>
    <row r="30" customFormat="false" ht="12.8" hidden="false" customHeight="false" outlineLevel="0" collapsed="false">
      <c r="A30" s="12" t="s">
        <v>195</v>
      </c>
      <c r="B30" s="91" t="n">
        <v>0.057992</v>
      </c>
      <c r="C30" s="9" t="n">
        <f aca="false">B30/SUM($B$27:$B$30)</f>
        <v>0.304679044646891</v>
      </c>
      <c r="D30" s="0"/>
      <c r="E30" s="92"/>
      <c r="F30" s="86"/>
      <c r="G30" s="0"/>
      <c r="H30" s="0"/>
      <c r="I30" s="1" t="s">
        <v>0</v>
      </c>
      <c r="J30" s="93" t="s">
        <v>1</v>
      </c>
      <c r="K30" s="1" t="s">
        <v>2</v>
      </c>
      <c r="L30" s="1" t="s">
        <v>3</v>
      </c>
      <c r="M30" s="1" t="s">
        <v>81</v>
      </c>
      <c r="N30" s="1" t="s">
        <v>82</v>
      </c>
      <c r="P30" s="0"/>
      <c r="Q30" s="0"/>
      <c r="R30" s="0"/>
      <c r="S30" s="0"/>
      <c r="T30" s="46"/>
      <c r="U30" s="0"/>
      <c r="V30" s="0"/>
    </row>
    <row r="31" customFormat="false" ht="13.5" hidden="false" customHeight="true" outlineLevel="0" collapsed="false">
      <c r="A31" s="0"/>
      <c r="B31" s="0"/>
      <c r="C31" s="0"/>
      <c r="D31" s="0"/>
      <c r="E31" s="0"/>
      <c r="F31" s="0"/>
      <c r="G31" s="0"/>
      <c r="H31" s="0"/>
      <c r="I31" s="46" t="s">
        <v>196</v>
      </c>
      <c r="J31" s="81" t="n">
        <f aca="false">-N31*1000 / L31</f>
        <v>-0.62393026814313</v>
      </c>
      <c r="K31" s="12" t="s">
        <v>197</v>
      </c>
      <c r="L31" s="85" t="n">
        <v>180.15588</v>
      </c>
      <c r="M31" s="0"/>
      <c r="N31" s="9" t="n">
        <f aca="false">F34</f>
        <v>0.112404706515962</v>
      </c>
      <c r="P31" s="0"/>
      <c r="Q31" s="1" t="s">
        <v>32</v>
      </c>
      <c r="R31" s="0"/>
      <c r="S31" s="0"/>
      <c r="T31" s="0"/>
      <c r="U31" s="0"/>
      <c r="V31" s="0"/>
    </row>
    <row r="32" customFormat="false" ht="12.8" hidden="false" customHeight="false" outlineLevel="0" collapsed="false">
      <c r="A32" s="1" t="s">
        <v>198</v>
      </c>
      <c r="B32" s="1"/>
      <c r="C32" s="0"/>
      <c r="D32" s="0"/>
      <c r="E32" s="0"/>
      <c r="F32" s="0"/>
      <c r="G32" s="0"/>
      <c r="H32" s="0"/>
      <c r="I32" s="12" t="s">
        <v>199</v>
      </c>
      <c r="J32" s="81" t="n">
        <f aca="false">-N32*1000 / L32</f>
        <v>-0.968205660560579</v>
      </c>
      <c r="K32" s="12" t="s">
        <v>200</v>
      </c>
      <c r="L32" s="85" t="n">
        <v>162.1406</v>
      </c>
      <c r="M32" s="0"/>
      <c r="N32" s="9" t="n">
        <f aca="false">F35</f>
        <v>0.156985446726689</v>
      </c>
      <c r="P32" s="0"/>
      <c r="Q32" s="1" t="s">
        <v>0</v>
      </c>
      <c r="R32" s="1" t="s">
        <v>1</v>
      </c>
      <c r="S32" s="1" t="s">
        <v>2</v>
      </c>
      <c r="T32" s="1" t="s">
        <v>3</v>
      </c>
      <c r="U32" s="1" t="s">
        <v>81</v>
      </c>
      <c r="V32" s="1" t="s">
        <v>82</v>
      </c>
      <c r="W32" s="1"/>
    </row>
    <row r="33" customFormat="false" ht="12.8" hidden="false" customHeight="false" outlineLevel="0" collapsed="false">
      <c r="A33" s="0"/>
      <c r="B33" s="1" t="s">
        <v>201</v>
      </c>
      <c r="C33" s="1" t="s">
        <v>202</v>
      </c>
      <c r="D33" s="1" t="s">
        <v>203</v>
      </c>
      <c r="E33" s="1" t="s">
        <v>204</v>
      </c>
      <c r="F33" s="1" t="s">
        <v>205</v>
      </c>
      <c r="G33" s="0"/>
      <c r="H33" s="0"/>
      <c r="I33" s="12" t="s">
        <v>206</v>
      </c>
      <c r="J33" s="81" t="n">
        <f aca="false">-N33*1000 / L33</f>
        <v>-0.254790963305416</v>
      </c>
      <c r="K33" s="12" t="s">
        <v>200</v>
      </c>
      <c r="L33" s="85" t="n">
        <v>162.1406</v>
      </c>
      <c r="M33" s="0"/>
      <c r="N33" s="9" t="n">
        <f aca="false">F36</f>
        <v>0.0413119596649181</v>
      </c>
      <c r="P33" s="0"/>
      <c r="Q33" s="91" t="s">
        <v>207</v>
      </c>
      <c r="R33" s="94" t="n">
        <v>-0.00019</v>
      </c>
      <c r="S33" s="0" t="s">
        <v>208</v>
      </c>
      <c r="T33" s="95" t="n">
        <v>763.502363</v>
      </c>
      <c r="U33" s="0"/>
      <c r="V33" s="9" t="n">
        <f aca="false">-R33*T33/1000</f>
        <v>0.00014506544897</v>
      </c>
      <c r="W33" s="0"/>
      <c r="X33" s="0"/>
      <c r="Y33" s="0"/>
    </row>
    <row r="34" customFormat="false" ht="12.8" hidden="false" customHeight="false" outlineLevel="0" collapsed="false">
      <c r="A34" s="46" t="s">
        <v>209</v>
      </c>
      <c r="B34" s="12" t="s">
        <v>209</v>
      </c>
      <c r="C34" s="9" t="n">
        <f aca="false">0.356440511307768</f>
        <v>0.356440511307768</v>
      </c>
      <c r="D34" s="9" t="n">
        <v>0.131</v>
      </c>
      <c r="E34" s="81" t="n">
        <f aca="false">C34 * ($D$34+$D$35) / SUM($D$34:$D$39)</f>
        <v>0.275869191798395</v>
      </c>
      <c r="F34" s="96" t="n">
        <f aca="false">E34*$F$9</f>
        <v>0.112404706515962</v>
      </c>
      <c r="G34" s="9"/>
      <c r="H34" s="0"/>
      <c r="I34" s="12" t="s">
        <v>210</v>
      </c>
      <c r="J34" s="81" t="n">
        <f aca="false">-N34*1000 / L34</f>
        <v>-0.0228907502852135</v>
      </c>
      <c r="K34" s="12" t="s">
        <v>211</v>
      </c>
      <c r="L34" s="85" t="n">
        <v>203.19252</v>
      </c>
      <c r="M34" s="0"/>
      <c r="N34" s="9" t="n">
        <f aca="false">F37</f>
        <v>0.00465122923514325</v>
      </c>
      <c r="P34" s="0"/>
      <c r="Q34" s="91" t="s">
        <v>212</v>
      </c>
      <c r="R34" s="94" t="n">
        <v>-1E-005</v>
      </c>
      <c r="S34" s="0" t="s">
        <v>213</v>
      </c>
      <c r="T34" s="95" t="n">
        <v>782.525922</v>
      </c>
      <c r="U34" s="0"/>
      <c r="V34" s="90" t="n">
        <f aca="false">-R34*T34/1000</f>
        <v>7.82525922E-006</v>
      </c>
      <c r="W34" s="0"/>
      <c r="X34" s="0"/>
      <c r="Y34" s="0"/>
    </row>
    <row r="35" customFormat="false" ht="12.8" hidden="false" customHeight="false" outlineLevel="0" collapsed="false">
      <c r="A35" s="12" t="s">
        <v>214</v>
      </c>
      <c r="B35" s="12" t="s">
        <v>215</v>
      </c>
      <c r="C35" s="9" t="n">
        <f aca="false">0.628810226155359 * 3.8 / 4.8</f>
        <v>0.497808095706326</v>
      </c>
      <c r="D35" s="9" t="n">
        <v>0.184</v>
      </c>
      <c r="E35" s="81" t="n">
        <f aca="false">C35 * ($D$34+$D$35) / SUM($D$34:$D$39)</f>
        <v>0.385281449993839</v>
      </c>
      <c r="F35" s="96" t="n">
        <f aca="false">E35*$F$9</f>
        <v>0.156985446726689</v>
      </c>
      <c r="G35" s="0"/>
      <c r="H35" s="0"/>
      <c r="I35" s="0" t="s">
        <v>216</v>
      </c>
      <c r="J35" s="81" t="n">
        <f aca="false">-N35*1000 / L35</f>
        <v>-0.466785899918391</v>
      </c>
      <c r="K35" s="0" t="s">
        <v>197</v>
      </c>
      <c r="L35" s="46" t="n">
        <v>180.15588</v>
      </c>
      <c r="M35" s="0"/>
      <c r="N35" s="9" t="n">
        <f aca="false">F38</f>
        <v>0.0840942245713897</v>
      </c>
      <c r="P35" s="0"/>
      <c r="Q35" s="91" t="s">
        <v>217</v>
      </c>
      <c r="R35" s="94" t="n">
        <v>-1E-006</v>
      </c>
      <c r="S35" s="0" t="s">
        <v>218</v>
      </c>
      <c r="T35" s="95" t="n">
        <v>850.82126</v>
      </c>
      <c r="U35" s="0"/>
      <c r="V35" s="97" t="n">
        <f aca="false">-R35*T35/1000</f>
        <v>8.5082126E-007</v>
      </c>
      <c r="W35" s="0"/>
      <c r="X35" s="0"/>
      <c r="Y35" s="0"/>
    </row>
    <row r="36" customFormat="false" ht="12.8" hidden="false" customHeight="false" outlineLevel="0" collapsed="false">
      <c r="A36" s="12" t="s">
        <v>219</v>
      </c>
      <c r="B36" s="12" t="s">
        <v>215</v>
      </c>
      <c r="C36" s="9" t="n">
        <f aca="false">0.628810226155359 * 1 / 4.8</f>
        <v>0.131002130449033</v>
      </c>
      <c r="D36" s="0"/>
      <c r="E36" s="81" t="n">
        <f aca="false">C36 * ($D$34+$D$35) / SUM($D$34:$D$39)</f>
        <v>0.101389855261537</v>
      </c>
      <c r="F36" s="96" t="n">
        <f aca="false">E36*$F$9</f>
        <v>0.0413119596649181</v>
      </c>
      <c r="G36" s="0"/>
      <c r="H36" s="0"/>
      <c r="I36" s="0" t="s">
        <v>220</v>
      </c>
      <c r="J36" s="81" t="n">
        <f aca="false">-N36*1000 / L36</f>
        <v>-0.0233977684161514</v>
      </c>
      <c r="K36" s="0" t="s">
        <v>221</v>
      </c>
      <c r="L36" s="46" t="n">
        <v>342.29648</v>
      </c>
      <c r="M36" s="0"/>
      <c r="N36" s="9" t="n">
        <f aca="false">F39</f>
        <v>0.00800897376870378</v>
      </c>
      <c r="P36" s="0"/>
      <c r="Q36" s="91" t="s">
        <v>222</v>
      </c>
      <c r="R36" s="94" t="n">
        <v>-0.00265</v>
      </c>
      <c r="S36" s="0" t="s">
        <v>223</v>
      </c>
      <c r="T36" s="95" t="n">
        <v>662.417162</v>
      </c>
      <c r="U36" s="0"/>
      <c r="V36" s="9" t="n">
        <f aca="false">-R36*T36/1000</f>
        <v>0.0017554054793</v>
      </c>
      <c r="W36" s="0"/>
      <c r="X36" s="0"/>
      <c r="Y36" s="0"/>
    </row>
    <row r="37" customFormat="false" ht="12.8" hidden="false" customHeight="false" outlineLevel="0" collapsed="false">
      <c r="A37" s="12" t="s">
        <v>224</v>
      </c>
      <c r="B37" s="12" t="s">
        <v>224</v>
      </c>
      <c r="C37" s="9" t="n">
        <v>0.0147492625368732</v>
      </c>
      <c r="D37" s="0"/>
      <c r="E37" s="81" t="n">
        <f aca="false">C37 * ($D$34+$D$35) / SUM($D$34:$D$39)</f>
        <v>0.0114152769020026</v>
      </c>
      <c r="F37" s="96" t="n">
        <f aca="false">E37*$F$9</f>
        <v>0.00465122923514325</v>
      </c>
      <c r="G37" s="0"/>
      <c r="H37" s="0"/>
      <c r="I37" s="0"/>
      <c r="J37" s="0"/>
      <c r="K37" s="0"/>
      <c r="L37" s="0"/>
      <c r="M37" s="0"/>
      <c r="N37" s="0"/>
      <c r="P37" s="0"/>
      <c r="Q37" s="91" t="s">
        <v>225</v>
      </c>
      <c r="R37" s="94" t="n">
        <v>-0.00015</v>
      </c>
      <c r="S37" s="0" t="s">
        <v>226</v>
      </c>
      <c r="T37" s="98" t="n">
        <v>663.425102</v>
      </c>
      <c r="U37" s="0"/>
      <c r="V37" s="9" t="n">
        <f aca="false">-R37*T37/1000</f>
        <v>9.95137653E-005</v>
      </c>
      <c r="W37" s="0"/>
      <c r="X37" s="0"/>
      <c r="Y37" s="0"/>
    </row>
    <row r="38" customFormat="false" ht="12.85" hidden="false" customHeight="false" outlineLevel="0" collapsed="false">
      <c r="A38" s="9" t="s">
        <v>216</v>
      </c>
      <c r="B38" s="0" t="s">
        <v>227</v>
      </c>
      <c r="C38" s="0"/>
      <c r="D38" s="9" t="n">
        <v>0.084</v>
      </c>
      <c r="E38" s="81" t="n">
        <f aca="false">D38 / SUM($D$34:$D$39)</f>
        <v>0.206388206388206</v>
      </c>
      <c r="F38" s="96" t="n">
        <f aca="false">E38*$F$9</f>
        <v>0.0840942245713897</v>
      </c>
      <c r="G38" s="0"/>
      <c r="H38" s="0"/>
      <c r="I38" s="1" t="s">
        <v>23</v>
      </c>
      <c r="J38" s="0"/>
      <c r="K38" s="0"/>
      <c r="L38" s="0"/>
      <c r="M38" s="0"/>
      <c r="N38" s="0"/>
      <c r="P38" s="0"/>
      <c r="Q38" s="91" t="s">
        <v>228</v>
      </c>
      <c r="R38" s="94" t="n">
        <v>-0.00057</v>
      </c>
      <c r="S38" s="0" t="s">
        <v>229</v>
      </c>
      <c r="T38" s="95" t="n">
        <v>740.381183</v>
      </c>
      <c r="U38" s="0"/>
      <c r="V38" s="9" t="n">
        <f aca="false">-R38*T38/1000</f>
        <v>0.00042201727431</v>
      </c>
      <c r="W38" s="0"/>
      <c r="X38" s="0"/>
      <c r="Y38" s="0"/>
    </row>
    <row r="39" customFormat="false" ht="12.8" hidden="false" customHeight="false" outlineLevel="0" collapsed="false">
      <c r="A39" s="9" t="s">
        <v>220</v>
      </c>
      <c r="B39" s="0" t="s">
        <v>227</v>
      </c>
      <c r="C39" s="9"/>
      <c r="D39" s="9" t="n">
        <v>0.008</v>
      </c>
      <c r="E39" s="81" t="n">
        <f aca="false">D39 / SUM($D$34:$D$39)</f>
        <v>0.0196560196560197</v>
      </c>
      <c r="F39" s="96" t="n">
        <f aca="false">E39*$F$9</f>
        <v>0.00800897376870378</v>
      </c>
      <c r="G39" s="0"/>
      <c r="H39" s="0"/>
      <c r="I39" s="1" t="s">
        <v>0</v>
      </c>
      <c r="J39" s="1" t="s">
        <v>1</v>
      </c>
      <c r="K39" s="1" t="s">
        <v>2</v>
      </c>
      <c r="L39" s="1" t="s">
        <v>3</v>
      </c>
      <c r="M39" s="1" t="s">
        <v>81</v>
      </c>
      <c r="N39" s="1" t="s">
        <v>82</v>
      </c>
      <c r="P39" s="0"/>
      <c r="Q39" s="91" t="s">
        <v>230</v>
      </c>
      <c r="R39" s="94" t="n">
        <v>-0.0027</v>
      </c>
      <c r="S39" s="0" t="s">
        <v>231</v>
      </c>
      <c r="T39" s="98" t="n">
        <v>741.389123</v>
      </c>
      <c r="U39" s="0"/>
      <c r="V39" s="9" t="n">
        <f aca="false">-R39*T39/1000</f>
        <v>0.0020017506321</v>
      </c>
      <c r="W39" s="0"/>
      <c r="X39" s="0"/>
      <c r="Y39" s="0"/>
    </row>
    <row r="40" customFormat="false" ht="12.85" hidden="false" customHeight="false" outlineLevel="0" collapsed="false">
      <c r="A40" s="1"/>
      <c r="B40" s="1"/>
      <c r="C40" s="9" t="n">
        <f aca="false">SUM(Y8BiomRebuildCalc!C34:C37)</f>
        <v>1</v>
      </c>
      <c r="D40" s="0"/>
      <c r="E40" s="9"/>
      <c r="F40" s="9"/>
      <c r="G40" s="0"/>
      <c r="H40" s="0"/>
      <c r="I40" s="91" t="s">
        <v>232</v>
      </c>
      <c r="J40" s="81" t="n">
        <f aca="false">-N40*1000/L40</f>
        <v>-0.00615466318335084</v>
      </c>
      <c r="K40" s="81" t="s">
        <v>233</v>
      </c>
      <c r="L40" s="85" t="n">
        <v>633.04128</v>
      </c>
      <c r="M40" s="99" t="n">
        <f aca="false">B69 / SUM($B$69:$B$80)</f>
        <v>0.0570338720947548</v>
      </c>
      <c r="N40" s="9" t="n">
        <f aca="false">(1-$F$77)*$F$10*M40*L40 / SUMPRODUCT($M$40:$M$51,$L$40:$L$51)</f>
        <v>0.00389615585955729</v>
      </c>
      <c r="P40" s="0"/>
      <c r="Q40" s="91" t="s">
        <v>234</v>
      </c>
      <c r="R40" s="94" t="n">
        <v>-0.00099</v>
      </c>
      <c r="S40" s="0" t="s">
        <v>235</v>
      </c>
      <c r="T40" s="95" t="n">
        <v>375.35596</v>
      </c>
      <c r="U40" s="0"/>
      <c r="V40" s="9" t="n">
        <f aca="false">-R40*T40/1000</f>
        <v>0.0003716024004</v>
      </c>
      <c r="W40" s="0"/>
      <c r="X40" s="0"/>
      <c r="Y40" s="0"/>
    </row>
    <row r="41" customFormat="false" ht="12.85" hidden="false" customHeight="false" outlineLevel="0" collapsed="false">
      <c r="A41" s="0" t="s">
        <v>236</v>
      </c>
      <c r="B41" s="9"/>
      <c r="C41" s="0"/>
      <c r="D41" s="0"/>
      <c r="E41" s="100"/>
      <c r="F41" s="83"/>
      <c r="G41" s="0"/>
      <c r="H41" s="0"/>
      <c r="I41" s="91" t="s">
        <v>237</v>
      </c>
      <c r="J41" s="81" t="n">
        <f aca="false">-N41*1000/L41</f>
        <v>-0.00225839920385258</v>
      </c>
      <c r="K41" s="81" t="s">
        <v>238</v>
      </c>
      <c r="L41" s="46" t="n">
        <v>661.09444</v>
      </c>
      <c r="M41" s="99" t="n">
        <f aca="false">B70 / SUM($B$69:$B$80)</f>
        <v>0.0209280747774889</v>
      </c>
      <c r="N41" s="9" t="n">
        <f aca="false">(1-$F$77)*$F$10*M41*L41 / SUMPRODUCT($M$40:$M$51,$L$40:$L$51)</f>
        <v>0.00149301515696737</v>
      </c>
      <c r="P41" s="0"/>
      <c r="Q41" s="91" t="s">
        <v>239</v>
      </c>
      <c r="R41" s="94" t="n">
        <v>-6.3E-005</v>
      </c>
      <c r="S41" s="0" t="s">
        <v>240</v>
      </c>
      <c r="T41" s="95" t="n">
        <v>443.41334</v>
      </c>
      <c r="U41" s="0"/>
      <c r="V41" s="90" t="n">
        <f aca="false">-R41*T41/1000</f>
        <v>2.793504042E-005</v>
      </c>
      <c r="W41" s="0"/>
      <c r="X41" s="0"/>
      <c r="Y41" s="0"/>
    </row>
    <row r="42" customFormat="false" ht="12.8" hidden="false" customHeight="false" outlineLevel="0" collapsed="false">
      <c r="A42" s="9"/>
      <c r="B42" s="9"/>
      <c r="C42" s="0"/>
      <c r="D42" s="0"/>
      <c r="E42" s="0"/>
      <c r="F42" s="0"/>
      <c r="G42" s="0"/>
      <c r="H42" s="0"/>
      <c r="I42" s="91" t="s">
        <v>241</v>
      </c>
      <c r="J42" s="81" t="n">
        <f aca="false">-N42*1000/L42</f>
        <v>-0.0328598938347088</v>
      </c>
      <c r="K42" s="81" t="s">
        <v>242</v>
      </c>
      <c r="L42" s="46" t="n">
        <v>396.64836</v>
      </c>
      <c r="M42" s="99" t="n">
        <f aca="false">B71 / SUM($B$69:$B$80)</f>
        <v>0.304505206245203</v>
      </c>
      <c r="N42" s="9" t="n">
        <f aca="false">(1-$F$77)*$F$10*M42*L42 / SUMPRODUCT($M$40:$M$51,$L$40:$L$51)</f>
        <v>0.0130338229993114</v>
      </c>
      <c r="P42" s="0"/>
      <c r="Q42" s="91" t="s">
        <v>243</v>
      </c>
      <c r="R42" s="94" t="n">
        <v>-1E-006</v>
      </c>
      <c r="S42" s="12" t="s">
        <v>244</v>
      </c>
      <c r="T42" s="95" t="n">
        <v>422.290562</v>
      </c>
      <c r="U42" s="0"/>
      <c r="V42" s="101" t="n">
        <f aca="false">-R42*T42/1000</f>
        <v>4.22290562E-007</v>
      </c>
      <c r="X42" s="0"/>
      <c r="Y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91" t="s">
        <v>245</v>
      </c>
      <c r="J43" s="81" t="n">
        <f aca="false">-N43*1000/L43</f>
        <v>-0.000346114820513805</v>
      </c>
      <c r="K43" s="0" t="s">
        <v>246</v>
      </c>
      <c r="L43" s="46" t="n">
        <f aca="false">G96</f>
        <v>255.41534</v>
      </c>
      <c r="M43" s="99" t="n">
        <f aca="false">B72 / SUM($B$69:$B$80)</f>
        <v>0.00320736778199063</v>
      </c>
      <c r="N43" s="9" t="n">
        <f aca="false">(1-$F$77)*$F$10*M43*L43 / SUMPRODUCT($M$40:$M$51,$L$40:$L$51)</f>
        <v>8.84030345605724E-005</v>
      </c>
      <c r="P43" s="0"/>
      <c r="Q43" s="1" t="s">
        <v>247</v>
      </c>
      <c r="R43" s="13" t="n">
        <f aca="false">-SUMPRODUCT(T33:T42,R33:R42)</f>
        <v>4.832388411842</v>
      </c>
      <c r="S43" s="11"/>
      <c r="T43" s="85"/>
      <c r="U43" s="0"/>
      <c r="V43" s="0"/>
      <c r="W43" s="0"/>
      <c r="X43" s="0"/>
    </row>
    <row r="44" customFormat="false" ht="12.8" hidden="false" customHeight="false" outlineLevel="0" collapsed="false">
      <c r="A44" s="1" t="s">
        <v>248</v>
      </c>
      <c r="B44" s="0"/>
      <c r="C44" s="0"/>
      <c r="D44" s="0"/>
      <c r="E44" s="0"/>
      <c r="F44" s="0"/>
      <c r="G44" s="0"/>
      <c r="H44" s="0"/>
      <c r="I44" s="91" t="s">
        <v>249</v>
      </c>
      <c r="J44" s="81" t="n">
        <f aca="false">-N44*1000/L44</f>
        <v>-0.00101485809872084</v>
      </c>
      <c r="K44" s="0" t="s">
        <v>250</v>
      </c>
      <c r="L44" s="46" t="n">
        <f aca="false">G97</f>
        <v>253.39946</v>
      </c>
      <c r="M44" s="99" t="n">
        <f aca="false">B73 / SUM($B$69:$B$80)</f>
        <v>0.00940446053219396</v>
      </c>
      <c r="N44" s="9" t="n">
        <f aca="false">(1-$F$77)*$F$10*M44*L44 / SUMPRODUCT($M$40:$M$51,$L$40:$L$51)</f>
        <v>0.000257164494192486</v>
      </c>
      <c r="P44" s="0"/>
      <c r="Q44" s="0"/>
      <c r="R44" s="0"/>
      <c r="S44" s="0"/>
      <c r="T44" s="0"/>
      <c r="U44" s="0"/>
      <c r="V44" s="0"/>
    </row>
    <row r="45" customFormat="false" ht="12.8" hidden="false" customHeight="false" outlineLevel="0" collapsed="false">
      <c r="A45" s="1" t="s">
        <v>251</v>
      </c>
      <c r="B45" s="1" t="s">
        <v>252</v>
      </c>
      <c r="C45" s="1" t="s">
        <v>253</v>
      </c>
      <c r="D45" s="1" t="s">
        <v>254</v>
      </c>
      <c r="E45" s="1" t="s">
        <v>255</v>
      </c>
      <c r="F45" s="1" t="s">
        <v>256</v>
      </c>
      <c r="G45" s="0"/>
      <c r="H45" s="0"/>
      <c r="I45" s="91" t="s">
        <v>257</v>
      </c>
      <c r="J45" s="81" t="n">
        <f aca="false">-N45*1000/L45</f>
        <v>-9.64177000002742E-005</v>
      </c>
      <c r="K45" s="0" t="s">
        <v>258</v>
      </c>
      <c r="L45" s="46" t="n">
        <f aca="false">G99</f>
        <v>283.4685</v>
      </c>
      <c r="M45" s="99" t="n">
        <f aca="false">B74 / SUM($B$69:$B$80)</f>
        <v>0.000893481024983104</v>
      </c>
      <c r="N45" s="9" t="n">
        <f aca="false">(1-$F$77)*$F$10*M45*L45 / SUMPRODUCT($M$40:$M$51,$L$40:$L$51)</f>
        <v>2.73313807925277E-005</v>
      </c>
      <c r="P45" s="0"/>
      <c r="Q45" s="0"/>
      <c r="R45" s="0"/>
      <c r="S45" s="0"/>
      <c r="T45" s="0"/>
      <c r="U45" s="0"/>
      <c r="V45" s="0"/>
    </row>
    <row r="46" customFormat="false" ht="12.8" hidden="false" customHeight="false" outlineLevel="0" collapsed="false">
      <c r="A46" s="12" t="s">
        <v>88</v>
      </c>
      <c r="B46" s="12" t="s">
        <v>259</v>
      </c>
      <c r="C46" s="11" t="s">
        <v>89</v>
      </c>
      <c r="D46" s="82" t="n">
        <v>72.08584</v>
      </c>
      <c r="E46" s="2" t="n">
        <v>9.77</v>
      </c>
      <c r="F46" s="9" t="n">
        <f aca="false">E46/SUM($E$46:$E$65)</f>
        <v>0.0979154139106033</v>
      </c>
      <c r="G46" s="0"/>
      <c r="H46" s="0"/>
      <c r="I46" s="91" t="s">
        <v>260</v>
      </c>
      <c r="J46" s="81" t="n">
        <f aca="false">-N46*1000/L46</f>
        <v>-0.00037207343205234</v>
      </c>
      <c r="K46" s="0" t="s">
        <v>261</v>
      </c>
      <c r="L46" s="46" t="n">
        <f aca="false">G100</f>
        <v>281.45262</v>
      </c>
      <c r="M46" s="99" t="n">
        <f aca="false">B75 / SUM($B$69:$B$80)</f>
        <v>0.00344792036563993</v>
      </c>
      <c r="N46" s="9" t="n">
        <f aca="false">(1-$F$77)*$F$10*M46*L46 / SUMPRODUCT($M$40:$M$51,$L$40:$L$51)</f>
        <v>0.000104721042283523</v>
      </c>
      <c r="P46" s="0"/>
      <c r="Q46" s="0"/>
      <c r="R46" s="0"/>
      <c r="S46" s="0"/>
      <c r="T46" s="0"/>
      <c r="U46" s="0"/>
      <c r="V46" s="0"/>
    </row>
    <row r="47" customFormat="false" ht="12.8" hidden="false" customHeight="false" outlineLevel="0" collapsed="false">
      <c r="A47" s="12" t="s">
        <v>92</v>
      </c>
      <c r="B47" s="12" t="s">
        <v>262</v>
      </c>
      <c r="C47" s="11" t="s">
        <v>93</v>
      </c>
      <c r="D47" s="82" t="n">
        <v>158.20156</v>
      </c>
      <c r="E47" s="2" t="n">
        <v>3.86</v>
      </c>
      <c r="F47" s="9" t="n">
        <f aca="false">E47/SUM($E$46:$E$65)</f>
        <v>0.038685107235919</v>
      </c>
      <c r="G47" s="0"/>
      <c r="H47" s="0"/>
      <c r="I47" s="91" t="s">
        <v>263</v>
      </c>
      <c r="J47" s="81" t="n">
        <f aca="false">-N47*1000/L47</f>
        <v>-0.00854161932053711</v>
      </c>
      <c r="K47" s="0" t="s">
        <v>264</v>
      </c>
      <c r="L47" s="46" t="n">
        <f aca="false">G111</f>
        <v>821.350569418454</v>
      </c>
      <c r="M47" s="99" t="n">
        <f aca="false">B76 / SUM($B$69:$B$80)</f>
        <v>0.0791532549055545</v>
      </c>
      <c r="N47" s="9" t="n">
        <f aca="false">(1-$F$77)*$F$10*M47*L47 / SUMPRODUCT($M$40:$M$51,$L$40:$L$51)</f>
        <v>0.00701566389267883</v>
      </c>
      <c r="P47" s="0"/>
      <c r="Q47" s="0"/>
      <c r="R47" s="0"/>
      <c r="S47" s="0"/>
      <c r="T47" s="46"/>
      <c r="U47" s="0"/>
      <c r="V47" s="0"/>
    </row>
    <row r="48" customFormat="false" ht="12.8" hidden="false" customHeight="false" outlineLevel="0" collapsed="false">
      <c r="A48" s="12" t="s">
        <v>98</v>
      </c>
      <c r="B48" s="12" t="s">
        <v>265</v>
      </c>
      <c r="C48" s="11" t="s">
        <v>99</v>
      </c>
      <c r="D48" s="82" t="n">
        <v>115.11058</v>
      </c>
      <c r="E48" s="2" t="n">
        <f aca="false">9.28/2</f>
        <v>4.64</v>
      </c>
      <c r="F48" s="9" t="n">
        <f aca="false">E48/SUM($E$46:$E$65)</f>
        <v>0.0465023050711566</v>
      </c>
      <c r="G48" s="0"/>
      <c r="H48" s="0"/>
      <c r="I48" s="91" t="s">
        <v>266</v>
      </c>
      <c r="J48" s="81" t="n">
        <f aca="false">-N48*1000/L48</f>
        <v>-0.0318709943475266</v>
      </c>
      <c r="K48" s="0" t="s">
        <v>267</v>
      </c>
      <c r="L48" s="46" t="n">
        <f aca="false">G112</f>
        <v>745.367449418454</v>
      </c>
      <c r="M48" s="99" t="n">
        <f aca="false">B77 / SUM($B$69:$B$80)</f>
        <v>0.295341298296659</v>
      </c>
      <c r="N48" s="9" t="n">
        <f aca="false">(1-$F$77)*$F$10*M48*L48 / SUMPRODUCT($M$40:$M$51,$L$40:$L$51)</f>
        <v>0.0237556017672459</v>
      </c>
      <c r="P48" s="0"/>
      <c r="Q48" s="0"/>
      <c r="R48" s="0"/>
      <c r="S48" s="0"/>
      <c r="T48" s="0"/>
      <c r="U48" s="0"/>
      <c r="V48" s="0"/>
    </row>
    <row r="49" customFormat="false" ht="12.8" hidden="false" customHeight="false" outlineLevel="0" collapsed="false">
      <c r="A49" s="12" t="s">
        <v>104</v>
      </c>
      <c r="B49" s="12" t="s">
        <v>268</v>
      </c>
      <c r="C49" s="11" t="s">
        <v>105</v>
      </c>
      <c r="D49" s="82" t="n">
        <v>115.0874</v>
      </c>
      <c r="E49" s="2" t="n">
        <f aca="false">9.28/2</f>
        <v>4.64</v>
      </c>
      <c r="F49" s="9" t="n">
        <f aca="false">E49/SUM($E$46:$E$65)</f>
        <v>0.0465023050711566</v>
      </c>
      <c r="G49" s="0"/>
      <c r="H49" s="0"/>
      <c r="I49" s="91" t="s">
        <v>269</v>
      </c>
      <c r="J49" s="81" t="n">
        <f aca="false">-N49*1000/L49</f>
        <v>-0.00856510568335769</v>
      </c>
      <c r="K49" s="0" t="s">
        <v>270</v>
      </c>
      <c r="L49" s="46" t="n">
        <f aca="false">G113</f>
        <v>703.287709418454</v>
      </c>
      <c r="M49" s="99" t="n">
        <f aca="false">B78 / SUM($B$69:$B$80)</f>
        <v>0.0793708977193324</v>
      </c>
      <c r="N49" s="9" t="n">
        <f aca="false">(1-$F$77)*$F$10*M49*L49 / SUMPRODUCT($M$40:$M$51,$L$40:$L$51)</f>
        <v>0.00602373355697561</v>
      </c>
      <c r="P49" s="0"/>
      <c r="Q49" s="1" t="s">
        <v>271</v>
      </c>
      <c r="R49" s="0"/>
      <c r="S49" s="0"/>
      <c r="T49" s="0"/>
      <c r="U49" s="0"/>
      <c r="V49" s="0"/>
    </row>
    <row r="50" customFormat="false" ht="12.8" hidden="false" customHeight="false" outlineLevel="0" collapsed="false">
      <c r="A50" s="12" t="s">
        <v>110</v>
      </c>
      <c r="B50" s="12" t="s">
        <v>272</v>
      </c>
      <c r="C50" s="11" t="s">
        <v>111</v>
      </c>
      <c r="D50" s="82" t="n">
        <v>104.15084</v>
      </c>
      <c r="E50" s="2" t="n">
        <v>0.14</v>
      </c>
      <c r="F50" s="9" t="n">
        <f aca="false">E50/SUM($E$46:$E$65)</f>
        <v>0.00140308679094007</v>
      </c>
      <c r="G50" s="0"/>
      <c r="H50" s="0"/>
      <c r="I50" s="91" t="s">
        <v>273</v>
      </c>
      <c r="J50" s="81" t="n">
        <f aca="false">-N50*1000/L50</f>
        <v>-0.00735617606027733</v>
      </c>
      <c r="K50" s="0" t="s">
        <v>274</v>
      </c>
      <c r="L50" s="46" t="n">
        <f aca="false">G114</f>
        <v>745.280529418454</v>
      </c>
      <c r="M50" s="99" t="n">
        <f aca="false">B79 / SUM($B$69:$B$80)</f>
        <v>0.0681680202522366</v>
      </c>
      <c r="N50" s="9" t="n">
        <f aca="false">(1-$F$77)*$F$10*M50*L50 / SUMPRODUCT($M$40:$M$51,$L$40:$L$51)</f>
        <v>0.00548241478869885</v>
      </c>
      <c r="P50" s="0"/>
      <c r="Q50" s="1" t="s">
        <v>0</v>
      </c>
      <c r="R50" s="1" t="s">
        <v>1</v>
      </c>
      <c r="S50" s="1" t="s">
        <v>2</v>
      </c>
      <c r="T50" s="1" t="s">
        <v>3</v>
      </c>
      <c r="U50" s="1" t="s">
        <v>81</v>
      </c>
      <c r="V50" s="1" t="s">
        <v>82</v>
      </c>
    </row>
    <row r="51" customFormat="false" ht="12.8" hidden="false" customHeight="false" outlineLevel="0" collapsed="false">
      <c r="A51" s="12" t="s">
        <v>115</v>
      </c>
      <c r="B51" s="12" t="s">
        <v>275</v>
      </c>
      <c r="C51" s="11" t="s">
        <v>116</v>
      </c>
      <c r="D51" s="82" t="n">
        <v>129.13716</v>
      </c>
      <c r="E51" s="2" t="n">
        <f aca="false">15.48/2</f>
        <v>7.74</v>
      </c>
      <c r="F51" s="9" t="n">
        <f aca="false">E51/SUM($E$46:$E$65)</f>
        <v>0.0775706554419724</v>
      </c>
      <c r="G51" s="0"/>
      <c r="H51" s="0"/>
      <c r="I51" s="91" t="s">
        <v>276</v>
      </c>
      <c r="J51" s="81" t="n">
        <f aca="false">-N51*1000/L51</f>
        <v>-0.00847610472951128</v>
      </c>
      <c r="K51" s="0" t="s">
        <v>277</v>
      </c>
      <c r="L51" s="46" t="n">
        <f aca="false">G115</f>
        <v>824.315501127681</v>
      </c>
      <c r="M51" s="99" t="n">
        <f aca="false">B80 / SUM($B$69:$B$80)</f>
        <v>0.0785461460039634</v>
      </c>
      <c r="N51" s="9" t="n">
        <f aca="false">(1-$F$77)*$F$10*M51*L51 / SUMPRODUCT($M$40:$M$51,$L$40:$L$51)</f>
        <v>0.0069869845177178</v>
      </c>
      <c r="P51" s="0"/>
      <c r="Q51" s="0" t="s">
        <v>43</v>
      </c>
      <c r="R51" s="81" t="n">
        <f aca="false">-V51*1000/T51</f>
        <v>-0.105654907187884</v>
      </c>
      <c r="S51" s="0" t="s">
        <v>278</v>
      </c>
      <c r="T51" s="0" t="n">
        <v>95.979301</v>
      </c>
      <c r="U51" s="0"/>
      <c r="V51" s="9" t="n">
        <f aca="false">F13</f>
        <v>0.010140684139113</v>
      </c>
    </row>
    <row r="52" customFormat="false" ht="12.8" hidden="false" customHeight="false" outlineLevel="0" collapsed="false">
      <c r="A52" s="12" t="s">
        <v>119</v>
      </c>
      <c r="B52" s="12" t="s">
        <v>279</v>
      </c>
      <c r="C52" s="11" t="s">
        <v>120</v>
      </c>
      <c r="D52" s="82" t="n">
        <v>129.11398</v>
      </c>
      <c r="E52" s="2" t="n">
        <f aca="false">15.48/2</f>
        <v>7.74</v>
      </c>
      <c r="F52" s="9" t="n">
        <f aca="false">E52/SUM($E$46:$E$65)</f>
        <v>0.0775706554419724</v>
      </c>
      <c r="G52" s="0"/>
      <c r="H52" s="0"/>
      <c r="I52" s="12" t="s">
        <v>280</v>
      </c>
      <c r="J52" s="81" t="n">
        <f aca="false">-N52*1000/L52</f>
        <v>-0.00475377693945438</v>
      </c>
      <c r="K52" s="12" t="s">
        <v>281</v>
      </c>
      <c r="L52" s="46" t="n">
        <f aca="false">G116</f>
        <v>915.263442</v>
      </c>
      <c r="M52" s="0"/>
      <c r="N52" s="9" t="n">
        <f aca="false">$F$77*$F$10</f>
        <v>0.00435095824410524</v>
      </c>
      <c r="P52" s="0"/>
      <c r="Q52" s="0" t="s">
        <v>282</v>
      </c>
      <c r="R52" s="81" t="n">
        <f aca="false">-V52*1000/T52</f>
        <v>-0.0312229450439893</v>
      </c>
      <c r="S52" s="0" t="s">
        <v>283</v>
      </c>
      <c r="T52" s="0" t="n">
        <v>96.0626</v>
      </c>
      <c r="U52" s="0"/>
      <c r="V52" s="9" t="n">
        <f aca="false">F14</f>
        <v>0.00299935728058273</v>
      </c>
    </row>
    <row r="53" customFormat="false" ht="12.8" hidden="false" customHeight="false" outlineLevel="0" collapsed="false">
      <c r="A53" s="12" t="s">
        <v>123</v>
      </c>
      <c r="B53" s="12" t="s">
        <v>284</v>
      </c>
      <c r="C53" s="11" t="s">
        <v>124</v>
      </c>
      <c r="D53" s="82" t="n">
        <v>58.05926</v>
      </c>
      <c r="E53" s="2" t="n">
        <v>8.89</v>
      </c>
      <c r="F53" s="9" t="n">
        <f aca="false">E53/SUM($E$46:$E$65)</f>
        <v>0.0890960112246943</v>
      </c>
      <c r="G53" s="0"/>
      <c r="H53" s="0"/>
      <c r="J53" s="0"/>
      <c r="K53" s="0"/>
      <c r="L53" s="46"/>
      <c r="M53" s="0"/>
      <c r="N53" s="9" t="n">
        <f aca="false">SUM(N40:N52)</f>
        <v>0.0725159707350873</v>
      </c>
      <c r="P53" s="0"/>
      <c r="Q53" s="0"/>
      <c r="R53" s="0"/>
      <c r="S53" s="0"/>
      <c r="T53" s="0"/>
      <c r="U53" s="0"/>
      <c r="V53" s="0"/>
    </row>
    <row r="54" customFormat="false" ht="12.8" hidden="false" customHeight="false" outlineLevel="0" collapsed="false">
      <c r="A54" s="12" t="s">
        <v>129</v>
      </c>
      <c r="B54" s="12" t="s">
        <v>285</v>
      </c>
      <c r="C54" s="11" t="s">
        <v>130</v>
      </c>
      <c r="D54" s="82" t="n">
        <v>138.14722</v>
      </c>
      <c r="E54" s="2" t="n">
        <v>1.93</v>
      </c>
      <c r="F54" s="9" t="n">
        <f aca="false">E54/SUM($E$46:$E$65)</f>
        <v>0.0193425536179595</v>
      </c>
      <c r="G54" s="0"/>
      <c r="H54" s="0"/>
      <c r="J54" s="0"/>
      <c r="K54" s="0"/>
      <c r="L54" s="46"/>
      <c r="M54" s="0"/>
      <c r="N54" s="86"/>
      <c r="P54" s="0"/>
      <c r="Q54" s="0"/>
      <c r="R54" s="0"/>
      <c r="S54" s="0"/>
      <c r="T54" s="0"/>
      <c r="U54" s="0"/>
      <c r="V54" s="0"/>
    </row>
    <row r="55" customFormat="false" ht="12.8" hidden="false" customHeight="false" outlineLevel="0" collapsed="false">
      <c r="A55" s="12" t="s">
        <v>136</v>
      </c>
      <c r="B55" s="12" t="s">
        <v>286</v>
      </c>
      <c r="C55" s="11" t="s">
        <v>137</v>
      </c>
      <c r="D55" s="82" t="n">
        <v>114.16558</v>
      </c>
      <c r="E55" s="2" t="n">
        <v>5.89</v>
      </c>
      <c r="F55" s="9" t="n">
        <f aca="false">E55/SUM($E$46:$E$65)</f>
        <v>0.05902986570455</v>
      </c>
      <c r="G55" s="0"/>
      <c r="H55" s="0"/>
      <c r="I55" s="76"/>
      <c r="J55" s="0"/>
      <c r="K55" s="0"/>
      <c r="L55" s="46"/>
      <c r="M55" s="0"/>
      <c r="N55" s="86"/>
      <c r="P55" s="0"/>
      <c r="Q55" s="0"/>
      <c r="R55" s="0"/>
      <c r="S55" s="0"/>
      <c r="T55" s="0"/>
      <c r="U55" s="0"/>
      <c r="V55" s="0"/>
    </row>
    <row r="56" customFormat="false" ht="12.8" hidden="false" customHeight="false" outlineLevel="0" collapsed="false">
      <c r="A56" s="12" t="s">
        <v>140</v>
      </c>
      <c r="B56" s="12" t="s">
        <v>287</v>
      </c>
      <c r="C56" s="11" t="s">
        <v>137</v>
      </c>
      <c r="D56" s="82" t="n">
        <v>114.16558</v>
      </c>
      <c r="E56" s="2" t="n">
        <v>8.01</v>
      </c>
      <c r="F56" s="9" t="n">
        <f aca="false">E56/SUM($E$46:$E$65)</f>
        <v>0.0802766085387853</v>
      </c>
      <c r="G56" s="0"/>
      <c r="H56" s="0"/>
      <c r="I56" s="0"/>
      <c r="J56" s="0"/>
      <c r="K56" s="0"/>
      <c r="L56" s="0"/>
      <c r="M56" s="0"/>
      <c r="N56" s="0"/>
      <c r="P56" s="0"/>
      <c r="Q56" s="0"/>
      <c r="R56" s="0"/>
      <c r="S56" s="0"/>
      <c r="T56" s="0"/>
      <c r="U56" s="0"/>
      <c r="V56" s="0"/>
    </row>
    <row r="57" customFormat="false" ht="12.8" hidden="false" customHeight="false" outlineLevel="0" collapsed="false">
      <c r="A57" s="12" t="s">
        <v>143</v>
      </c>
      <c r="B57" s="12" t="s">
        <v>288</v>
      </c>
      <c r="C57" s="11" t="s">
        <v>144</v>
      </c>
      <c r="D57" s="82" t="n">
        <v>130.18816</v>
      </c>
      <c r="E57" s="2" t="n">
        <v>6.57</v>
      </c>
      <c r="F57" s="9" t="n">
        <f aca="false">E57/SUM($E$46:$E$65)</f>
        <v>0.0658448586891161</v>
      </c>
      <c r="G57" s="0"/>
      <c r="H57" s="0"/>
      <c r="I57" s="0"/>
      <c r="J57" s="0"/>
      <c r="K57" s="0"/>
      <c r="L57" s="0"/>
      <c r="M57" s="0"/>
      <c r="N57" s="0"/>
      <c r="P57" s="0"/>
      <c r="Q57" s="0"/>
      <c r="R57" s="0"/>
      <c r="S57" s="0"/>
      <c r="T57" s="0"/>
      <c r="U57" s="0"/>
      <c r="V57" s="0"/>
    </row>
    <row r="58" customFormat="false" ht="12.8" hidden="false" customHeight="false" outlineLevel="0" collapsed="false">
      <c r="A58" s="12" t="s">
        <v>146</v>
      </c>
      <c r="B58" s="12" t="s">
        <v>289</v>
      </c>
      <c r="C58" s="11" t="s">
        <v>147</v>
      </c>
      <c r="D58" s="82" t="n">
        <v>132.204</v>
      </c>
      <c r="E58" s="2" t="n">
        <v>1.14</v>
      </c>
      <c r="F58" s="9" t="n">
        <f aca="false">E58/SUM($E$46:$E$65)</f>
        <v>0.0114251352976548</v>
      </c>
      <c r="G58" s="0"/>
      <c r="H58" s="0"/>
      <c r="I58" s="0"/>
      <c r="J58" s="0"/>
      <c r="K58" s="0"/>
      <c r="L58" s="0"/>
      <c r="M58" s="0"/>
      <c r="N58" s="0"/>
      <c r="P58" s="0"/>
      <c r="Q58" s="0"/>
      <c r="R58" s="0"/>
      <c r="S58" s="0"/>
      <c r="T58" s="0"/>
      <c r="U58" s="0"/>
      <c r="V58" s="0"/>
    </row>
    <row r="59" customFormat="false" ht="12.8" hidden="false" customHeight="false" outlineLevel="0" collapsed="false">
      <c r="A59" s="12" t="s">
        <v>151</v>
      </c>
      <c r="B59" s="12" t="s">
        <v>290</v>
      </c>
      <c r="C59" s="11" t="s">
        <v>152</v>
      </c>
      <c r="D59" s="82" t="n">
        <v>148.1818</v>
      </c>
      <c r="E59" s="2" t="n">
        <v>3.76</v>
      </c>
      <c r="F59" s="9" t="n">
        <f aca="false">E59/SUM($E$46:$E$65)</f>
        <v>0.0376829023852475</v>
      </c>
      <c r="G59" s="0"/>
      <c r="H59" s="0"/>
      <c r="I59" s="0"/>
      <c r="J59" s="0"/>
      <c r="K59" s="0"/>
      <c r="L59" s="0"/>
      <c r="M59" s="0"/>
      <c r="P59" s="0"/>
      <c r="Q59" s="0"/>
      <c r="R59" s="0"/>
      <c r="S59" s="0"/>
      <c r="T59" s="0"/>
      <c r="U59" s="0"/>
      <c r="V59" s="0"/>
    </row>
    <row r="60" customFormat="false" ht="12.8" hidden="false" customHeight="false" outlineLevel="0" collapsed="false">
      <c r="A60" s="12" t="s">
        <v>157</v>
      </c>
      <c r="B60" s="12" t="s">
        <v>291</v>
      </c>
      <c r="C60" s="11" t="s">
        <v>158</v>
      </c>
      <c r="D60" s="82" t="n">
        <v>97.11518</v>
      </c>
      <c r="E60" s="2" t="n">
        <v>4.22</v>
      </c>
      <c r="F60" s="9" t="n">
        <f aca="false">E60/SUM($E$46:$E$65)</f>
        <v>0.0422930446983363</v>
      </c>
      <c r="G60" s="0"/>
      <c r="H60" s="0"/>
      <c r="I60" s="0"/>
      <c r="J60" s="0"/>
      <c r="K60" s="0"/>
      <c r="L60" s="0"/>
      <c r="M60" s="0"/>
      <c r="P60" s="0"/>
      <c r="Q60" s="0"/>
      <c r="R60" s="0"/>
      <c r="S60" s="0"/>
      <c r="T60" s="0"/>
      <c r="U60" s="0"/>
      <c r="V60" s="0"/>
    </row>
    <row r="61" customFormat="false" ht="12.8" hidden="false" customHeight="false" outlineLevel="0" collapsed="false">
      <c r="A61" s="12" t="s">
        <v>163</v>
      </c>
      <c r="B61" s="12" t="s">
        <v>292</v>
      </c>
      <c r="C61" s="11" t="s">
        <v>164</v>
      </c>
      <c r="D61" s="82" t="n">
        <v>88.08524</v>
      </c>
      <c r="E61" s="2" t="n">
        <v>5.33</v>
      </c>
      <c r="F61" s="9" t="n">
        <f aca="false">E61/SUM($E$46:$E$65)</f>
        <v>0.0534175185407897</v>
      </c>
      <c r="G61" s="0"/>
      <c r="H61" s="0"/>
      <c r="I61" s="0"/>
      <c r="J61" s="0"/>
      <c r="K61" s="0"/>
      <c r="L61" s="0"/>
      <c r="M61" s="0"/>
      <c r="P61" s="0"/>
      <c r="Q61" s="0"/>
      <c r="R61" s="0"/>
      <c r="S61" s="0"/>
      <c r="T61" s="0"/>
      <c r="U61" s="0"/>
      <c r="V61" s="0"/>
    </row>
    <row r="62" customFormat="false" ht="12.8" hidden="false" customHeight="false" outlineLevel="0" collapsed="false">
      <c r="A62" s="12" t="s">
        <v>168</v>
      </c>
      <c r="B62" s="12" t="s">
        <v>293</v>
      </c>
      <c r="C62" s="11" t="s">
        <v>169</v>
      </c>
      <c r="D62" s="82" t="n">
        <v>102.11182</v>
      </c>
      <c r="E62" s="2" t="n">
        <v>5.57</v>
      </c>
      <c r="F62" s="9" t="n">
        <f aca="false">E62/SUM($E$46:$E$65)</f>
        <v>0.0558228101824013</v>
      </c>
      <c r="G62" s="0"/>
      <c r="H62" s="0"/>
      <c r="I62" s="0"/>
      <c r="J62" s="0"/>
      <c r="K62" s="0"/>
      <c r="L62" s="0"/>
      <c r="M62" s="0"/>
      <c r="P62" s="0"/>
      <c r="Q62" s="0"/>
      <c r="R62" s="0"/>
      <c r="S62" s="0"/>
      <c r="T62" s="0"/>
      <c r="U62" s="0"/>
      <c r="V62" s="0"/>
    </row>
    <row r="63" customFormat="false" ht="12.8" hidden="false" customHeight="false" outlineLevel="0" collapsed="false">
      <c r="A63" s="12" t="s">
        <v>174</v>
      </c>
      <c r="B63" s="12" t="s">
        <v>294</v>
      </c>
      <c r="C63" s="11" t="s">
        <v>175</v>
      </c>
      <c r="D63" s="82" t="n">
        <v>187.21784</v>
      </c>
      <c r="E63" s="2" t="n">
        <v>0.65</v>
      </c>
      <c r="F63" s="9" t="n">
        <f aca="false">E63/SUM($E$46:$E$65)</f>
        <v>0.0065143315293646</v>
      </c>
      <c r="G63" s="0"/>
      <c r="H63" s="0"/>
      <c r="I63" s="0"/>
      <c r="J63" s="0"/>
      <c r="K63" s="0"/>
      <c r="L63" s="0"/>
      <c r="M63" s="0"/>
      <c r="P63" s="0"/>
      <c r="Q63" s="0"/>
      <c r="R63" s="0"/>
      <c r="S63" s="0"/>
      <c r="T63" s="0"/>
      <c r="U63" s="0"/>
      <c r="V63" s="0"/>
    </row>
    <row r="64" customFormat="false" ht="12.8" hidden="false" customHeight="false" outlineLevel="0" collapsed="false">
      <c r="A64" s="12" t="s">
        <v>181</v>
      </c>
      <c r="B64" s="12" t="s">
        <v>295</v>
      </c>
      <c r="C64" s="11" t="s">
        <v>182</v>
      </c>
      <c r="D64" s="82" t="n">
        <v>164.1812</v>
      </c>
      <c r="E64" s="2" t="n">
        <v>1.96</v>
      </c>
      <c r="F64" s="9" t="n">
        <f aca="false">E64/SUM($E$46:$E$65)</f>
        <v>0.019643215073161</v>
      </c>
      <c r="G64" s="0"/>
      <c r="H64" s="0"/>
      <c r="I64" s="0"/>
      <c r="J64" s="0"/>
      <c r="K64" s="0"/>
      <c r="L64" s="0"/>
      <c r="M64" s="0"/>
      <c r="P64" s="0"/>
      <c r="Q64" s="0"/>
      <c r="R64" s="0"/>
      <c r="S64" s="0"/>
      <c r="T64" s="0"/>
      <c r="U64" s="0"/>
      <c r="V64" s="0"/>
    </row>
    <row r="65" customFormat="false" ht="12.8" hidden="false" customHeight="false" outlineLevel="0" collapsed="false">
      <c r="A65" s="12" t="s">
        <v>187</v>
      </c>
      <c r="B65" s="12" t="s">
        <v>296</v>
      </c>
      <c r="C65" s="11" t="s">
        <v>188</v>
      </c>
      <c r="D65" s="82" t="n">
        <v>100.139</v>
      </c>
      <c r="E65" s="2" t="n">
        <v>7.33</v>
      </c>
      <c r="F65" s="9" t="n">
        <f aca="false">E65/SUM($E$46:$E$65)</f>
        <v>0.0734616155542193</v>
      </c>
      <c r="G65" s="0"/>
      <c r="H65" s="0"/>
      <c r="I65" s="0"/>
      <c r="J65" s="0"/>
      <c r="K65" s="0"/>
      <c r="L65" s="0"/>
      <c r="M65" s="0"/>
      <c r="P65" s="0"/>
      <c r="Q65" s="0"/>
      <c r="R65" s="0"/>
      <c r="S65" s="0"/>
      <c r="T65" s="0"/>
      <c r="U65" s="0"/>
      <c r="V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P66" s="0"/>
      <c r="Q66" s="0"/>
      <c r="R66" s="1" t="s">
        <v>15</v>
      </c>
      <c r="S66" s="0"/>
      <c r="U66" s="0"/>
      <c r="V66" s="0"/>
    </row>
    <row r="67" customFormat="false" ht="12.8" hidden="false" customHeight="false" outlineLevel="0" collapsed="false">
      <c r="A67" s="1" t="s">
        <v>297</v>
      </c>
      <c r="B67" s="0"/>
      <c r="C67" s="0"/>
      <c r="D67" s="0"/>
      <c r="E67" s="102" t="s">
        <v>298</v>
      </c>
      <c r="F67" s="91"/>
      <c r="G67" s="91"/>
      <c r="H67" s="1"/>
      <c r="I67" s="0"/>
      <c r="J67" s="0"/>
      <c r="K67" s="0"/>
      <c r="L67" s="0"/>
      <c r="M67" s="0"/>
      <c r="P67" s="0"/>
      <c r="Q67" s="0"/>
      <c r="S67" s="0"/>
      <c r="U67" s="0"/>
      <c r="V67" s="0"/>
    </row>
    <row r="68" customFormat="false" ht="12.8" hidden="false" customHeight="false" outlineLevel="0" collapsed="false">
      <c r="A68" s="1" t="s">
        <v>0</v>
      </c>
      <c r="B68" s="1" t="s">
        <v>299</v>
      </c>
      <c r="C68" s="1"/>
      <c r="D68" s="0"/>
      <c r="E68" s="102" t="s">
        <v>300</v>
      </c>
      <c r="F68" s="91"/>
      <c r="G68" s="91"/>
      <c r="H68" s="1"/>
      <c r="I68" s="1"/>
      <c r="J68" s="1"/>
      <c r="K68" s="0"/>
      <c r="L68" s="0"/>
      <c r="M68" s="0"/>
      <c r="P68" s="0"/>
      <c r="Q68" s="0"/>
      <c r="R68" s="2" t="s">
        <v>16</v>
      </c>
      <c r="S68" s="12" t="s">
        <v>17</v>
      </c>
      <c r="U68" s="0"/>
      <c r="V68" s="0"/>
    </row>
    <row r="69" customFormat="false" ht="12.8" hidden="false" customHeight="false" outlineLevel="0" collapsed="false">
      <c r="A69" s="91" t="s">
        <v>232</v>
      </c>
      <c r="B69" s="94" t="n">
        <v>0.004979</v>
      </c>
      <c r="C69" s="103"/>
      <c r="D69" s="0"/>
      <c r="E69" s="0"/>
      <c r="F69" s="104" t="s">
        <v>301</v>
      </c>
      <c r="G69" s="104" t="s">
        <v>302</v>
      </c>
      <c r="H69" s="0"/>
      <c r="I69" s="9"/>
      <c r="J69" s="0"/>
      <c r="K69" s="0"/>
      <c r="L69" s="0"/>
      <c r="M69" s="0"/>
      <c r="P69" s="0"/>
      <c r="Q69" s="0"/>
      <c r="R69" s="12" t="s">
        <v>18</v>
      </c>
      <c r="S69" s="12" t="s">
        <v>19</v>
      </c>
      <c r="U69" s="0"/>
      <c r="V69" s="0"/>
    </row>
    <row r="70" customFormat="false" ht="12.8" hidden="false" customHeight="false" outlineLevel="0" collapsed="false">
      <c r="A70" s="91" t="s">
        <v>237</v>
      </c>
      <c r="B70" s="94" t="n">
        <v>0.001827</v>
      </c>
      <c r="C70" s="103"/>
      <c r="D70" s="0"/>
      <c r="E70" s="0" t="s">
        <v>303</v>
      </c>
      <c r="F70" s="104" t="n">
        <v>0.0080858</v>
      </c>
      <c r="G70" s="105" t="n">
        <f aca="false">F70/SUM($F$70:$F$73)</f>
        <v>0.188970452479276</v>
      </c>
      <c r="H70" s="0"/>
      <c r="I70" s="9"/>
      <c r="J70" s="0"/>
      <c r="K70" s="0"/>
      <c r="L70" s="0"/>
      <c r="M70" s="0"/>
      <c r="P70" s="0"/>
      <c r="Q70" s="0"/>
      <c r="U70" s="0"/>
      <c r="V70" s="0"/>
    </row>
    <row r="71" customFormat="false" ht="12.8" hidden="false" customHeight="false" outlineLevel="0" collapsed="false">
      <c r="A71" s="91" t="s">
        <v>241</v>
      </c>
      <c r="B71" s="94" t="n">
        <v>0.026583</v>
      </c>
      <c r="C71" s="95"/>
      <c r="D71" s="0"/>
      <c r="E71" s="0" t="s">
        <v>304</v>
      </c>
      <c r="F71" s="104" t="n">
        <v>0.02373</v>
      </c>
      <c r="G71" s="105" t="n">
        <f aca="false">F71/SUM($F$70:$F$73)</f>
        <v>0.554585673320293</v>
      </c>
      <c r="H71" s="0"/>
      <c r="I71" s="9"/>
      <c r="J71" s="0"/>
      <c r="K71" s="0"/>
      <c r="L71" s="0"/>
      <c r="M71" s="0"/>
      <c r="P71" s="0"/>
      <c r="Q71" s="0"/>
      <c r="U71" s="0"/>
      <c r="V71" s="0"/>
    </row>
    <row r="72" customFormat="false" ht="12.8" hidden="false" customHeight="false" outlineLevel="0" collapsed="false">
      <c r="A72" s="91" t="s">
        <v>245</v>
      </c>
      <c r="B72" s="94" t="n">
        <v>0.00028</v>
      </c>
      <c r="C72" s="106"/>
      <c r="D72" s="0"/>
      <c r="E72" s="0" t="s">
        <v>305</v>
      </c>
      <c r="F72" s="104" t="n">
        <v>0.0022663</v>
      </c>
      <c r="G72" s="105" t="n">
        <f aca="false">F72/SUM($F$70:$F$73)</f>
        <v>0.052964918307871</v>
      </c>
      <c r="H72" s="0"/>
      <c r="I72" s="9"/>
      <c r="J72" s="9"/>
      <c r="K72" s="0"/>
      <c r="L72" s="0"/>
      <c r="M72" s="0"/>
      <c r="P72" s="0"/>
      <c r="Q72" s="0"/>
      <c r="R72" s="0"/>
      <c r="S72" s="0"/>
      <c r="U72" s="0"/>
      <c r="V72" s="0"/>
    </row>
    <row r="73" customFormat="false" ht="12.8" hidden="false" customHeight="false" outlineLevel="0" collapsed="false">
      <c r="A73" s="91" t="s">
        <v>249</v>
      </c>
      <c r="B73" s="94" t="n">
        <v>0.000821</v>
      </c>
      <c r="C73" s="98"/>
      <c r="D73" s="0"/>
      <c r="E73" s="0" t="s">
        <v>306</v>
      </c>
      <c r="F73" s="104" t="n">
        <v>0.0087066</v>
      </c>
      <c r="G73" s="105" t="n">
        <f aca="false">F73/SUM($F$70:$F$73)</f>
        <v>0.20347895589256</v>
      </c>
      <c r="H73" s="0"/>
      <c r="I73" s="0"/>
      <c r="J73" s="0"/>
      <c r="K73" s="0"/>
      <c r="L73" s="1"/>
      <c r="M73" s="1"/>
      <c r="P73" s="0"/>
      <c r="Q73" s="0"/>
      <c r="U73" s="0"/>
      <c r="V73" s="0"/>
    </row>
    <row r="74" customFormat="false" ht="12.8" hidden="false" customHeight="false" outlineLevel="0" collapsed="false">
      <c r="A74" s="91" t="s">
        <v>257</v>
      </c>
      <c r="B74" s="94" t="n">
        <v>7.8E-005</v>
      </c>
      <c r="C74" s="106"/>
      <c r="D74" s="0"/>
      <c r="E74" s="0"/>
      <c r="F74" s="1"/>
      <c r="G74" s="0"/>
      <c r="H74" s="1"/>
      <c r="I74" s="1"/>
      <c r="J74" s="1"/>
      <c r="K74" s="1"/>
      <c r="L74" s="86"/>
      <c r="M74" s="0"/>
      <c r="P74" s="0"/>
      <c r="Q74" s="0"/>
      <c r="U74" s="0"/>
      <c r="V74" s="0"/>
    </row>
    <row r="75" customFormat="false" ht="12.8" hidden="false" customHeight="false" outlineLevel="0" collapsed="false">
      <c r="A75" s="91" t="s">
        <v>260</v>
      </c>
      <c r="B75" s="94" t="n">
        <v>0.000301</v>
      </c>
      <c r="C75" s="106"/>
      <c r="D75" s="1"/>
      <c r="E75" s="1" t="s">
        <v>307</v>
      </c>
      <c r="F75" s="1"/>
      <c r="G75" s="0"/>
      <c r="H75" s="0"/>
      <c r="I75" s="9"/>
      <c r="J75" s="83"/>
      <c r="K75" s="46"/>
      <c r="L75" s="86"/>
      <c r="M75" s="0"/>
      <c r="P75" s="0"/>
      <c r="Q75" s="0"/>
      <c r="R75" s="0"/>
      <c r="S75" s="0"/>
      <c r="U75" s="0"/>
      <c r="V75" s="0"/>
    </row>
    <row r="76" customFormat="false" ht="12.8" hidden="false" customHeight="false" outlineLevel="0" collapsed="false">
      <c r="A76" s="91" t="s">
        <v>263</v>
      </c>
      <c r="B76" s="94" t="n">
        <v>0.00691</v>
      </c>
      <c r="C76" s="98"/>
      <c r="D76" s="107"/>
      <c r="E76" s="0"/>
      <c r="F76" s="107" t="s">
        <v>308</v>
      </c>
      <c r="G76" s="0" t="s">
        <v>309</v>
      </c>
      <c r="H76" s="0"/>
      <c r="I76" s="9"/>
      <c r="J76" s="83"/>
      <c r="K76" s="46"/>
      <c r="L76" s="86"/>
      <c r="M76" s="0"/>
      <c r="P76" s="0"/>
      <c r="Q76" s="0"/>
      <c r="R76" s="1"/>
      <c r="S76" s="0"/>
      <c r="U76" s="0"/>
      <c r="V76" s="0"/>
    </row>
    <row r="77" customFormat="false" ht="12.8" hidden="false" customHeight="false" outlineLevel="0" collapsed="false">
      <c r="A77" s="91" t="s">
        <v>266</v>
      </c>
      <c r="B77" s="94" t="n">
        <v>0.025783</v>
      </c>
      <c r="C77" s="98"/>
      <c r="D77" s="86"/>
      <c r="E77" s="0" t="s">
        <v>280</v>
      </c>
      <c r="F77" s="83" t="n">
        <v>0.06</v>
      </c>
      <c r="G77" s="9" t="n">
        <f aca="false">F77*F10</f>
        <v>0.00435095824410524</v>
      </c>
      <c r="H77" s="0"/>
      <c r="I77" s="9"/>
      <c r="J77" s="83"/>
      <c r="K77" s="46"/>
      <c r="L77" s="86"/>
      <c r="M77" s="0"/>
      <c r="P77" s="0"/>
      <c r="Q77" s="0"/>
      <c r="R77" s="1"/>
      <c r="S77" s="1"/>
      <c r="U77" s="1"/>
      <c r="V77" s="1"/>
    </row>
    <row r="78" customFormat="false" ht="12.8" hidden="false" customHeight="false" outlineLevel="0" collapsed="false">
      <c r="A78" s="91" t="s">
        <v>269</v>
      </c>
      <c r="B78" s="94" t="n">
        <v>0.006929</v>
      </c>
      <c r="C78" s="98"/>
      <c r="D78" s="107"/>
      <c r="E78" s="0"/>
      <c r="F78" s="107"/>
      <c r="G78" s="0"/>
      <c r="H78" s="0"/>
      <c r="I78" s="9"/>
      <c r="J78" s="83"/>
      <c r="K78" s="46"/>
      <c r="L78" s="86"/>
      <c r="M78" s="0"/>
      <c r="P78" s="0"/>
      <c r="Q78" s="0"/>
      <c r="R78" s="1"/>
      <c r="S78" s="0"/>
      <c r="U78" s="1"/>
      <c r="V78" s="0"/>
    </row>
    <row r="79" customFormat="false" ht="12.8" hidden="false" customHeight="false" outlineLevel="0" collapsed="false">
      <c r="A79" s="91" t="s">
        <v>273</v>
      </c>
      <c r="B79" s="94" t="n">
        <v>0.005951</v>
      </c>
      <c r="C79" s="98"/>
      <c r="D79" s="86"/>
      <c r="E79" s="86"/>
      <c r="F79" s="86"/>
      <c r="G79" s="0"/>
      <c r="H79" s="0"/>
      <c r="I79" s="9"/>
      <c r="J79" s="83"/>
      <c r="K79" s="46"/>
      <c r="L79" s="86"/>
      <c r="M79" s="0"/>
      <c r="P79" s="0"/>
      <c r="Q79" s="0"/>
      <c r="R79" s="0"/>
      <c r="S79" s="0"/>
      <c r="U79" s="0"/>
    </row>
    <row r="80" customFormat="false" ht="12.8" hidden="false" customHeight="false" outlineLevel="0" collapsed="false">
      <c r="A80" s="91" t="s">
        <v>276</v>
      </c>
      <c r="B80" s="94" t="n">
        <v>0.006857</v>
      </c>
      <c r="C80" s="98"/>
      <c r="D80" s="86"/>
      <c r="E80" s="86"/>
      <c r="F80" s="86"/>
      <c r="G80" s="0"/>
      <c r="H80" s="0"/>
      <c r="I80" s="9"/>
      <c r="J80" s="83"/>
      <c r="K80" s="46"/>
      <c r="L80" s="0"/>
      <c r="M80" s="0"/>
      <c r="P80" s="0"/>
      <c r="Q80" s="0"/>
      <c r="R80" s="0"/>
      <c r="S80" s="0"/>
      <c r="U80" s="0"/>
    </row>
    <row r="81" customFormat="false" ht="12.8" hidden="false" customHeight="false" outlineLevel="0" collapsed="false">
      <c r="B81" s="46"/>
      <c r="C81" s="46"/>
      <c r="D81" s="86"/>
      <c r="E81" s="86"/>
      <c r="F81" s="86"/>
      <c r="G81" s="0"/>
      <c r="H81" s="0"/>
      <c r="I81" s="9"/>
      <c r="J81" s="0"/>
      <c r="K81" s="0"/>
      <c r="L81" s="0"/>
      <c r="R81" s="0"/>
      <c r="S81" s="0"/>
      <c r="U81" s="0"/>
    </row>
    <row r="82" customFormat="false" ht="12.8" hidden="false" customHeight="false" outlineLevel="0" collapsed="false">
      <c r="A82" s="1" t="s">
        <v>310</v>
      </c>
      <c r="B82" s="0"/>
      <c r="C82" s="0"/>
      <c r="D82" s="0"/>
      <c r="E82" s="0"/>
      <c r="F82" s="0"/>
      <c r="G82" s="0"/>
      <c r="H82" s="0"/>
      <c r="I82" s="0"/>
      <c r="J82" s="0"/>
      <c r="K82" s="0"/>
      <c r="L82" s="91"/>
      <c r="M82" s="91"/>
      <c r="N82" s="0"/>
      <c r="O82" s="0"/>
      <c r="P82" s="0"/>
      <c r="R82" s="1"/>
      <c r="S82" s="0"/>
      <c r="U82" s="1"/>
    </row>
    <row r="83" customFormat="false" ht="12.9" hidden="false" customHeight="false" outlineLevel="0" collapsed="false">
      <c r="B83" s="12" t="s">
        <v>192</v>
      </c>
      <c r="C83" s="12" t="s">
        <v>46</v>
      </c>
      <c r="D83" s="12" t="s">
        <v>311</v>
      </c>
      <c r="E83" s="12" t="s">
        <v>312</v>
      </c>
      <c r="F83" s="12" t="s">
        <v>313</v>
      </c>
      <c r="G83" s="12" t="s">
        <v>3</v>
      </c>
      <c r="H83" s="12" t="s">
        <v>314</v>
      </c>
      <c r="I83" s="76" t="s">
        <v>315</v>
      </c>
      <c r="J83" s="12" t="s">
        <v>316</v>
      </c>
      <c r="K83" s="12" t="s">
        <v>317</v>
      </c>
      <c r="L83" s="91"/>
      <c r="M83" s="91"/>
      <c r="N83" s="0"/>
      <c r="O83" s="0"/>
      <c r="P83" s="0"/>
    </row>
    <row r="84" customFormat="false" ht="12.8" hidden="false" customHeight="false" outlineLevel="0" collapsed="false">
      <c r="A84" s="12" t="s">
        <v>3</v>
      </c>
      <c r="B84" s="46" t="n">
        <v>12.0107</v>
      </c>
      <c r="C84" s="46" t="n">
        <v>1.00794</v>
      </c>
      <c r="D84" s="46" t="n">
        <v>14.0067</v>
      </c>
      <c r="E84" s="46" t="n">
        <v>15.999</v>
      </c>
      <c r="F84" s="46" t="n">
        <v>30.973762</v>
      </c>
      <c r="L84" s="91"/>
      <c r="M84" s="91"/>
      <c r="N84" s="0"/>
      <c r="O84" s="0"/>
      <c r="P84" s="0"/>
    </row>
    <row r="85" customFormat="false" ht="12.8" hidden="false" customHeight="false" outlineLevel="0" collapsed="false">
      <c r="A85" s="12" t="s">
        <v>318</v>
      </c>
      <c r="B85" s="12" t="n">
        <v>14</v>
      </c>
      <c r="C85" s="12" t="n">
        <v>27</v>
      </c>
      <c r="E85" s="12" t="n">
        <v>1</v>
      </c>
      <c r="G85" s="46" t="n">
        <f aca="false">SUMPRODUCT($B$84:$F$84,B85:F85)</f>
        <v>211.36318</v>
      </c>
      <c r="H85" s="12" t="n">
        <v>-4</v>
      </c>
      <c r="J85" s="12" t="s">
        <v>319</v>
      </c>
      <c r="K85" s="12" t="s">
        <v>320</v>
      </c>
      <c r="L85" s="91"/>
      <c r="M85" s="91"/>
      <c r="N85" s="0"/>
      <c r="O85" s="0"/>
      <c r="P85" s="0"/>
    </row>
    <row r="86" customFormat="false" ht="12.8" hidden="false" customHeight="false" outlineLevel="0" collapsed="false">
      <c r="A86" s="12" t="s">
        <v>321</v>
      </c>
      <c r="B86" s="12" t="n">
        <v>16</v>
      </c>
      <c r="C86" s="12" t="n">
        <v>31</v>
      </c>
      <c r="E86" s="12" t="n">
        <v>1</v>
      </c>
      <c r="G86" s="46" t="n">
        <f aca="false">SUMPRODUCT($B$84:$F$84,B86:F86)</f>
        <v>239.41634</v>
      </c>
      <c r="H86" s="12" t="n">
        <v>-4</v>
      </c>
      <c r="J86" s="12" t="s">
        <v>319</v>
      </c>
      <c r="K86" s="12" t="s">
        <v>322</v>
      </c>
      <c r="L86" s="91"/>
      <c r="M86" s="91"/>
      <c r="N86" s="0"/>
      <c r="O86" s="0"/>
      <c r="P86" s="0"/>
    </row>
    <row r="87" customFormat="false" ht="12.8" hidden="false" customHeight="false" outlineLevel="0" collapsed="false">
      <c r="A87" s="12" t="s">
        <v>323</v>
      </c>
      <c r="B87" s="12" t="n">
        <v>16</v>
      </c>
      <c r="C87" s="12" t="n">
        <v>29</v>
      </c>
      <c r="E87" s="12" t="n">
        <v>1</v>
      </c>
      <c r="G87" s="46" t="n">
        <f aca="false">SUMPRODUCT($B$84:$F$84,B87:F87)</f>
        <v>237.40046</v>
      </c>
      <c r="H87" s="12" t="n">
        <v>-4</v>
      </c>
      <c r="J87" s="12" t="s">
        <v>319</v>
      </c>
      <c r="K87" s="12" t="s">
        <v>324</v>
      </c>
      <c r="L87" s="91"/>
      <c r="M87" s="91"/>
      <c r="N87" s="0"/>
      <c r="O87" s="0"/>
      <c r="P87" s="0"/>
    </row>
    <row r="88" customFormat="false" ht="12.8" hidden="false" customHeight="false" outlineLevel="0" collapsed="false">
      <c r="A88" s="12" t="s">
        <v>325</v>
      </c>
      <c r="B88" s="12" t="n">
        <v>17</v>
      </c>
      <c r="C88" s="12" t="n">
        <v>31</v>
      </c>
      <c r="E88" s="12" t="n">
        <v>1</v>
      </c>
      <c r="G88" s="46" t="n">
        <f aca="false">SUMPRODUCT($B$84:$F$84,B88:F88)</f>
        <v>251.42704</v>
      </c>
      <c r="H88" s="12" t="n">
        <v>-4</v>
      </c>
      <c r="J88" s="12" t="s">
        <v>319</v>
      </c>
      <c r="K88" s="12" t="s">
        <v>326</v>
      </c>
      <c r="L88" s="91"/>
      <c r="M88" s="91"/>
      <c r="N88" s="0"/>
      <c r="O88" s="0"/>
      <c r="P88" s="0"/>
    </row>
    <row r="89" customFormat="false" ht="12.8" hidden="false" customHeight="false" outlineLevel="0" collapsed="false">
      <c r="A89" s="12" t="s">
        <v>327</v>
      </c>
      <c r="B89" s="12" t="n">
        <v>18</v>
      </c>
      <c r="C89" s="12" t="n">
        <v>35</v>
      </c>
      <c r="E89" s="12" t="n">
        <v>1</v>
      </c>
      <c r="G89" s="46" t="n">
        <f aca="false">SUMPRODUCT($B$84:$F$84,B89:F89)</f>
        <v>267.4695</v>
      </c>
      <c r="H89" s="12" t="n">
        <v>-4</v>
      </c>
      <c r="J89" s="12" t="s">
        <v>319</v>
      </c>
      <c r="K89" s="12" t="s">
        <v>328</v>
      </c>
      <c r="L89" s="91"/>
      <c r="M89" s="91"/>
      <c r="N89" s="91"/>
      <c r="O89" s="91"/>
      <c r="P89" s="91"/>
    </row>
    <row r="90" customFormat="false" ht="12.8" hidden="false" customHeight="false" outlineLevel="0" collapsed="false">
      <c r="A90" s="12" t="s">
        <v>329</v>
      </c>
      <c r="B90" s="12" t="n">
        <v>18</v>
      </c>
      <c r="C90" s="12" t="n">
        <v>33</v>
      </c>
      <c r="E90" s="12" t="n">
        <v>1</v>
      </c>
      <c r="G90" s="46" t="n">
        <f aca="false">SUMPRODUCT($B$84:$F$84,B90:F90)</f>
        <v>265.45362</v>
      </c>
      <c r="H90" s="12" t="n">
        <v>-4</v>
      </c>
      <c r="J90" s="12" t="s">
        <v>319</v>
      </c>
      <c r="K90" s="12" t="s">
        <v>330</v>
      </c>
      <c r="L90" s="91"/>
      <c r="M90" s="91"/>
      <c r="N90" s="102"/>
      <c r="O90" s="91"/>
      <c r="P90" s="91"/>
    </row>
    <row r="91" customFormat="false" ht="12.8" hidden="false" customHeight="false" outlineLevel="0" collapsed="false">
      <c r="A91" s="12" t="s">
        <v>331</v>
      </c>
      <c r="B91" s="12" t="n">
        <v>18</v>
      </c>
      <c r="C91" s="12" t="n">
        <v>31</v>
      </c>
      <c r="E91" s="12" t="n">
        <v>1</v>
      </c>
      <c r="G91" s="46" t="n">
        <f aca="false">SUMPRODUCT($B$84:$F$84,B91:F91)</f>
        <v>263.43774</v>
      </c>
      <c r="H91" s="12" t="n">
        <v>-4</v>
      </c>
      <c r="J91" s="12" t="s">
        <v>319</v>
      </c>
      <c r="K91" s="12" t="s">
        <v>332</v>
      </c>
      <c r="L91" s="91"/>
      <c r="M91" s="91"/>
      <c r="N91" s="91"/>
      <c r="O91" s="91"/>
      <c r="P91" s="91"/>
    </row>
    <row r="92" customFormat="false" ht="12.8" hidden="false" customHeight="false" outlineLevel="0" collapsed="false">
      <c r="A92" s="12" t="s">
        <v>333</v>
      </c>
      <c r="B92" s="12" t="n">
        <v>18</v>
      </c>
      <c r="C92" s="12" t="n">
        <v>29</v>
      </c>
      <c r="E92" s="12" t="n">
        <v>1</v>
      </c>
      <c r="G92" s="46" t="n">
        <f aca="false">SUMPRODUCT($B$84:$F$84,B92:F92)</f>
        <v>261.42186</v>
      </c>
      <c r="H92" s="12" t="n">
        <v>-4</v>
      </c>
      <c r="J92" s="12" t="s">
        <v>319</v>
      </c>
      <c r="K92" s="12" t="s">
        <v>334</v>
      </c>
      <c r="L92" s="91"/>
      <c r="M92" s="91"/>
      <c r="N92" s="91"/>
      <c r="O92" s="91"/>
      <c r="P92" s="91"/>
    </row>
    <row r="93" customFormat="false" ht="12.8" hidden="false" customHeight="false" outlineLevel="0" collapsed="false">
      <c r="A93" s="12" t="s">
        <v>335</v>
      </c>
      <c r="B93" s="12" t="n">
        <v>22</v>
      </c>
      <c r="C93" s="12" t="n">
        <v>43</v>
      </c>
      <c r="E93" s="12" t="n">
        <v>1</v>
      </c>
      <c r="G93" s="46" t="n">
        <f aca="false">SUMPRODUCT($B$84:$F$84,B93:F93)</f>
        <v>323.57582</v>
      </c>
      <c r="H93" s="12" t="n">
        <v>-4</v>
      </c>
      <c r="J93" s="12" t="s">
        <v>319</v>
      </c>
      <c r="K93" s="12" t="s">
        <v>336</v>
      </c>
      <c r="L93" s="91"/>
      <c r="M93" s="91"/>
      <c r="N93" s="91"/>
      <c r="O93" s="91"/>
      <c r="P93" s="91"/>
    </row>
    <row r="94" customFormat="false" ht="12.8" hidden="false" customHeight="false" outlineLevel="0" collapsed="false">
      <c r="A94" s="12" t="s">
        <v>337</v>
      </c>
      <c r="B94" s="12" t="n">
        <v>24</v>
      </c>
      <c r="C94" s="12" t="n">
        <v>47</v>
      </c>
      <c r="E94" s="12" t="n">
        <v>1</v>
      </c>
      <c r="G94" s="46" t="n">
        <f aca="false">SUMPRODUCT($B$84:$F$84,B94:F94)</f>
        <v>351.62898</v>
      </c>
      <c r="H94" s="12" t="n">
        <v>-4</v>
      </c>
      <c r="J94" s="12" t="s">
        <v>319</v>
      </c>
      <c r="K94" s="12" t="s">
        <v>338</v>
      </c>
      <c r="L94" s="91"/>
      <c r="M94" s="91"/>
      <c r="N94" s="91"/>
      <c r="O94" s="91"/>
      <c r="P94" s="91"/>
    </row>
    <row r="95" customFormat="false" ht="12.8" hidden="false" customHeight="false" outlineLevel="0" collapsed="false">
      <c r="A95" s="12" t="s">
        <v>339</v>
      </c>
      <c r="B95" s="12" t="n">
        <v>14</v>
      </c>
      <c r="C95" s="12" t="n">
        <v>27</v>
      </c>
      <c r="E95" s="12" t="n">
        <v>2</v>
      </c>
      <c r="G95" s="46" t="n">
        <f aca="false">SUMPRODUCT($B$84:$F$84,B95:F95)</f>
        <v>227.36218</v>
      </c>
      <c r="H95" s="12" t="n">
        <v>-1</v>
      </c>
      <c r="J95" s="12" t="s">
        <v>340</v>
      </c>
      <c r="K95" s="12" t="s">
        <v>341</v>
      </c>
      <c r="L95" s="91"/>
      <c r="M95" s="91"/>
      <c r="N95" s="91"/>
      <c r="O95" s="91"/>
      <c r="P95" s="91"/>
    </row>
    <row r="96" customFormat="false" ht="12.8" hidden="false" customHeight="false" outlineLevel="0" collapsed="false">
      <c r="A96" s="12" t="s">
        <v>342</v>
      </c>
      <c r="B96" s="12" t="n">
        <v>16</v>
      </c>
      <c r="C96" s="12" t="n">
        <v>31</v>
      </c>
      <c r="E96" s="12" t="n">
        <v>2</v>
      </c>
      <c r="G96" s="46" t="n">
        <f aca="false">SUMPRODUCT($B$84:$F$84,B96:F96)</f>
        <v>255.41534</v>
      </c>
      <c r="H96" s="12" t="n">
        <v>-1</v>
      </c>
      <c r="J96" s="12" t="s">
        <v>340</v>
      </c>
      <c r="K96" s="12" t="s">
        <v>245</v>
      </c>
      <c r="L96" s="91"/>
      <c r="M96" s="91"/>
      <c r="N96" s="91"/>
      <c r="O96" s="91"/>
      <c r="P96" s="91"/>
    </row>
    <row r="97" customFormat="false" ht="12.8" hidden="false" customHeight="false" outlineLevel="0" collapsed="false">
      <c r="A97" s="12" t="s">
        <v>343</v>
      </c>
      <c r="B97" s="12" t="n">
        <v>16</v>
      </c>
      <c r="C97" s="12" t="n">
        <v>29</v>
      </c>
      <c r="E97" s="12" t="n">
        <v>2</v>
      </c>
      <c r="G97" s="46" t="n">
        <f aca="false">SUMPRODUCT($B$84:$F$84,B97:F97)</f>
        <v>253.39946</v>
      </c>
      <c r="H97" s="12" t="n">
        <v>-1</v>
      </c>
      <c r="J97" s="12" t="s">
        <v>340</v>
      </c>
      <c r="K97" s="12" t="s">
        <v>249</v>
      </c>
      <c r="L97" s="91"/>
      <c r="M97" s="91"/>
      <c r="N97" s="91"/>
      <c r="O97" s="91"/>
      <c r="P97" s="91"/>
      <c r="W97" s="1"/>
      <c r="X97" s="1"/>
    </row>
    <row r="98" customFormat="false" ht="12.8" hidden="false" customHeight="false" outlineLevel="0" collapsed="false">
      <c r="A98" s="12" t="s">
        <v>344</v>
      </c>
      <c r="B98" s="12" t="n">
        <v>17</v>
      </c>
      <c r="C98" s="12" t="n">
        <v>31</v>
      </c>
      <c r="E98" s="12" t="n">
        <v>2</v>
      </c>
      <c r="G98" s="46" t="n">
        <f aca="false">SUMPRODUCT($B$84:$F$84,B98:F98)</f>
        <v>267.42604</v>
      </c>
      <c r="H98" s="12" t="n">
        <v>-1</v>
      </c>
      <c r="J98" s="12" t="s">
        <v>340</v>
      </c>
      <c r="K98" s="12" t="s">
        <v>345</v>
      </c>
      <c r="L98" s="91"/>
      <c r="M98" s="91"/>
      <c r="N98" s="91"/>
      <c r="O98" s="91"/>
      <c r="P98" s="91"/>
      <c r="W98" s="1"/>
      <c r="X98" s="1"/>
    </row>
    <row r="99" customFormat="false" ht="12.8" hidden="false" customHeight="false" outlineLevel="0" collapsed="false">
      <c r="A99" s="12" t="s">
        <v>346</v>
      </c>
      <c r="B99" s="12" t="n">
        <v>18</v>
      </c>
      <c r="C99" s="12" t="n">
        <v>35</v>
      </c>
      <c r="E99" s="12" t="n">
        <v>2</v>
      </c>
      <c r="G99" s="46" t="n">
        <f aca="false">SUMPRODUCT($B$84:$F$84,B99:F99)</f>
        <v>283.4685</v>
      </c>
      <c r="H99" s="12" t="n">
        <v>-1</v>
      </c>
      <c r="J99" s="12" t="s">
        <v>340</v>
      </c>
      <c r="K99" s="12" t="s">
        <v>257</v>
      </c>
      <c r="L99" s="91"/>
      <c r="M99" s="91"/>
      <c r="N99" s="91"/>
      <c r="O99" s="91"/>
      <c r="P99" s="91"/>
    </row>
    <row r="100" customFormat="false" ht="12.8" hidden="false" customHeight="false" outlineLevel="0" collapsed="false">
      <c r="A100" s="12" t="s">
        <v>347</v>
      </c>
      <c r="B100" s="12" t="n">
        <v>18</v>
      </c>
      <c r="C100" s="12" t="n">
        <v>33</v>
      </c>
      <c r="E100" s="12" t="n">
        <v>2</v>
      </c>
      <c r="G100" s="46" t="n">
        <f aca="false">SUMPRODUCT($B$84:$F$84,B100:F100)</f>
        <v>281.45262</v>
      </c>
      <c r="H100" s="12" t="n">
        <v>-1</v>
      </c>
      <c r="J100" s="12" t="s">
        <v>340</v>
      </c>
      <c r="K100" s="12" t="s">
        <v>260</v>
      </c>
      <c r="L100" s="91"/>
      <c r="M100" s="91"/>
      <c r="N100" s="91"/>
      <c r="O100" s="91"/>
      <c r="P100" s="91"/>
    </row>
    <row r="101" customFormat="false" ht="12.8" hidden="false" customHeight="false" outlineLevel="0" collapsed="false">
      <c r="A101" s="12" t="s">
        <v>348</v>
      </c>
      <c r="B101" s="12" t="n">
        <v>18</v>
      </c>
      <c r="C101" s="12" t="n">
        <v>31</v>
      </c>
      <c r="E101" s="12" t="n">
        <v>2</v>
      </c>
      <c r="G101" s="46" t="n">
        <f aca="false">SUMPRODUCT($B$84:$F$84,B101:F101)</f>
        <v>279.43674</v>
      </c>
      <c r="H101" s="12" t="n">
        <v>-1</v>
      </c>
      <c r="J101" s="12" t="s">
        <v>340</v>
      </c>
      <c r="K101" s="12" t="s">
        <v>349</v>
      </c>
      <c r="L101" s="91"/>
      <c r="M101" s="91"/>
      <c r="N101" s="91"/>
      <c r="O101" s="91"/>
      <c r="P101" s="91"/>
    </row>
    <row r="102" customFormat="false" ht="12.8" hidden="false" customHeight="false" outlineLevel="0" collapsed="false">
      <c r="A102" s="12" t="s">
        <v>350</v>
      </c>
      <c r="B102" s="12" t="n">
        <v>18</v>
      </c>
      <c r="C102" s="12" t="n">
        <v>29</v>
      </c>
      <c r="E102" s="12" t="n">
        <v>2</v>
      </c>
      <c r="G102" s="46" t="n">
        <f aca="false">SUMPRODUCT($B$84:$F$84,B102:F102)</f>
        <v>277.42086</v>
      </c>
      <c r="H102" s="12" t="n">
        <v>-1</v>
      </c>
      <c r="J102" s="12" t="s">
        <v>340</v>
      </c>
      <c r="K102" s="12" t="s">
        <v>351</v>
      </c>
      <c r="L102" s="91"/>
      <c r="M102" s="91"/>
      <c r="N102" s="91"/>
      <c r="O102" s="91"/>
      <c r="P102" s="91"/>
    </row>
    <row r="103" customFormat="false" ht="12.8" hidden="false" customHeight="false" outlineLevel="0" collapsed="false">
      <c r="A103" s="12" t="s">
        <v>352</v>
      </c>
      <c r="B103" s="12" t="n">
        <v>22</v>
      </c>
      <c r="C103" s="12" t="n">
        <v>43</v>
      </c>
      <c r="E103" s="12" t="n">
        <v>2</v>
      </c>
      <c r="G103" s="46" t="n">
        <f aca="false">SUMPRODUCT($B$84:$F$84,B103:F103)</f>
        <v>339.57482</v>
      </c>
      <c r="H103" s="12" t="n">
        <v>-1</v>
      </c>
      <c r="J103" s="12" t="s">
        <v>340</v>
      </c>
      <c r="K103" s="12" t="s">
        <v>353</v>
      </c>
      <c r="L103" s="91"/>
      <c r="M103" s="91"/>
      <c r="N103" s="91"/>
      <c r="O103" s="91"/>
      <c r="P103" s="91"/>
    </row>
    <row r="104" customFormat="false" ht="12.8" hidden="false" customHeight="false" outlineLevel="0" collapsed="false">
      <c r="A104" s="12" t="s">
        <v>354</v>
      </c>
      <c r="B104" s="12" t="n">
        <v>24</v>
      </c>
      <c r="C104" s="12" t="n">
        <v>47</v>
      </c>
      <c r="E104" s="12" t="n">
        <v>2</v>
      </c>
      <c r="G104" s="46" t="n">
        <f aca="false">SUMPRODUCT($B$84:$F$84,B104:F104)</f>
        <v>367.62798</v>
      </c>
      <c r="H104" s="12" t="n">
        <v>-1</v>
      </c>
      <c r="J104" s="12" t="s">
        <v>340</v>
      </c>
      <c r="K104" s="12" t="s">
        <v>355</v>
      </c>
      <c r="L104" s="91"/>
      <c r="M104" s="91"/>
      <c r="N104" s="91"/>
      <c r="O104" s="91"/>
      <c r="P104" s="91"/>
    </row>
    <row r="105" customFormat="false" ht="12.8" hidden="false" customHeight="false" outlineLevel="0" collapsed="false">
      <c r="A105" s="12" t="s">
        <v>356</v>
      </c>
      <c r="B105" s="108" t="n">
        <f aca="false">B86*$G$70 + B87*$G$71 + B89*$G$72 + B90*$G$73</f>
        <v>16.5128877484009</v>
      </c>
      <c r="C105" s="108" t="n">
        <f aca="false">C86*$G$70 + C87*$G$71 + C89*$G$72 + C90*$G$73</f>
        <v>30.509646238376</v>
      </c>
      <c r="D105" s="108"/>
      <c r="E105" s="109" t="n">
        <f aca="false">E86*$G$70 + E87*$G$71 + E89*$G$72 + E90*$G$73</f>
        <v>1</v>
      </c>
      <c r="F105" s="108"/>
      <c r="G105" s="46" t="n">
        <f aca="false">SUMPRODUCT($B$84:$F$84,B105:F105)</f>
        <v>245.082233709227</v>
      </c>
      <c r="H105" s="110" t="n">
        <v>-4</v>
      </c>
      <c r="I105" s="91"/>
      <c r="J105" s="91"/>
      <c r="K105" s="91"/>
      <c r="L105" s="91"/>
      <c r="M105" s="91"/>
      <c r="N105" s="91"/>
      <c r="O105" s="91"/>
      <c r="P105" s="91"/>
    </row>
    <row r="106" customFormat="false" ht="12.8" hidden="false" customHeight="false" outlineLevel="0" collapsed="false">
      <c r="A106" s="12" t="s">
        <v>357</v>
      </c>
      <c r="B106" s="12" t="n">
        <v>42</v>
      </c>
      <c r="C106" s="12" t="n">
        <v>85</v>
      </c>
      <c r="D106" s="12" t="n">
        <v>1</v>
      </c>
      <c r="E106" s="12" t="n">
        <v>3</v>
      </c>
      <c r="F106" s="0"/>
      <c r="G106" s="46" t="n">
        <f aca="false">SUMPRODUCT($B$84:$F$84,B106:F106)</f>
        <v>652.128</v>
      </c>
      <c r="H106" s="0" t="n">
        <v>0</v>
      </c>
      <c r="I106" s="0"/>
      <c r="J106" s="91"/>
      <c r="K106" s="91"/>
      <c r="L106" s="91"/>
      <c r="M106" s="91"/>
      <c r="N106" s="91"/>
      <c r="O106" s="91"/>
      <c r="P106" s="91"/>
    </row>
    <row r="107" customFormat="false" ht="12.8" hidden="false" customHeight="false" outlineLevel="0" collapsed="false">
      <c r="A107" s="12" t="s">
        <v>358</v>
      </c>
      <c r="B107" s="12" t="n">
        <v>44</v>
      </c>
      <c r="C107" s="12" t="n">
        <v>89</v>
      </c>
      <c r="D107" s="12" t="n">
        <v>1</v>
      </c>
      <c r="E107" s="12" t="n">
        <v>3</v>
      </c>
      <c r="F107" s="0"/>
      <c r="G107" s="46" t="n">
        <f aca="false">SUMPRODUCT($B$84:$F$84,B107:F107)</f>
        <v>680.18116</v>
      </c>
      <c r="H107" s="0" t="n">
        <v>0</v>
      </c>
      <c r="I107" s="0"/>
      <c r="J107" s="91"/>
      <c r="K107" s="91"/>
      <c r="L107" s="91"/>
      <c r="M107" s="91"/>
      <c r="N107" s="91"/>
      <c r="O107" s="91"/>
      <c r="P107" s="91"/>
    </row>
    <row r="108" customFormat="false" ht="12.8" hidden="false" customHeight="false" outlineLevel="0" collapsed="false">
      <c r="A108" s="12" t="s">
        <v>359</v>
      </c>
      <c r="B108" s="12" t="n">
        <v>42</v>
      </c>
      <c r="C108" s="12" t="n">
        <v>85</v>
      </c>
      <c r="D108" s="12" t="n">
        <v>1</v>
      </c>
      <c r="E108" s="12" t="n">
        <v>4</v>
      </c>
      <c r="F108" s="0"/>
      <c r="G108" s="46" t="n">
        <f aca="false">SUMPRODUCT($B$84:$F$84,B108:F108)</f>
        <v>668.127</v>
      </c>
      <c r="H108" s="0" t="n">
        <v>0</v>
      </c>
      <c r="I108" s="0"/>
      <c r="J108" s="91"/>
      <c r="K108" s="91"/>
      <c r="L108" s="91"/>
      <c r="M108" s="91"/>
      <c r="N108" s="91"/>
      <c r="O108" s="91"/>
      <c r="P108" s="91"/>
    </row>
    <row r="109" customFormat="false" ht="12.8" hidden="false" customHeight="false" outlineLevel="0" collapsed="false">
      <c r="A109" s="12" t="s">
        <v>360</v>
      </c>
      <c r="B109" s="12" t="n">
        <v>44</v>
      </c>
      <c r="C109" s="12" t="n">
        <v>89</v>
      </c>
      <c r="D109" s="12" t="n">
        <v>1</v>
      </c>
      <c r="E109" s="12" t="n">
        <v>4</v>
      </c>
      <c r="F109" s="0"/>
      <c r="G109" s="46" t="n">
        <f aca="false">SUMPRODUCT($B$84:$F$84,B109:F109)</f>
        <v>696.18016</v>
      </c>
      <c r="H109" s="0" t="n">
        <v>0</v>
      </c>
      <c r="I109" s="0"/>
      <c r="J109" s="91"/>
      <c r="K109" s="91"/>
      <c r="L109" s="91"/>
      <c r="M109" s="91"/>
      <c r="N109" s="91"/>
      <c r="O109" s="91"/>
      <c r="P109" s="91"/>
    </row>
    <row r="110" customFormat="false" ht="12.8" hidden="false" customHeight="false" outlineLevel="0" collapsed="false">
      <c r="A110" s="12" t="s">
        <v>361</v>
      </c>
      <c r="B110" s="12" t="n">
        <f aca="false">AVERAGE(B106:B109)</f>
        <v>43</v>
      </c>
      <c r="C110" s="12" t="n">
        <f aca="false">AVERAGE(C106:C109)</f>
        <v>87</v>
      </c>
      <c r="D110" s="12" t="n">
        <f aca="false">AVERAGE(D106:D109)</f>
        <v>1</v>
      </c>
      <c r="E110" s="12" t="n">
        <f aca="false">AVERAGE(E106:E109)</f>
        <v>3.5</v>
      </c>
      <c r="F110" s="0"/>
      <c r="G110" s="46" t="n">
        <f aca="false">SUMPRODUCT($B$84:$F$84,B110:F110)</f>
        <v>674.15408</v>
      </c>
      <c r="H110" s="0" t="n">
        <v>0</v>
      </c>
      <c r="I110" s="0"/>
      <c r="J110" s="91"/>
      <c r="K110" s="91"/>
      <c r="L110" s="91"/>
      <c r="M110" s="91"/>
      <c r="N110" s="91"/>
      <c r="O110" s="91"/>
      <c r="P110" s="91"/>
    </row>
    <row r="111" customFormat="false" ht="12.9" hidden="false" customHeight="false" outlineLevel="0" collapsed="false">
      <c r="A111" s="76" t="s">
        <v>263</v>
      </c>
      <c r="B111" s="12" t="n">
        <v>9</v>
      </c>
      <c r="C111" s="12" t="n">
        <v>16</v>
      </c>
      <c r="D111" s="0"/>
      <c r="E111" s="12" t="n">
        <v>11</v>
      </c>
      <c r="F111" s="12" t="n">
        <v>1</v>
      </c>
      <c r="G111" s="46" t="n">
        <f aca="false">SUMPRODUCT($B$84:$F$84,B111:F111) + 2*G105</f>
        <v>821.350569418454</v>
      </c>
      <c r="H111" s="0"/>
      <c r="I111" s="12" t="s">
        <v>362</v>
      </c>
      <c r="J111" s="91"/>
      <c r="K111" s="91"/>
      <c r="L111" s="91"/>
      <c r="M111" s="91"/>
      <c r="N111" s="91"/>
      <c r="O111" s="91"/>
      <c r="P111" s="91"/>
    </row>
    <row r="112" customFormat="false" ht="12.9" hidden="false" customHeight="false" outlineLevel="0" collapsed="false">
      <c r="A112" s="76" t="s">
        <v>266</v>
      </c>
      <c r="B112" s="12" t="n">
        <v>8</v>
      </c>
      <c r="C112" s="12" t="n">
        <v>18</v>
      </c>
      <c r="D112" s="12" t="n">
        <v>1</v>
      </c>
      <c r="E112" s="12" t="n">
        <v>6</v>
      </c>
      <c r="F112" s="12" t="n">
        <v>1</v>
      </c>
      <c r="G112" s="46" t="n">
        <f aca="false">SUMPRODUCT($B$84:$F$84,B112:F112) + 2*G105</f>
        <v>745.367449418454</v>
      </c>
      <c r="H112" s="0"/>
      <c r="I112" s="12" t="s">
        <v>362</v>
      </c>
      <c r="J112" s="91"/>
      <c r="K112" s="91"/>
      <c r="L112" s="91"/>
      <c r="M112" s="91"/>
      <c r="N112" s="91"/>
      <c r="O112" s="91"/>
      <c r="P112" s="91"/>
    </row>
    <row r="113" customFormat="false" ht="12.9" hidden="false" customHeight="false" outlineLevel="0" collapsed="false">
      <c r="A113" s="76" t="s">
        <v>269</v>
      </c>
      <c r="B113" s="12" t="n">
        <v>5</v>
      </c>
      <c r="C113" s="12" t="n">
        <v>12</v>
      </c>
      <c r="D113" s="12" t="n">
        <v>1</v>
      </c>
      <c r="E113" s="12" t="n">
        <v>6</v>
      </c>
      <c r="F113" s="12" t="n">
        <v>1</v>
      </c>
      <c r="G113" s="46" t="n">
        <f aca="false">SUMPRODUCT($B$84:$F$84,B113:F113) + 2*G105</f>
        <v>703.287709418454</v>
      </c>
      <c r="H113" s="0"/>
      <c r="I113" s="12" t="s">
        <v>362</v>
      </c>
      <c r="J113" s="91"/>
      <c r="K113" s="91"/>
      <c r="L113" s="91"/>
      <c r="M113" s="91"/>
      <c r="N113" s="91"/>
      <c r="O113" s="91"/>
      <c r="P113" s="91"/>
    </row>
    <row r="114" customFormat="false" ht="12.9" hidden="false" customHeight="false" outlineLevel="0" collapsed="false">
      <c r="A114" s="76" t="s">
        <v>273</v>
      </c>
      <c r="B114" s="12" t="n">
        <v>6</v>
      </c>
      <c r="C114" s="12" t="n">
        <v>10</v>
      </c>
      <c r="D114" s="12" t="n">
        <v>1</v>
      </c>
      <c r="E114" s="12" t="n">
        <v>8</v>
      </c>
      <c r="F114" s="12" t="n">
        <v>1</v>
      </c>
      <c r="G114" s="46" t="n">
        <f aca="false">SUMPRODUCT($B$84:$F$84,B114:F114) + 2*G105</f>
        <v>745.280529418454</v>
      </c>
      <c r="H114" s="0"/>
      <c r="I114" s="12" t="s">
        <v>362</v>
      </c>
      <c r="J114" s="91"/>
      <c r="K114" s="91"/>
      <c r="L114" s="91"/>
      <c r="M114" s="91"/>
      <c r="N114" s="91"/>
      <c r="O114" s="91"/>
      <c r="P114" s="91"/>
    </row>
    <row r="115" customFormat="false" ht="12.9" hidden="false" customHeight="false" outlineLevel="0" collapsed="false">
      <c r="A115" s="76" t="s">
        <v>276</v>
      </c>
      <c r="B115" s="12" t="n">
        <v>3</v>
      </c>
      <c r="C115" s="12" t="n">
        <v>5</v>
      </c>
      <c r="D115" s="0"/>
      <c r="E115" s="12" t="n">
        <v>3</v>
      </c>
      <c r="F115" s="0"/>
      <c r="G115" s="46" t="n">
        <f aca="false">SUMPRODUCT($B$84:$F$84,B115:F115) + 3*G105</f>
        <v>824.315501127681</v>
      </c>
      <c r="H115" s="0"/>
      <c r="I115" s="12" t="s">
        <v>363</v>
      </c>
      <c r="J115" s="91"/>
      <c r="K115" s="91"/>
      <c r="L115" s="91"/>
      <c r="M115" s="91"/>
      <c r="N115" s="91"/>
      <c r="O115" s="91"/>
      <c r="P115" s="91"/>
    </row>
    <row r="116" customFormat="false" ht="12.9" hidden="false" customHeight="false" outlineLevel="0" collapsed="false">
      <c r="A116" s="76" t="s">
        <v>280</v>
      </c>
      <c r="B116" s="12" t="n">
        <v>6</v>
      </c>
      <c r="C116" s="12" t="n">
        <v>10</v>
      </c>
      <c r="D116" s="0"/>
      <c r="E116" s="12" t="n">
        <v>8</v>
      </c>
      <c r="F116" s="12" t="n">
        <v>1</v>
      </c>
      <c r="G116" s="46" t="n">
        <f aca="false">SUMPRODUCT($B$84:$F$84,B116:F116) + G110</f>
        <v>915.263442</v>
      </c>
      <c r="H116" s="0"/>
      <c r="I116" s="12" t="s">
        <v>361</v>
      </c>
      <c r="J116" s="91"/>
      <c r="K116" s="91"/>
      <c r="L116" s="91"/>
      <c r="M116" s="91"/>
      <c r="N116" s="91"/>
      <c r="O116" s="91"/>
      <c r="P116" s="91"/>
    </row>
    <row r="117" customFormat="false" ht="12.9" hidden="false" customHeight="false" outlineLevel="0" collapsed="false">
      <c r="A117" s="76" t="s">
        <v>364</v>
      </c>
      <c r="B117" s="12" t="n">
        <v>12</v>
      </c>
      <c r="C117" s="12" t="n">
        <v>19</v>
      </c>
      <c r="D117" s="0"/>
      <c r="E117" s="12" t="n">
        <v>13</v>
      </c>
      <c r="F117" s="12" t="n">
        <v>1</v>
      </c>
      <c r="G117" s="46" t="n">
        <f aca="false">SUMPRODUCT($B$84:$F$84,B117:F117) + G110</f>
        <v>1076.394102</v>
      </c>
      <c r="H117" s="0"/>
      <c r="I117" s="12" t="s">
        <v>361</v>
      </c>
      <c r="J117" s="91"/>
      <c r="K117" s="91"/>
      <c r="L117" s="91"/>
      <c r="M117" s="91"/>
      <c r="N117" s="91"/>
      <c r="O117" s="91"/>
      <c r="P117" s="91"/>
    </row>
    <row r="118" customFormat="false" ht="12.9" hidden="false" customHeight="false" outlineLevel="0" collapsed="false">
      <c r="A118" s="76" t="s">
        <v>365</v>
      </c>
      <c r="B118" s="12" t="n">
        <v>18</v>
      </c>
      <c r="C118" s="12" t="n">
        <v>30</v>
      </c>
      <c r="D118" s="0"/>
      <c r="E118" s="12" t="n">
        <v>21</v>
      </c>
      <c r="F118" s="12" t="n">
        <v>2</v>
      </c>
      <c r="G118" s="46" t="n">
        <f aca="false">SUMPRODUCT($B$84:$F$84,B118:F118) + G110</f>
        <v>1318.511404</v>
      </c>
      <c r="H118" s="0"/>
      <c r="I118" s="12" t="s">
        <v>361</v>
      </c>
      <c r="J118" s="91"/>
      <c r="K118" s="91"/>
      <c r="L118" s="91"/>
      <c r="M118" s="91"/>
      <c r="N118" s="91"/>
      <c r="O118" s="91"/>
      <c r="P118" s="91"/>
    </row>
    <row r="119" customFormat="false" ht="12.8" hidden="false" customHeight="false" outlineLevel="0" collapsed="false">
      <c r="A119" s="12" t="s">
        <v>366</v>
      </c>
      <c r="B119" s="12" t="n">
        <f aca="false">SUM(B116:B118)/3</f>
        <v>12</v>
      </c>
      <c r="C119" s="86" t="n">
        <f aca="false">SUM(C116:C118)/3</f>
        <v>19.6666666666667</v>
      </c>
      <c r="D119" s="0"/>
      <c r="E119" s="12" t="n">
        <f aca="false">SUM(E116:E118)/3</f>
        <v>14</v>
      </c>
      <c r="F119" s="84" t="n">
        <f aca="false">SUM(F116:F118)/3</f>
        <v>1.33333333333333</v>
      </c>
      <c r="G119" s="46" t="n">
        <f aca="false">SUMPRODUCT($B$84:$F$84,B119:F119) + G110</f>
        <v>1103.38964933333</v>
      </c>
      <c r="H119" s="0"/>
      <c r="I119" s="12" t="s">
        <v>361</v>
      </c>
      <c r="J119" s="91"/>
      <c r="K119" s="91"/>
      <c r="L119" s="91"/>
      <c r="M119" s="91"/>
      <c r="N119" s="91"/>
      <c r="O119" s="91"/>
      <c r="P119" s="91"/>
    </row>
    <row r="120" customFormat="false" ht="12.8" hidden="false" customHeight="false" outlineLevel="0" collapsed="false">
      <c r="A120" s="12" t="s">
        <v>367</v>
      </c>
      <c r="B120" s="12" t="n">
        <v>28</v>
      </c>
      <c r="C120" s="12" t="n">
        <v>43</v>
      </c>
      <c r="D120" s="0"/>
      <c r="E120" s="12" t="n">
        <v>1</v>
      </c>
      <c r="F120" s="0"/>
      <c r="G120" s="46" t="n">
        <f aca="false">SUMPRODUCT($B$84:$F$84,B120:F120) + G105</f>
        <v>640.722253709227</v>
      </c>
      <c r="H120" s="0"/>
      <c r="I120" s="12" t="s">
        <v>356</v>
      </c>
      <c r="J120" s="91"/>
      <c r="K120" s="91"/>
      <c r="L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46"/>
      <c r="H121" s="0"/>
      <c r="I121" s="0"/>
      <c r="J121" s="0"/>
      <c r="K121" s="0"/>
    </row>
    <row r="122" customFormat="false" ht="12.8" hidden="false" customHeight="false" outlineLevel="0" collapsed="false">
      <c r="A122" s="1" t="s">
        <v>368</v>
      </c>
      <c r="B122" s="0"/>
      <c r="C122" s="0"/>
      <c r="E122" s="0"/>
      <c r="F122" s="0"/>
      <c r="G122" s="0"/>
      <c r="H122" s="0"/>
      <c r="I122" s="0"/>
      <c r="J122" s="0"/>
    </row>
    <row r="123" customFormat="false" ht="12.8" hidden="false" customHeight="false" outlineLevel="0" collapsed="false">
      <c r="A123" s="1" t="s">
        <v>0</v>
      </c>
      <c r="B123" s="1" t="s">
        <v>82</v>
      </c>
      <c r="C123" s="1"/>
      <c r="E123" s="0"/>
      <c r="F123" s="0"/>
    </row>
    <row r="124" customFormat="false" ht="12.8" hidden="false" customHeight="false" outlineLevel="0" collapsed="false">
      <c r="A124" s="12" t="s">
        <v>153</v>
      </c>
      <c r="B124" s="97" t="n">
        <v>5E-005</v>
      </c>
      <c r="C124" s="97"/>
    </row>
    <row r="125" customFormat="false" ht="12.8" hidden="false" customHeight="false" outlineLevel="0" collapsed="false">
      <c r="A125" s="12" t="s">
        <v>159</v>
      </c>
      <c r="B125" s="97" t="n">
        <v>7E-006</v>
      </c>
      <c r="C125" s="97"/>
    </row>
    <row r="126" customFormat="false" ht="12.8" hidden="false" customHeight="false" outlineLevel="0" collapsed="false">
      <c r="A126" s="12" t="s">
        <v>165</v>
      </c>
      <c r="B126" s="97" t="n">
        <f aca="false">0.000036</f>
        <v>3.6E-005</v>
      </c>
      <c r="C126" s="97"/>
    </row>
    <row r="127" customFormat="false" ht="12.8" hidden="false" customHeight="false" outlineLevel="0" collapsed="false">
      <c r="A127" s="12" t="s">
        <v>170</v>
      </c>
      <c r="B127" s="97" t="n">
        <v>0.0229</v>
      </c>
      <c r="C127" s="97"/>
    </row>
    <row r="128" customFormat="false" ht="12.8" hidden="false" customHeight="false" outlineLevel="0" collapsed="false">
      <c r="A128" s="12" t="s">
        <v>176</v>
      </c>
      <c r="B128" s="97" t="n">
        <v>0.0015</v>
      </c>
      <c r="C128" s="97"/>
    </row>
    <row r="129" customFormat="false" ht="12.8" hidden="false" customHeight="false" outlineLevel="0" collapsed="false">
      <c r="A129" s="12" t="s">
        <v>183</v>
      </c>
      <c r="B129" s="97" t="n">
        <v>5E-006</v>
      </c>
      <c r="C129" s="97"/>
    </row>
    <row r="130" customFormat="false" ht="12.8" hidden="false" customHeight="false" outlineLevel="0" collapsed="false">
      <c r="A130" s="12" t="s">
        <v>189</v>
      </c>
      <c r="B130" s="97" t="n">
        <v>0.0001</v>
      </c>
      <c r="C130" s="97"/>
    </row>
    <row r="131" customFormat="false" ht="12.8" hidden="false" customHeight="false" outlineLevel="0" collapsed="false">
      <c r="A131" s="0"/>
      <c r="B131" s="9" t="n">
        <f aca="false">SUM(B124:B130)</f>
        <v>0.024598</v>
      </c>
      <c r="C131" s="9"/>
      <c r="L131" s="0"/>
      <c r="M131" s="0"/>
      <c r="N131" s="0"/>
      <c r="O131" s="0"/>
      <c r="P131" s="0"/>
      <c r="Q131" s="0"/>
    </row>
    <row r="132" customFormat="false" ht="12.8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</row>
    <row r="134" customFormat="false" ht="12.8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</row>
    <row r="135" customFormat="false" ht="12.8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</row>
    <row r="136" customFormat="false" ht="12.8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</row>
    <row r="137" customFormat="false" ht="12.8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</row>
    <row r="138" customFormat="false" ht="12.8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</row>
    <row r="139" customFormat="false" ht="12.8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</row>
    <row r="143" customFormat="false" ht="12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</row>
    <row r="145" customFormat="false" ht="12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</row>
    <row r="146" customFormat="false" ht="12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</row>
    <row r="147" customFormat="false" ht="12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</row>
    <row r="148" customFormat="false" ht="12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</row>
    <row r="150" customFormat="false" ht="12.8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</row>
    <row r="151" customFormat="false" ht="12.8" hidden="false" customHeight="false" outlineLevel="0" collapsed="false">
      <c r="A151" s="0"/>
      <c r="B151" s="0"/>
      <c r="C151" s="0"/>
    </row>
    <row r="152" customFormat="false" ht="12.8" hidden="false" customHeight="false" outlineLevel="0" collapsed="false">
      <c r="A152" s="1"/>
      <c r="B152" s="0"/>
    </row>
    <row r="153" customFormat="false" ht="12.8" hidden="false" customHeight="false" outlineLevel="0" collapsed="false">
      <c r="A153" s="0"/>
    </row>
    <row r="154" customFormat="false" ht="12.8" hidden="false" customHeight="false" outlineLevel="0" collapsed="false"/>
    <row r="155" customFormat="false" ht="12.8" hidden="false" customHeight="false" outlineLevel="0" collapsed="false">
      <c r="A155" s="1"/>
    </row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1" width="17.16"/>
    <col collapsed="false" customWidth="false" hidden="false" outlineLevel="0" max="4" min="2" style="91" width="11.52"/>
    <col collapsed="false" customWidth="true" hidden="false" outlineLevel="0" max="5" min="5" style="91" width="12.39"/>
    <col collapsed="false" customWidth="false" hidden="false" outlineLevel="0" max="14" min="6" style="91" width="11.52"/>
    <col collapsed="false" customWidth="true" hidden="false" outlineLevel="0" max="15" min="15" style="91" width="17.83"/>
    <col collapsed="false" customWidth="true" hidden="false" outlineLevel="0" max="16" min="16" style="91" width="10.07"/>
    <col collapsed="false" customWidth="false" hidden="false" outlineLevel="0" max="1024" min="17" style="91" width="11.52"/>
  </cols>
  <sheetData>
    <row r="1" customFormat="false" ht="12.8" hidden="false" customHeight="false" outlineLevel="0" collapsed="false">
      <c r="A1" s="102" t="s">
        <v>369</v>
      </c>
      <c r="H1" s="0"/>
      <c r="I1" s="104"/>
      <c r="J1" s="104"/>
      <c r="K1" s="111"/>
    </row>
    <row r="2" customFormat="false" ht="12.8" hidden="false" customHeight="false" outlineLevel="0" collapsed="false">
      <c r="H2" s="0"/>
      <c r="I2" s="112"/>
      <c r="J2" s="104"/>
      <c r="K2" s="104"/>
    </row>
    <row r="3" customFormat="false" ht="12.85" hidden="false" customHeight="false" outlineLevel="0" collapsed="false">
      <c r="A3" s="102" t="s">
        <v>370</v>
      </c>
      <c r="E3" s="102" t="s">
        <v>371</v>
      </c>
      <c r="H3" s="104"/>
      <c r="I3" s="112"/>
      <c r="J3" s="104"/>
      <c r="K3" s="113" t="s">
        <v>372</v>
      </c>
    </row>
    <row r="4" customFormat="false" ht="12.8" hidden="false" customHeight="false" outlineLevel="0" collapsed="false">
      <c r="A4" s="102" t="s">
        <v>0</v>
      </c>
      <c r="B4" s="102" t="s">
        <v>299</v>
      </c>
      <c r="C4" s="102" t="s">
        <v>373</v>
      </c>
      <c r="D4" s="1" t="s">
        <v>374</v>
      </c>
      <c r="E4" s="102" t="s">
        <v>375</v>
      </c>
      <c r="F4" s="0"/>
      <c r="G4" s="102" t="s">
        <v>376</v>
      </c>
      <c r="I4" s="112"/>
      <c r="J4" s="104"/>
      <c r="K4" s="103" t="s">
        <v>377</v>
      </c>
    </row>
    <row r="5" customFormat="false" ht="12.8" hidden="false" customHeight="false" outlineLevel="0" collapsed="false">
      <c r="A5" s="91" t="s">
        <v>378</v>
      </c>
      <c r="B5" s="91" t="n">
        <v>55.3</v>
      </c>
      <c r="D5" s="0"/>
      <c r="E5" s="0" t="s">
        <v>379</v>
      </c>
      <c r="F5" s="0" t="s">
        <v>380</v>
      </c>
      <c r="G5" s="0" t="s">
        <v>379</v>
      </c>
      <c r="H5" s="112" t="s">
        <v>380</v>
      </c>
      <c r="I5" s="0"/>
      <c r="J5" s="104"/>
      <c r="K5" s="103" t="s">
        <v>381</v>
      </c>
    </row>
    <row r="6" customFormat="false" ht="12.85" hidden="false" customHeight="false" outlineLevel="0" collapsed="false">
      <c r="A6" s="91" t="s">
        <v>382</v>
      </c>
      <c r="B6" s="91" t="n">
        <v>1</v>
      </c>
      <c r="C6" s="114" t="n">
        <f aca="false">D6/SUM($D$6:$D$12)</f>
        <v>0.393635335747451</v>
      </c>
      <c r="D6" s="106" t="n">
        <f aca="false">SUMPRODUCT(B16:B21,C16:C21)</f>
        <v>383.11798276168</v>
      </c>
      <c r="E6" s="105" t="n">
        <f aca="false">F6 / SUM($F$6:$F$12)</f>
        <v>0.422199170124481</v>
      </c>
      <c r="F6" s="115" t="n">
        <f aca="false">(8.4 + 0.8 + 13.1 + 18.4) / 100</f>
        <v>0.407</v>
      </c>
      <c r="G6" s="116" t="n">
        <f aca="false">H6 * 1 / SUM($H$6:$H$12)</f>
        <v>0.399421128798842</v>
      </c>
      <c r="H6" s="117" t="n">
        <v>0.276</v>
      </c>
      <c r="I6" s="0"/>
      <c r="J6" s="104"/>
      <c r="K6" s="104" t="s">
        <v>383</v>
      </c>
    </row>
    <row r="7" customFormat="false" ht="12.8" hidden="false" customHeight="false" outlineLevel="0" collapsed="false">
      <c r="A7" s="91" t="s">
        <v>384</v>
      </c>
      <c r="B7" s="91" t="n">
        <v>1</v>
      </c>
      <c r="C7" s="114" t="n">
        <f aca="false">D7/SUM($D$6:$D$12)</f>
        <v>0.00496504711484866</v>
      </c>
      <c r="D7" s="98" t="n">
        <f aca="false">SUMPRODUCT(B25:B34,C25:C34)</f>
        <v>4.832388411842</v>
      </c>
      <c r="E7" s="105"/>
      <c r="F7" s="115"/>
      <c r="G7" s="116"/>
      <c r="I7" s="0"/>
      <c r="J7" s="104"/>
      <c r="K7" s="0"/>
    </row>
    <row r="8" customFormat="false" ht="12.85" hidden="false" customHeight="false" outlineLevel="0" collapsed="false">
      <c r="A8" s="91" t="s">
        <v>385</v>
      </c>
      <c r="B8" s="91" t="n">
        <v>1</v>
      </c>
      <c r="C8" s="114" t="n">
        <f aca="false">D8/SUM($D$6:$D$12)</f>
        <v>0.0040132476761304</v>
      </c>
      <c r="D8" s="98" t="n">
        <f aca="false">SUMPRODUCT(B38:B41,C38:C41)</f>
        <v>3.906019644</v>
      </c>
      <c r="E8" s="105" t="n">
        <f aca="false">F8 / SUM($F$6:$F$12)</f>
        <v>0.004149377593361</v>
      </c>
      <c r="F8" s="115" t="n">
        <f aca="false">0.4/100</f>
        <v>0.004</v>
      </c>
      <c r="G8" s="116" t="n">
        <f aca="false">H8 * 1 / SUM($H$6:$H$12)</f>
        <v>0.00434153400868307</v>
      </c>
      <c r="H8" s="117" t="n">
        <v>0.003</v>
      </c>
      <c r="I8" s="0"/>
      <c r="J8" s="104"/>
      <c r="K8" s="118" t="s">
        <v>386</v>
      </c>
    </row>
    <row r="9" customFormat="false" ht="12.8" hidden="false" customHeight="false" outlineLevel="0" collapsed="false">
      <c r="A9" s="91" t="s">
        <v>387</v>
      </c>
      <c r="B9" s="91" t="n">
        <v>1</v>
      </c>
      <c r="C9" s="114" t="n">
        <f aca="false">D9/SUM($D$6:$D$12)</f>
        <v>0.00254965078252658</v>
      </c>
      <c r="D9" s="98" t="n">
        <f aca="false">SUMPRODUCT(B45:B55,C45:C55)</f>
        <v>2.48152789102</v>
      </c>
      <c r="E9" s="105"/>
      <c r="F9" s="115"/>
      <c r="G9" s="116"/>
      <c r="I9" s="0"/>
      <c r="J9" s="104"/>
      <c r="K9" s="103" t="s">
        <v>388</v>
      </c>
    </row>
    <row r="10" customFormat="false" ht="12.85" hidden="false" customHeight="false" outlineLevel="0" collapsed="false">
      <c r="A10" s="91" t="s">
        <v>389</v>
      </c>
      <c r="B10" s="91" t="n">
        <v>1</v>
      </c>
      <c r="C10" s="114" t="n">
        <f aca="false">D10/SUM($D$6:$D$12)</f>
        <v>0.0566579560341208</v>
      </c>
      <c r="D10" s="98" t="n">
        <f aca="false">SUMPRODUCT(I16:I27,J16:J27)</f>
        <v>55.1441393897597</v>
      </c>
      <c r="E10" s="105" t="n">
        <f aca="false">F10 / SUM($F$6:$F$12)</f>
        <v>0.0300829875518672</v>
      </c>
      <c r="F10" s="115" t="n">
        <f aca="false">2.9 / 100</f>
        <v>0.029</v>
      </c>
      <c r="G10" s="116" t="n">
        <f aca="false">H10 * 1 / SUM($H$6:$H$12)</f>
        <v>0.0535455861070912</v>
      </c>
      <c r="H10" s="117" t="n">
        <v>0.037</v>
      </c>
      <c r="I10" s="0"/>
      <c r="J10" s="104"/>
      <c r="K10" s="103"/>
    </row>
    <row r="11" customFormat="false" ht="12.85" hidden="false" customHeight="false" outlineLevel="0" collapsed="false">
      <c r="A11" s="91" t="s">
        <v>390</v>
      </c>
      <c r="B11" s="91" t="n">
        <v>1</v>
      </c>
      <c r="C11" s="114" t="n">
        <f aca="false">D11/SUM($D$6:$D$12)</f>
        <v>0.472378268572614</v>
      </c>
      <c r="D11" s="98" t="n">
        <f aca="false">SUMPRODUCT(I31:I50,J31:J50)</f>
        <v>459.75702108234</v>
      </c>
      <c r="E11" s="105" t="n">
        <f aca="false">F11 / SUM($F$6:$F$12)</f>
        <v>0.478215767634855</v>
      </c>
      <c r="F11" s="115" t="n">
        <f aca="false">(45 + 1.1) / 100</f>
        <v>0.461</v>
      </c>
      <c r="G11" s="116" t="n">
        <f aca="false">H11 * 1 / SUM($H$6:$H$12)</f>
        <v>0.473227206946454</v>
      </c>
      <c r="H11" s="117" t="n">
        <v>0.327</v>
      </c>
      <c r="I11" s="0"/>
      <c r="J11" s="104"/>
      <c r="K11" s="103"/>
    </row>
    <row r="12" customFormat="false" ht="12.85" hidden="false" customHeight="false" outlineLevel="0" collapsed="false">
      <c r="A12" s="91" t="s">
        <v>391</v>
      </c>
      <c r="B12" s="91" t="n">
        <v>1</v>
      </c>
      <c r="C12" s="114" t="n">
        <f aca="false">D12/SUM($D$6:$D$12)</f>
        <v>0.0658004940723091</v>
      </c>
      <c r="D12" s="98" t="n">
        <f aca="false">SUMPRODUCT(I54:I57,J54:J57)</f>
        <v>64.042402356578</v>
      </c>
      <c r="E12" s="105" t="n">
        <f aca="false">F12 / SUM($F$6:$F$12)</f>
        <v>0.0653526970954357</v>
      </c>
      <c r="F12" s="119" t="n">
        <f aca="false">6.3 / 100</f>
        <v>0.063</v>
      </c>
      <c r="G12" s="116" t="n">
        <f aca="false">H12 * 1 / SUM($H$6:$H$12)</f>
        <v>0.0694645441389291</v>
      </c>
      <c r="H12" s="117" t="n">
        <v>0.048</v>
      </c>
      <c r="I12" s="0"/>
    </row>
    <row r="13" customFormat="false" ht="12.8" hidden="false" customHeight="false" outlineLevel="0" collapsed="false">
      <c r="C13" s="91" t="s">
        <v>392</v>
      </c>
      <c r="D13" s="120" t="n">
        <f aca="false">SUM(D6:D12)</f>
        <v>973.28148153722</v>
      </c>
      <c r="E13" s="114"/>
      <c r="G13" s="114"/>
    </row>
    <row r="14" customFormat="false" ht="12.8" hidden="false" customHeight="false" outlineLevel="0" collapsed="false">
      <c r="A14" s="102" t="s">
        <v>393</v>
      </c>
      <c r="H14" s="102" t="s">
        <v>394</v>
      </c>
    </row>
    <row r="15" customFormat="false" ht="12.8" hidden="false" customHeight="false" outlineLevel="0" collapsed="false">
      <c r="A15" s="102" t="s">
        <v>0</v>
      </c>
      <c r="B15" s="102" t="s">
        <v>299</v>
      </c>
      <c r="C15" s="102" t="s">
        <v>3</v>
      </c>
      <c r="D15" s="102" t="s">
        <v>373</v>
      </c>
      <c r="E15" s="102" t="s">
        <v>371</v>
      </c>
      <c r="F15" s="104"/>
      <c r="H15" s="102" t="s">
        <v>0</v>
      </c>
      <c r="I15" s="102" t="s">
        <v>299</v>
      </c>
      <c r="J15" s="102" t="s">
        <v>3</v>
      </c>
      <c r="K15" s="102" t="s">
        <v>373</v>
      </c>
      <c r="L15" s="102" t="s">
        <v>371</v>
      </c>
      <c r="O15" s="12"/>
      <c r="P15" s="81"/>
      <c r="Q15" s="11"/>
      <c r="R15" s="0"/>
    </row>
    <row r="16" customFormat="false" ht="12.85" hidden="false" customHeight="false" outlineLevel="0" collapsed="false">
      <c r="A16" s="91" t="s">
        <v>199</v>
      </c>
      <c r="B16" s="91" t="n">
        <v>0.748515</v>
      </c>
      <c r="C16" s="95" t="n">
        <v>162.1406</v>
      </c>
      <c r="H16" s="91" t="s">
        <v>232</v>
      </c>
      <c r="I16" s="94" t="n">
        <v>0.004979</v>
      </c>
      <c r="J16" s="103" t="n">
        <v>633.04128</v>
      </c>
      <c r="O16" s="12"/>
      <c r="P16" s="81"/>
      <c r="Q16" s="0"/>
      <c r="R16" s="0"/>
    </row>
    <row r="17" customFormat="false" ht="12.85" hidden="false" customHeight="false" outlineLevel="0" collapsed="false">
      <c r="A17" s="91" t="s">
        <v>206</v>
      </c>
      <c r="B17" s="91" t="n">
        <v>0.250092</v>
      </c>
      <c r="C17" s="95" t="n">
        <v>162.1406</v>
      </c>
      <c r="H17" s="91" t="s">
        <v>237</v>
      </c>
      <c r="I17" s="94" t="n">
        <v>0.001827</v>
      </c>
      <c r="J17" s="103" t="n">
        <v>661.09444</v>
      </c>
      <c r="O17" s="0"/>
      <c r="P17" s="81"/>
      <c r="Q17" s="0"/>
      <c r="R17" s="0"/>
    </row>
    <row r="18" customFormat="false" ht="12.85" hidden="false" customHeight="false" outlineLevel="0" collapsed="false">
      <c r="A18" s="91" t="s">
        <v>216</v>
      </c>
      <c r="B18" s="91" t="n">
        <v>0.361415</v>
      </c>
      <c r="C18" s="106" t="n">
        <v>162.1406</v>
      </c>
      <c r="H18" s="91" t="s">
        <v>241</v>
      </c>
      <c r="I18" s="94" t="n">
        <v>0.026583</v>
      </c>
      <c r="J18" s="95" t="n">
        <v>396.64836</v>
      </c>
      <c r="O18" s="0"/>
      <c r="P18" s="81"/>
      <c r="Q18" s="12"/>
      <c r="R18" s="46"/>
    </row>
    <row r="19" customFormat="false" ht="12.8" hidden="false" customHeight="false" outlineLevel="0" collapsed="false">
      <c r="A19" s="91" t="s">
        <v>196</v>
      </c>
      <c r="B19" s="94" t="n">
        <v>0.71094</v>
      </c>
      <c r="C19" s="121" t="n">
        <v>162.14</v>
      </c>
      <c r="H19" s="91" t="s">
        <v>245</v>
      </c>
      <c r="I19" s="94" t="n">
        <v>0.00028</v>
      </c>
      <c r="J19" s="106" t="n">
        <v>255.41614</v>
      </c>
      <c r="O19" s="12"/>
      <c r="P19" s="81"/>
      <c r="Q19" s="12"/>
      <c r="R19" s="46"/>
    </row>
    <row r="20" customFormat="false" ht="12.8" hidden="false" customHeight="false" outlineLevel="0" collapsed="false">
      <c r="A20" s="91" t="s">
        <v>220</v>
      </c>
      <c r="B20" s="91" t="n">
        <v>0.138276</v>
      </c>
      <c r="C20" s="106" t="n">
        <v>342.29648</v>
      </c>
      <c r="H20" s="91" t="s">
        <v>249</v>
      </c>
      <c r="I20" s="94" t="n">
        <v>0.000821</v>
      </c>
      <c r="J20" s="98" t="n">
        <v>253.40026</v>
      </c>
      <c r="O20" s="12"/>
      <c r="P20" s="81"/>
      <c r="Q20" s="12"/>
      <c r="R20" s="46"/>
    </row>
    <row r="21" customFormat="false" ht="12.85" hidden="false" customHeight="false" outlineLevel="0" collapsed="false">
      <c r="A21" s="91" t="s">
        <v>395</v>
      </c>
      <c r="B21" s="91" t="n">
        <v>0</v>
      </c>
      <c r="C21" s="95" t="n">
        <v>203.19252</v>
      </c>
      <c r="H21" s="91" t="s">
        <v>257</v>
      </c>
      <c r="I21" s="94" t="n">
        <v>7.8E-005</v>
      </c>
      <c r="J21" s="106" t="n">
        <v>283.4693</v>
      </c>
      <c r="O21" s="12"/>
      <c r="P21" s="81"/>
      <c r="Q21" s="12"/>
      <c r="R21" s="0"/>
    </row>
    <row r="22" customFormat="false" ht="12.8" hidden="false" customHeight="false" outlineLevel="0" collapsed="false">
      <c r="H22" s="91" t="s">
        <v>260</v>
      </c>
      <c r="I22" s="94" t="n">
        <v>0.000301</v>
      </c>
      <c r="J22" s="106" t="n">
        <v>281.45342</v>
      </c>
      <c r="O22" s="12"/>
      <c r="P22" s="81"/>
      <c r="Q22" s="12"/>
      <c r="R22" s="0"/>
    </row>
    <row r="23" customFormat="false" ht="12.8" hidden="false" customHeight="false" outlineLevel="0" collapsed="false">
      <c r="A23" s="102" t="s">
        <v>396</v>
      </c>
      <c r="H23" s="91" t="s">
        <v>263</v>
      </c>
      <c r="I23" s="94" t="n">
        <v>0.00691</v>
      </c>
      <c r="J23" s="98" t="n">
        <f aca="false">G88</f>
        <v>821.350569418454</v>
      </c>
      <c r="O23" s="12"/>
      <c r="P23" s="81"/>
      <c r="Q23" s="12"/>
      <c r="R23" s="0"/>
    </row>
    <row r="24" customFormat="false" ht="12.8" hidden="false" customHeight="false" outlineLevel="0" collapsed="false">
      <c r="A24" s="102" t="s">
        <v>0</v>
      </c>
      <c r="B24" s="102" t="s">
        <v>299</v>
      </c>
      <c r="C24" s="102" t="s">
        <v>3</v>
      </c>
      <c r="D24" s="102" t="s">
        <v>373</v>
      </c>
      <c r="E24" s="102" t="s">
        <v>371</v>
      </c>
      <c r="H24" s="91" t="s">
        <v>266</v>
      </c>
      <c r="I24" s="94" t="n">
        <v>0.025783</v>
      </c>
      <c r="J24" s="98" t="n">
        <f aca="false">G89</f>
        <v>745.367449418454</v>
      </c>
      <c r="O24" s="12"/>
      <c r="P24" s="81"/>
      <c r="Q24" s="12"/>
      <c r="R24" s="46"/>
    </row>
    <row r="25" customFormat="false" ht="12.85" hidden="false" customHeight="false" outlineLevel="0" collapsed="false">
      <c r="A25" s="91" t="s">
        <v>207</v>
      </c>
      <c r="B25" s="94" t="n">
        <v>0.00019</v>
      </c>
      <c r="C25" s="95" t="n">
        <v>763.502363</v>
      </c>
      <c r="H25" s="91" t="s">
        <v>269</v>
      </c>
      <c r="I25" s="94" t="n">
        <v>0.006929</v>
      </c>
      <c r="J25" s="98" t="n">
        <f aca="false">G90</f>
        <v>703.287709418454</v>
      </c>
      <c r="O25" s="0"/>
      <c r="P25" s="81"/>
      <c r="Q25" s="12"/>
      <c r="R25" s="46"/>
    </row>
    <row r="26" customFormat="false" ht="12.85" hidden="false" customHeight="false" outlineLevel="0" collapsed="false">
      <c r="A26" s="91" t="s">
        <v>212</v>
      </c>
      <c r="B26" s="94" t="n">
        <v>1E-005</v>
      </c>
      <c r="C26" s="95" t="n">
        <v>782.525922</v>
      </c>
      <c r="H26" s="91" t="s">
        <v>273</v>
      </c>
      <c r="I26" s="94" t="n">
        <v>0.005951</v>
      </c>
      <c r="J26" s="98" t="n">
        <f aca="false">G91</f>
        <v>745.280529418454</v>
      </c>
      <c r="O26" s="0"/>
      <c r="P26" s="81"/>
      <c r="Q26" s="12"/>
      <c r="R26" s="46"/>
    </row>
    <row r="27" customFormat="false" ht="12.85" hidden="false" customHeight="false" outlineLevel="0" collapsed="false">
      <c r="A27" s="91" t="s">
        <v>217</v>
      </c>
      <c r="B27" s="94" t="n">
        <v>1E-006</v>
      </c>
      <c r="C27" s="95" t="n">
        <v>850.82126</v>
      </c>
      <c r="H27" s="91" t="s">
        <v>276</v>
      </c>
      <c r="I27" s="94" t="n">
        <v>0.006857</v>
      </c>
      <c r="J27" s="98" t="n">
        <f aca="false">G92</f>
        <v>824.315501127681</v>
      </c>
      <c r="O27" s="0"/>
      <c r="P27" s="81"/>
      <c r="Q27" s="12"/>
      <c r="R27" s="46"/>
    </row>
    <row r="28" customFormat="false" ht="12.8" hidden="false" customHeight="false" outlineLevel="0" collapsed="false">
      <c r="A28" s="91" t="s">
        <v>222</v>
      </c>
      <c r="B28" s="94" t="n">
        <v>0.00265</v>
      </c>
      <c r="C28" s="95" t="n">
        <v>662.417162</v>
      </c>
      <c r="H28" s="104"/>
      <c r="I28" s="104"/>
      <c r="O28" s="0"/>
      <c r="P28" s="81"/>
      <c r="Q28" s="12"/>
      <c r="R28" s="46"/>
    </row>
    <row r="29" customFormat="false" ht="12.8" hidden="false" customHeight="false" outlineLevel="0" collapsed="false">
      <c r="A29" s="91" t="s">
        <v>225</v>
      </c>
      <c r="B29" s="94" t="n">
        <v>0.00015</v>
      </c>
      <c r="C29" s="98" t="n">
        <v>663.425102</v>
      </c>
      <c r="H29" s="102" t="s">
        <v>397</v>
      </c>
      <c r="O29" s="12"/>
      <c r="P29" s="81"/>
      <c r="Q29" s="0"/>
      <c r="R29" s="46"/>
    </row>
    <row r="30" customFormat="false" ht="12.8" hidden="false" customHeight="false" outlineLevel="0" collapsed="false">
      <c r="A30" s="91" t="s">
        <v>228</v>
      </c>
      <c r="B30" s="94" t="n">
        <v>0.00057</v>
      </c>
      <c r="C30" s="95" t="n">
        <v>740.381183</v>
      </c>
      <c r="H30" s="102" t="s">
        <v>0</v>
      </c>
      <c r="I30" s="102" t="s">
        <v>299</v>
      </c>
      <c r="J30" s="102" t="s">
        <v>3</v>
      </c>
      <c r="K30" s="102" t="s">
        <v>373</v>
      </c>
      <c r="L30" s="102" t="s">
        <v>371</v>
      </c>
      <c r="M30" s="102" t="s">
        <v>398</v>
      </c>
      <c r="O30" s="1" t="s">
        <v>399</v>
      </c>
      <c r="P30" s="80" t="s">
        <v>3</v>
      </c>
      <c r="Q30" s="0"/>
      <c r="R30" s="0"/>
    </row>
    <row r="31" customFormat="false" ht="12.8" hidden="false" customHeight="false" outlineLevel="0" collapsed="false">
      <c r="A31" s="91" t="s">
        <v>230</v>
      </c>
      <c r="B31" s="94" t="n">
        <v>0.0027</v>
      </c>
      <c r="C31" s="98" t="n">
        <v>741.389123</v>
      </c>
      <c r="H31" s="91" t="s">
        <v>259</v>
      </c>
      <c r="I31" s="94" t="n">
        <v>0.527012</v>
      </c>
      <c r="J31" s="98" t="n">
        <f aca="false">O31</f>
        <v>71.0779</v>
      </c>
      <c r="K31" s="114" t="n">
        <f aca="false">(I31*J31) / SUMPRODUCT($I$31:$I$50,$J$31:$J$50)</f>
        <v>0.0814754414116741</v>
      </c>
      <c r="L31" s="114" t="n">
        <f aca="false">(J31*M31) / SUMPRODUCT($J$31:$J$50,$M$31:$M$50)</f>
        <v>0.0639518494780907</v>
      </c>
      <c r="M31" s="114" t="n">
        <v>0.0977</v>
      </c>
      <c r="N31" s="12" t="s">
        <v>88</v>
      </c>
      <c r="O31" s="103" t="n">
        <f aca="false">P31-18.01528</f>
        <v>71.0779</v>
      </c>
      <c r="P31" s="95" t="n">
        <v>89.09318</v>
      </c>
      <c r="Q31" s="0"/>
      <c r="R31" s="0"/>
    </row>
    <row r="32" customFormat="false" ht="12.8" hidden="false" customHeight="false" outlineLevel="0" collapsed="false">
      <c r="A32" s="91" t="s">
        <v>234</v>
      </c>
      <c r="B32" s="94" t="n">
        <v>0.00099</v>
      </c>
      <c r="C32" s="95" t="n">
        <v>375.35596</v>
      </c>
      <c r="H32" s="91" t="s">
        <v>262</v>
      </c>
      <c r="I32" s="94" t="n">
        <v>0.184592</v>
      </c>
      <c r="J32" s="98" t="n">
        <f aca="false">O32</f>
        <v>157.19362</v>
      </c>
      <c r="K32" s="114" t="n">
        <f aca="false">(I32*J32) / SUMPRODUCT($I$31:$I$50,$J$31:$J$50)</f>
        <v>0.0631130866359152</v>
      </c>
      <c r="L32" s="114" t="n">
        <f aca="false">(J32*M32) / SUMPRODUCT($J$31:$J$50,$M$31:$M$50)</f>
        <v>0.0558786849682287</v>
      </c>
      <c r="M32" s="114" t="n">
        <v>0.0386</v>
      </c>
      <c r="N32" s="12" t="s">
        <v>92</v>
      </c>
      <c r="O32" s="103" t="n">
        <f aca="false">P32-18.01528</f>
        <v>157.19362</v>
      </c>
      <c r="P32" s="95" t="n">
        <v>175.2089</v>
      </c>
      <c r="Q32" s="0"/>
      <c r="R32" s="0"/>
    </row>
    <row r="33" customFormat="false" ht="12.8" hidden="false" customHeight="false" outlineLevel="0" collapsed="false">
      <c r="A33" s="91" t="s">
        <v>239</v>
      </c>
      <c r="B33" s="94" t="n">
        <v>6.3E-005</v>
      </c>
      <c r="C33" s="95" t="n">
        <v>443.41334</v>
      </c>
      <c r="H33" s="91" t="s">
        <v>265</v>
      </c>
      <c r="I33" s="94" t="n">
        <v>0.11682</v>
      </c>
      <c r="J33" s="98" t="n">
        <f aca="false">O33</f>
        <v>114.10264</v>
      </c>
      <c r="K33" s="114" t="n">
        <f aca="false">(I33*J33) / SUMPRODUCT($I$31:$I$50,$J$31:$J$50)</f>
        <v>0.028992423809908</v>
      </c>
      <c r="L33" s="114" t="n">
        <f aca="false">(J33*M33) / SUMPRODUCT($J$31:$J$50,$M$31:$M$50)</f>
        <v>0.0487570734829334</v>
      </c>
      <c r="M33" s="114" t="n">
        <v>0.0464</v>
      </c>
      <c r="N33" s="12" t="s">
        <v>98</v>
      </c>
      <c r="O33" s="103" t="n">
        <f aca="false">P33-18.01528</f>
        <v>114.10264</v>
      </c>
      <c r="P33" s="95" t="n">
        <v>132.11792</v>
      </c>
      <c r="Q33" s="0"/>
      <c r="R33" s="0"/>
    </row>
    <row r="34" customFormat="false" ht="12.8" hidden="false" customHeight="false" outlineLevel="0" collapsed="false">
      <c r="A34" s="91" t="s">
        <v>243</v>
      </c>
      <c r="B34" s="94" t="n">
        <v>1E-006</v>
      </c>
      <c r="C34" s="95" t="n">
        <v>422.290562</v>
      </c>
      <c r="H34" s="91" t="s">
        <v>268</v>
      </c>
      <c r="I34" s="94" t="n">
        <v>0.341731</v>
      </c>
      <c r="J34" s="98" t="n">
        <f aca="false">O34</f>
        <v>114.07946</v>
      </c>
      <c r="K34" s="114" t="n">
        <f aca="false">(I34*J34) / SUMPRODUCT($I$31:$I$50,$J$31:$J$50)</f>
        <v>0.0847936761324154</v>
      </c>
      <c r="L34" s="114" t="n">
        <f aca="false">(J34*M34) / SUMPRODUCT($J$31:$J$50,$M$31:$M$50)</f>
        <v>0.0487471684626523</v>
      </c>
      <c r="M34" s="114" t="n">
        <v>0.0464</v>
      </c>
      <c r="N34" s="12" t="s">
        <v>104</v>
      </c>
      <c r="O34" s="103" t="n">
        <f aca="false">P34-18.01528</f>
        <v>114.07946</v>
      </c>
      <c r="P34" s="95" t="n">
        <v>132.09474</v>
      </c>
      <c r="Q34" s="0"/>
      <c r="R34" s="0"/>
    </row>
    <row r="35" customFormat="false" ht="12.8" hidden="false" customHeight="false" outlineLevel="0" collapsed="false">
      <c r="H35" s="91" t="s">
        <v>272</v>
      </c>
      <c r="I35" s="94" t="n">
        <v>0.007581</v>
      </c>
      <c r="J35" s="98" t="n">
        <f aca="false">O35</f>
        <v>103.1429</v>
      </c>
      <c r="K35" s="114" t="n">
        <f aca="false">(I35*J35) / SUMPRODUCT($I$31:$I$50,$J$31:$J$50)</f>
        <v>0.00170073819222863</v>
      </c>
      <c r="L35" s="114" t="n">
        <f aca="false">(J35*M35) / SUMPRODUCT($J$31:$J$50,$M$31:$M$50)</f>
        <v>0.0013298153161366</v>
      </c>
      <c r="M35" s="114" t="n">
        <v>0.0014</v>
      </c>
      <c r="N35" s="12" t="s">
        <v>110</v>
      </c>
      <c r="O35" s="103" t="n">
        <f aca="false">P35-18.01528</f>
        <v>103.1429</v>
      </c>
      <c r="P35" s="95" t="n">
        <v>121.15818</v>
      </c>
      <c r="Q35" s="0"/>
      <c r="R35" s="0"/>
    </row>
    <row r="36" customFormat="false" ht="12.8" hidden="false" customHeight="false" outlineLevel="0" collapsed="false">
      <c r="A36" s="102" t="s">
        <v>400</v>
      </c>
      <c r="H36" s="91" t="s">
        <v>275</v>
      </c>
      <c r="I36" s="94" t="n">
        <v>0.12107</v>
      </c>
      <c r="J36" s="98" t="n">
        <f aca="false">O36</f>
        <v>128.12922</v>
      </c>
      <c r="K36" s="114" t="n">
        <f aca="false">(I36*J36) / SUMPRODUCT($I$31:$I$50,$J$31:$J$50)</f>
        <v>0.0337408760585774</v>
      </c>
      <c r="L36" s="114" t="n">
        <f aca="false">(J36*M36) / SUMPRODUCT($J$31:$J$50,$M$31:$M$50)</f>
        <v>0.0913299247807045</v>
      </c>
      <c r="M36" s="114" t="n">
        <v>0.0774</v>
      </c>
      <c r="N36" s="12" t="s">
        <v>115</v>
      </c>
      <c r="O36" s="103" t="n">
        <f aca="false">P36-18.01528</f>
        <v>128.12922</v>
      </c>
      <c r="P36" s="95" t="n">
        <v>146.1445</v>
      </c>
      <c r="Q36" s="0"/>
      <c r="R36" s="0"/>
    </row>
    <row r="37" customFormat="false" ht="12.8" hidden="false" customHeight="false" outlineLevel="0" collapsed="false">
      <c r="A37" s="102" t="s">
        <v>0</v>
      </c>
      <c r="B37" s="102" t="s">
        <v>299</v>
      </c>
      <c r="C37" s="102" t="s">
        <v>3</v>
      </c>
      <c r="D37" s="102" t="s">
        <v>373</v>
      </c>
      <c r="E37" s="102" t="s">
        <v>371</v>
      </c>
      <c r="H37" s="91" t="s">
        <v>279</v>
      </c>
      <c r="I37" s="94" t="n">
        <v>0.34667</v>
      </c>
      <c r="J37" s="98" t="n">
        <f aca="false">O37</f>
        <v>128.10604</v>
      </c>
      <c r="K37" s="114" t="n">
        <f aca="false">(I37*J37) / SUMPRODUCT($I$31:$I$50,$J$31:$J$50)</f>
        <v>0.0965956338899419</v>
      </c>
      <c r="L37" s="114" t="n">
        <f aca="false">(J37*M37) / SUMPRODUCT($J$31:$J$50,$M$31:$M$50)</f>
        <v>0.0913134021822183</v>
      </c>
      <c r="M37" s="114" t="n">
        <v>0.0774</v>
      </c>
      <c r="N37" s="12" t="s">
        <v>119</v>
      </c>
      <c r="O37" s="103" t="n">
        <f aca="false">P37-18.01528</f>
        <v>128.10604</v>
      </c>
      <c r="P37" s="95" t="n">
        <v>146.12132</v>
      </c>
      <c r="Q37" s="0"/>
      <c r="R37" s="0"/>
    </row>
    <row r="38" customFormat="false" ht="12.8" hidden="false" customHeight="false" outlineLevel="0" collapsed="false">
      <c r="A38" s="91" t="s">
        <v>401</v>
      </c>
      <c r="B38" s="94" t="n">
        <v>0.0036</v>
      </c>
      <c r="C38" s="98" t="n">
        <v>329.205941</v>
      </c>
      <c r="H38" s="91" t="s">
        <v>284</v>
      </c>
      <c r="I38" s="94" t="n">
        <v>0.333575</v>
      </c>
      <c r="J38" s="98" t="n">
        <f aca="false">O38</f>
        <v>57.05132</v>
      </c>
      <c r="K38" s="114" t="n">
        <f aca="false">(I38*J38) / SUMPRODUCT($I$31:$I$50,$J$31:$J$50)</f>
        <v>0.0413933734479972</v>
      </c>
      <c r="L38" s="114" t="n">
        <f aca="false">(J38*M38) / SUMPRODUCT($J$31:$J$50,$M$31:$M$50)</f>
        <v>0.0467080154378533</v>
      </c>
      <c r="M38" s="114" t="n">
        <v>0.0889</v>
      </c>
      <c r="N38" s="12" t="s">
        <v>123</v>
      </c>
      <c r="O38" s="103" t="n">
        <f aca="false">P38-18.01528</f>
        <v>57.05132</v>
      </c>
      <c r="P38" s="95" t="n">
        <v>75.0666</v>
      </c>
      <c r="Q38" s="0"/>
      <c r="R38" s="0"/>
    </row>
    <row r="39" customFormat="false" ht="12.8" hidden="false" customHeight="false" outlineLevel="0" collapsed="false">
      <c r="A39" s="91" t="s">
        <v>402</v>
      </c>
      <c r="B39" s="94" t="n">
        <v>0.0024</v>
      </c>
      <c r="C39" s="98" t="n">
        <v>305.181241</v>
      </c>
      <c r="H39" s="91" t="s">
        <v>285</v>
      </c>
      <c r="I39" s="94" t="n">
        <v>0.076157</v>
      </c>
      <c r="J39" s="98" t="n">
        <f aca="false">O39</f>
        <v>137.13928</v>
      </c>
      <c r="K39" s="114" t="n">
        <f aca="false">(I39*J39) / SUMPRODUCT($I$31:$I$50,$J$31:$J$50)</f>
        <v>0.0227165995689917</v>
      </c>
      <c r="L39" s="114" t="n">
        <f aca="false">(J39*M39) / SUMPRODUCT($J$31:$J$50,$M$31:$M$50)</f>
        <v>0.0243749161826342</v>
      </c>
      <c r="M39" s="114" t="n">
        <v>0.0193</v>
      </c>
      <c r="N39" s="12" t="s">
        <v>129</v>
      </c>
      <c r="O39" s="103" t="n">
        <f aca="false">P39-18.01528</f>
        <v>137.13928</v>
      </c>
      <c r="P39" s="95" t="n">
        <v>155.15456</v>
      </c>
      <c r="Q39" s="0"/>
      <c r="R39" s="0"/>
    </row>
    <row r="40" customFormat="false" ht="12.8" hidden="false" customHeight="false" outlineLevel="0" collapsed="false">
      <c r="A40" s="91" t="s">
        <v>403</v>
      </c>
      <c r="B40" s="94" t="n">
        <v>0.0024</v>
      </c>
      <c r="C40" s="98" t="n">
        <v>345.205341</v>
      </c>
      <c r="H40" s="91" t="s">
        <v>286</v>
      </c>
      <c r="I40" s="94" t="n">
        <v>0.22135</v>
      </c>
      <c r="J40" s="98" t="n">
        <f aca="false">O40</f>
        <v>113.15764</v>
      </c>
      <c r="K40" s="114" t="n">
        <f aca="false">(I40*J40) / SUMPRODUCT($I$31:$I$50,$J$31:$J$50)</f>
        <v>0.0544797413969544</v>
      </c>
      <c r="L40" s="114" t="n">
        <f aca="false">(J40*M40) / SUMPRODUCT($J$31:$J$50,$M$31:$M$50)</f>
        <v>0.0613794698527233</v>
      </c>
      <c r="M40" s="114" t="n">
        <v>0.0589</v>
      </c>
      <c r="N40" s="12" t="s">
        <v>136</v>
      </c>
      <c r="O40" s="103" t="n">
        <f aca="false">P40-18.01528</f>
        <v>113.15764</v>
      </c>
      <c r="P40" s="95" t="n">
        <v>131.17292</v>
      </c>
      <c r="Q40" s="0"/>
      <c r="R40" s="0"/>
    </row>
    <row r="41" customFormat="false" ht="12.8" hidden="false" customHeight="false" outlineLevel="0" collapsed="false">
      <c r="A41" s="91" t="s">
        <v>404</v>
      </c>
      <c r="B41" s="94" t="n">
        <v>0.0036</v>
      </c>
      <c r="C41" s="98" t="n">
        <v>322.208461</v>
      </c>
      <c r="H41" s="91" t="s">
        <v>287</v>
      </c>
      <c r="I41" s="94" t="n">
        <v>0.340467</v>
      </c>
      <c r="J41" s="98" t="n">
        <f aca="false">O41</f>
        <v>113.15764</v>
      </c>
      <c r="K41" s="114" t="n">
        <f aca="false">(I41*J41) / SUMPRODUCT($I$31:$I$50,$J$31:$J$50)</f>
        <v>0.0837973983022222</v>
      </c>
      <c r="L41" s="114" t="n">
        <f aca="false">(J41*M41) / SUMPRODUCT($J$31:$J$50,$M$31:$M$50)</f>
        <v>0.0834719106146542</v>
      </c>
      <c r="M41" s="114" t="n">
        <v>0.0801</v>
      </c>
      <c r="N41" s="12" t="s">
        <v>140</v>
      </c>
      <c r="O41" s="103" t="n">
        <f aca="false">P41-18.01528</f>
        <v>113.15764</v>
      </c>
      <c r="P41" s="95" t="n">
        <v>131.17292</v>
      </c>
      <c r="Q41" s="0"/>
      <c r="R41" s="0"/>
    </row>
    <row r="42" customFormat="false" ht="12.8" hidden="false" customHeight="false" outlineLevel="0" collapsed="false">
      <c r="H42" s="91" t="s">
        <v>288</v>
      </c>
      <c r="I42" s="94" t="n">
        <v>0.328751</v>
      </c>
      <c r="J42" s="98" t="n">
        <f aca="false">O42</f>
        <v>129.18022</v>
      </c>
      <c r="K42" s="114" t="n">
        <f aca="false">(I42*J42) / SUMPRODUCT($I$31:$I$50,$J$31:$J$50)</f>
        <v>0.0923708057905095</v>
      </c>
      <c r="L42" s="114" t="n">
        <f aca="false">(J42*M42) / SUMPRODUCT($J$31:$J$50,$M$31:$M$50)</f>
        <v>0.0781601431878334</v>
      </c>
      <c r="M42" s="114" t="n">
        <v>0.0657</v>
      </c>
      <c r="N42" s="12" t="s">
        <v>143</v>
      </c>
      <c r="O42" s="103" t="n">
        <f aca="false">P42-18.01528</f>
        <v>129.18022</v>
      </c>
      <c r="P42" s="95" t="n">
        <v>147.1955</v>
      </c>
      <c r="Q42" s="0"/>
      <c r="R42" s="0"/>
    </row>
    <row r="43" customFormat="false" ht="12.8" hidden="false" customHeight="false" outlineLevel="0" collapsed="false">
      <c r="A43" s="102" t="s">
        <v>405</v>
      </c>
      <c r="H43" s="91" t="s">
        <v>289</v>
      </c>
      <c r="I43" s="94" t="n">
        <v>0.058238</v>
      </c>
      <c r="J43" s="98" t="n">
        <f aca="false">O43</f>
        <v>131.19606</v>
      </c>
      <c r="K43" s="114" t="n">
        <f aca="false">(I43*J43) / SUMPRODUCT($I$31:$I$50,$J$31:$J$50)</f>
        <v>0.0166187698978318</v>
      </c>
      <c r="L43" s="114" t="n">
        <f aca="false">(J43*M43) / SUMPRODUCT($J$31:$J$50,$M$31:$M$50)</f>
        <v>0.0137736676982991</v>
      </c>
      <c r="M43" s="114" t="n">
        <v>0.0114</v>
      </c>
      <c r="N43" s="12" t="s">
        <v>146</v>
      </c>
      <c r="O43" s="103" t="n">
        <f aca="false">P43-18.01528</f>
        <v>131.19606</v>
      </c>
      <c r="P43" s="95" t="n">
        <v>149.21134</v>
      </c>
      <c r="Q43" s="0"/>
      <c r="R43" s="0"/>
    </row>
    <row r="44" customFormat="false" ht="12.8" hidden="false" customHeight="false" outlineLevel="0" collapsed="false">
      <c r="A44" s="102" t="s">
        <v>0</v>
      </c>
      <c r="B44" s="102" t="s">
        <v>299</v>
      </c>
      <c r="C44" s="102" t="s">
        <v>3</v>
      </c>
      <c r="D44" s="102" t="s">
        <v>373</v>
      </c>
      <c r="E44" s="102" t="s">
        <v>371</v>
      </c>
      <c r="H44" s="91" t="s">
        <v>290</v>
      </c>
      <c r="I44" s="94" t="n">
        <v>0.153808</v>
      </c>
      <c r="J44" s="98" t="n">
        <f aca="false">O44</f>
        <v>147.17386</v>
      </c>
      <c r="K44" s="114" t="n">
        <f aca="false">(I44*J44) / SUMPRODUCT($I$31:$I$50,$J$31:$J$50)</f>
        <v>0.0492358267973594</v>
      </c>
      <c r="L44" s="114" t="n">
        <f aca="false">(J44*M44) / SUMPRODUCT($J$31:$J$50,$M$31:$M$50)</f>
        <v>0.0509615328340354</v>
      </c>
      <c r="M44" s="114" t="n">
        <v>0.0376</v>
      </c>
      <c r="N44" s="12" t="s">
        <v>151</v>
      </c>
      <c r="O44" s="103" t="n">
        <f aca="false">P44-18.01528</f>
        <v>147.17386</v>
      </c>
      <c r="P44" s="95" t="n">
        <v>165.18914</v>
      </c>
      <c r="Q44" s="0"/>
      <c r="R44" s="0"/>
    </row>
    <row r="45" customFormat="false" ht="12.8" hidden="false" customHeight="false" outlineLevel="0" collapsed="false">
      <c r="A45" s="91" t="s">
        <v>153</v>
      </c>
      <c r="B45" s="94" t="n">
        <v>0.000217</v>
      </c>
      <c r="C45" s="103" t="n">
        <v>40.078</v>
      </c>
      <c r="H45" s="91" t="s">
        <v>291</v>
      </c>
      <c r="I45" s="94" t="n">
        <v>0.189187</v>
      </c>
      <c r="J45" s="98" t="n">
        <f aca="false">O45</f>
        <v>97.11518</v>
      </c>
      <c r="K45" s="114" t="n">
        <f aca="false">(I45*J45) / SUMPRODUCT($I$31:$I$50,$J$31:$J$50)</f>
        <v>0.0399622598811156</v>
      </c>
      <c r="L45" s="114" t="n">
        <f aca="false">(J45*M45) / SUMPRODUCT($J$31:$J$50,$M$31:$M$50)</f>
        <v>0.0377418798169468</v>
      </c>
      <c r="M45" s="114" t="n">
        <v>0.0422</v>
      </c>
      <c r="N45" s="12" t="s">
        <v>157</v>
      </c>
      <c r="O45" s="103" t="n">
        <f aca="false">P45-18.01528</f>
        <v>97.11518</v>
      </c>
      <c r="P45" s="95" t="n">
        <v>115.13046</v>
      </c>
      <c r="Q45" s="0"/>
      <c r="R45" s="0"/>
    </row>
    <row r="46" customFormat="false" ht="12.8" hidden="false" customHeight="false" outlineLevel="0" collapsed="false">
      <c r="A46" s="91" t="s">
        <v>406</v>
      </c>
      <c r="B46" s="94" t="n">
        <v>0.00129</v>
      </c>
      <c r="C46" s="98" t="n">
        <v>35.453</v>
      </c>
      <c r="H46" s="91" t="s">
        <v>292</v>
      </c>
      <c r="I46" s="94" t="n">
        <v>0.212964</v>
      </c>
      <c r="J46" s="98" t="n">
        <f aca="false">O46</f>
        <v>87.0773</v>
      </c>
      <c r="K46" s="114" t="n">
        <f aca="false">(I46*J46) / SUMPRODUCT($I$31:$I$50,$J$31:$J$50)</f>
        <v>0.0403350667131602</v>
      </c>
      <c r="L46" s="114" t="n">
        <f aca="false">(J46*M46) / SUMPRODUCT($J$31:$J$50,$M$31:$M$50)</f>
        <v>0.0427421260160341</v>
      </c>
      <c r="M46" s="114" t="n">
        <v>0.0533</v>
      </c>
      <c r="N46" s="12" t="s">
        <v>163</v>
      </c>
      <c r="O46" s="103" t="n">
        <f aca="false">P46-18.01528</f>
        <v>87.0773</v>
      </c>
      <c r="P46" s="95" t="n">
        <v>105.09258</v>
      </c>
      <c r="Q46" s="0"/>
      <c r="R46" s="0"/>
    </row>
    <row r="47" customFormat="false" ht="12.8" hidden="false" customHeight="false" outlineLevel="0" collapsed="false">
      <c r="A47" s="91" t="s">
        <v>159</v>
      </c>
      <c r="B47" s="94" t="n">
        <v>0.000659</v>
      </c>
      <c r="C47" s="103" t="n">
        <v>63.546</v>
      </c>
      <c r="H47" s="91" t="s">
        <v>293</v>
      </c>
      <c r="I47" s="94" t="n">
        <v>0.219857</v>
      </c>
      <c r="J47" s="98" t="n">
        <f aca="false">O47</f>
        <v>101.10388</v>
      </c>
      <c r="K47" s="114" t="n">
        <f aca="false">(I47*J47) / SUMPRODUCT($I$31:$I$50,$J$31:$J$50)</f>
        <v>0.0483481376593899</v>
      </c>
      <c r="L47" s="114" t="n">
        <f aca="false">(J47*M47) / SUMPRODUCT($J$31:$J$50,$M$31:$M$50)</f>
        <v>0.0518617269942091</v>
      </c>
      <c r="M47" s="114" t="n">
        <v>0.0557</v>
      </c>
      <c r="N47" s="12" t="s">
        <v>168</v>
      </c>
      <c r="O47" s="103" t="n">
        <f aca="false">P47-18.01528</f>
        <v>101.10388</v>
      </c>
      <c r="P47" s="95" t="n">
        <v>119.11916</v>
      </c>
      <c r="Q47" s="0"/>
      <c r="R47" s="0"/>
    </row>
    <row r="48" customFormat="false" ht="12.8" hidden="false" customHeight="false" outlineLevel="0" collapsed="false">
      <c r="A48" s="91" t="s">
        <v>165</v>
      </c>
      <c r="B48" s="94" t="n">
        <v>3E-005</v>
      </c>
      <c r="C48" s="103" t="n">
        <v>55.845</v>
      </c>
      <c r="H48" s="91" t="s">
        <v>294</v>
      </c>
      <c r="I48" s="94" t="n">
        <v>0.032622</v>
      </c>
      <c r="J48" s="98" t="n">
        <f aca="false">O48</f>
        <v>186.2099</v>
      </c>
      <c r="K48" s="114" t="n">
        <f aca="false">(I48*J48) / SUMPRODUCT($I$31:$I$50,$J$31:$J$50)</f>
        <v>0.0132124993839128</v>
      </c>
      <c r="L48" s="114" t="n">
        <f aca="false">(J48*M48) / SUMPRODUCT($J$31:$J$50,$M$31:$M$50)</f>
        <v>0.0111465400411587</v>
      </c>
      <c r="M48" s="114" t="n">
        <v>0.0065</v>
      </c>
      <c r="N48" s="12" t="s">
        <v>174</v>
      </c>
      <c r="O48" s="103" t="n">
        <f aca="false">P48-18.01528</f>
        <v>186.2099</v>
      </c>
      <c r="P48" s="95" t="n">
        <v>204.22518</v>
      </c>
      <c r="Q48" s="0"/>
      <c r="R48" s="0"/>
    </row>
    <row r="49" customFormat="false" ht="12.8" hidden="false" customHeight="false" outlineLevel="0" collapsed="false">
      <c r="A49" s="91" t="s">
        <v>170</v>
      </c>
      <c r="B49" s="94" t="n">
        <v>0.00363</v>
      </c>
      <c r="C49" s="103" t="n">
        <v>39.0983</v>
      </c>
      <c r="H49" s="91" t="s">
        <v>295</v>
      </c>
      <c r="I49" s="94" t="n">
        <v>0.117165</v>
      </c>
      <c r="J49" s="98" t="n">
        <f aca="false">O49</f>
        <v>163.17326</v>
      </c>
      <c r="K49" s="114" t="n">
        <f aca="false">(I49*J49) / SUMPRODUCT($I$31:$I$50,$J$31:$J$50)</f>
        <v>0.0415832583978658</v>
      </c>
      <c r="L49" s="114" t="n">
        <f aca="false">(J49*M49) / SUMPRODUCT($J$31:$J$50,$M$31:$M$50)</f>
        <v>0.0294529648152917</v>
      </c>
      <c r="M49" s="114" t="n">
        <v>0.0196</v>
      </c>
      <c r="N49" s="12" t="s">
        <v>181</v>
      </c>
      <c r="O49" s="103" t="n">
        <f aca="false">P49-18.01528</f>
        <v>163.17326</v>
      </c>
      <c r="P49" s="95" t="n">
        <v>181.18854</v>
      </c>
      <c r="Q49" s="0"/>
      <c r="R49" s="0"/>
    </row>
    <row r="50" customFormat="false" ht="12.8" hidden="false" customHeight="false" outlineLevel="0" collapsed="false">
      <c r="A50" s="91" t="s">
        <v>176</v>
      </c>
      <c r="B50" s="94" t="n">
        <v>0.001243</v>
      </c>
      <c r="C50" s="103" t="n">
        <v>24.305</v>
      </c>
      <c r="H50" s="91" t="s">
        <v>296</v>
      </c>
      <c r="I50" s="94" t="n">
        <v>0.30394</v>
      </c>
      <c r="J50" s="98" t="n">
        <f aca="false">O50</f>
        <v>99.13106</v>
      </c>
      <c r="K50" s="114" t="n">
        <f aca="false">(I50*J50) / SUMPRODUCT($I$31:$I$50,$J$31:$J$50)</f>
        <v>0.0655343866320291</v>
      </c>
      <c r="L50" s="114" t="n">
        <f aca="false">(J50*M50) / SUMPRODUCT($J$31:$J$50,$M$31:$M$50)</f>
        <v>0.0669171878373621</v>
      </c>
      <c r="M50" s="114" t="n">
        <v>0.0733</v>
      </c>
      <c r="N50" s="12" t="s">
        <v>187</v>
      </c>
      <c r="O50" s="103" t="n">
        <f aca="false">P50-18.01528</f>
        <v>99.13106</v>
      </c>
      <c r="P50" s="95" t="n">
        <v>117.14634</v>
      </c>
      <c r="Q50" s="0"/>
      <c r="R50" s="0"/>
    </row>
    <row r="51" customFormat="false" ht="12.8" hidden="false" customHeight="false" outlineLevel="0" collapsed="false">
      <c r="A51" s="91" t="s">
        <v>183</v>
      </c>
      <c r="B51" s="94" t="n">
        <v>0.00273</v>
      </c>
      <c r="C51" s="103" t="n">
        <v>54.938044</v>
      </c>
    </row>
    <row r="52" customFormat="false" ht="12.8" hidden="false" customHeight="false" outlineLevel="0" collapsed="false">
      <c r="A52" s="91" t="s">
        <v>407</v>
      </c>
      <c r="B52" s="94" t="n">
        <v>0.00397</v>
      </c>
      <c r="C52" s="98" t="n">
        <v>22.98977</v>
      </c>
      <c r="H52" s="102" t="s">
        <v>408</v>
      </c>
    </row>
    <row r="53" customFormat="false" ht="12.8" hidden="false" customHeight="false" outlineLevel="0" collapsed="false">
      <c r="A53" s="91" t="s">
        <v>282</v>
      </c>
      <c r="B53" s="94" t="n">
        <v>0.02</v>
      </c>
      <c r="C53" s="103" t="n">
        <v>96.0626</v>
      </c>
      <c r="H53" s="102" t="s">
        <v>0</v>
      </c>
      <c r="I53" s="102" t="s">
        <v>299</v>
      </c>
      <c r="J53" s="102" t="s">
        <v>3</v>
      </c>
      <c r="K53" s="102" t="s">
        <v>373</v>
      </c>
      <c r="L53" s="102" t="s">
        <v>371</v>
      </c>
    </row>
    <row r="54" customFormat="false" ht="12.8" hidden="false" customHeight="false" outlineLevel="0" collapsed="false">
      <c r="A54" s="91" t="s">
        <v>189</v>
      </c>
      <c r="B54" s="94" t="n">
        <v>0.000748</v>
      </c>
      <c r="C54" s="103" t="n">
        <v>65.38</v>
      </c>
      <c r="H54" s="91" t="s">
        <v>409</v>
      </c>
      <c r="I54" s="91" t="n">
        <v>0.044535</v>
      </c>
      <c r="J54" s="98" t="n">
        <v>345.205341</v>
      </c>
    </row>
    <row r="55" customFormat="false" ht="12.8" hidden="false" customHeight="false" outlineLevel="0" collapsed="false">
      <c r="A55" s="91" t="s">
        <v>43</v>
      </c>
      <c r="B55" s="91" t="n">
        <v>0</v>
      </c>
      <c r="C55" s="103" t="n">
        <v>95.979301</v>
      </c>
      <c r="H55" s="91" t="s">
        <v>410</v>
      </c>
      <c r="I55" s="91" t="n">
        <v>0.043276</v>
      </c>
      <c r="J55" s="98" t="n">
        <v>321.180641</v>
      </c>
    </row>
    <row r="56" customFormat="false" ht="12.8" hidden="false" customHeight="false" outlineLevel="0" collapsed="false">
      <c r="H56" s="91" t="s">
        <v>411</v>
      </c>
      <c r="I56" s="91" t="n">
        <v>0.044535</v>
      </c>
      <c r="J56" s="98" t="n">
        <v>361.204741</v>
      </c>
    </row>
    <row r="57" customFormat="false" ht="12.8" hidden="false" customHeight="false" outlineLevel="0" collapsed="false">
      <c r="H57" s="91" t="s">
        <v>412</v>
      </c>
      <c r="I57" s="91" t="n">
        <v>0.057992</v>
      </c>
      <c r="J57" s="98" t="n">
        <v>322.165401</v>
      </c>
    </row>
    <row r="58" customFormat="false" ht="12.8" hidden="false" customHeight="false" outlineLevel="0" collapsed="false">
      <c r="A58" s="104"/>
      <c r="B58" s="75"/>
      <c r="C58" s="104"/>
      <c r="D58" s="104"/>
    </row>
    <row r="59" customFormat="false" ht="12.8" hidden="false" customHeight="false" outlineLevel="0" collapsed="false">
      <c r="A59" s="104"/>
      <c r="B59" s="75"/>
      <c r="C59" s="104"/>
      <c r="D59" s="104"/>
    </row>
    <row r="60" customFormat="false" ht="12.8" hidden="false" customHeight="false" outlineLevel="0" collapsed="false">
      <c r="A60" s="12"/>
      <c r="B60" s="12" t="s">
        <v>192</v>
      </c>
      <c r="C60" s="12" t="s">
        <v>46</v>
      </c>
      <c r="D60" s="12" t="s">
        <v>311</v>
      </c>
      <c r="E60" s="12" t="s">
        <v>312</v>
      </c>
      <c r="F60" s="12" t="s">
        <v>313</v>
      </c>
      <c r="G60" s="12" t="s">
        <v>3</v>
      </c>
      <c r="H60" s="12" t="s">
        <v>314</v>
      </c>
      <c r="I60" s="76" t="s">
        <v>315</v>
      </c>
      <c r="J60" s="12" t="s">
        <v>316</v>
      </c>
      <c r="K60" s="12" t="s">
        <v>317</v>
      </c>
      <c r="N60" s="102" t="s">
        <v>298</v>
      </c>
    </row>
    <row r="61" customFormat="false" ht="12.8" hidden="false" customHeight="false" outlineLevel="0" collapsed="false">
      <c r="A61" s="12" t="s">
        <v>3</v>
      </c>
      <c r="B61" s="46" t="n">
        <v>12.0107</v>
      </c>
      <c r="C61" s="46" t="n">
        <v>1.00794</v>
      </c>
      <c r="D61" s="46" t="n">
        <v>14.0067</v>
      </c>
      <c r="E61" s="46" t="n">
        <v>15.999</v>
      </c>
      <c r="F61" s="46" t="n">
        <v>30.973762</v>
      </c>
      <c r="G61" s="12"/>
      <c r="H61" s="12"/>
      <c r="I61" s="12"/>
      <c r="J61" s="12"/>
      <c r="K61" s="12"/>
      <c r="N61" s="102" t="s">
        <v>300</v>
      </c>
    </row>
    <row r="62" customFormat="false" ht="12.8" hidden="false" customHeight="false" outlineLevel="0" collapsed="false">
      <c r="A62" s="12" t="s">
        <v>318</v>
      </c>
      <c r="B62" s="12" t="n">
        <v>14</v>
      </c>
      <c r="C62" s="12" t="n">
        <v>27</v>
      </c>
      <c r="D62" s="12"/>
      <c r="E62" s="12" t="n">
        <v>1</v>
      </c>
      <c r="F62" s="12"/>
      <c r="G62" s="46" t="n">
        <f aca="false">SUMPRODUCT($B$61:$F$61,B62:F62)</f>
        <v>211.36318</v>
      </c>
      <c r="H62" s="12" t="n">
        <v>-4</v>
      </c>
      <c r="I62" s="12"/>
      <c r="J62" s="12" t="s">
        <v>319</v>
      </c>
      <c r="K62" s="12" t="s">
        <v>320</v>
      </c>
      <c r="N62" s="0"/>
      <c r="O62" s="104" t="s">
        <v>301</v>
      </c>
      <c r="P62" s="104" t="s">
        <v>302</v>
      </c>
    </row>
    <row r="63" customFormat="false" ht="12.8" hidden="false" customHeight="false" outlineLevel="0" collapsed="false">
      <c r="A63" s="12" t="s">
        <v>321</v>
      </c>
      <c r="B63" s="12" t="n">
        <v>16</v>
      </c>
      <c r="C63" s="12" t="n">
        <v>31</v>
      </c>
      <c r="D63" s="12"/>
      <c r="E63" s="12" t="n">
        <v>1</v>
      </c>
      <c r="F63" s="12"/>
      <c r="G63" s="46" t="n">
        <f aca="false">SUMPRODUCT($B$61:$F$61,B63:F63)</f>
        <v>239.41634</v>
      </c>
      <c r="H63" s="12" t="n">
        <v>-4</v>
      </c>
      <c r="I63" s="12"/>
      <c r="J63" s="12" t="s">
        <v>319</v>
      </c>
      <c r="K63" s="12" t="s">
        <v>322</v>
      </c>
      <c r="N63" s="0" t="s">
        <v>303</v>
      </c>
      <c r="O63" s="104" t="n">
        <v>0.0080858</v>
      </c>
      <c r="P63" s="105" t="n">
        <f aca="false">O63/SUM($O$63:$O$66)</f>
        <v>0.188970452479276</v>
      </c>
    </row>
    <row r="64" customFormat="false" ht="12.8" hidden="false" customHeight="false" outlineLevel="0" collapsed="false">
      <c r="A64" s="12" t="s">
        <v>323</v>
      </c>
      <c r="B64" s="12" t="n">
        <v>16</v>
      </c>
      <c r="C64" s="12" t="n">
        <v>29</v>
      </c>
      <c r="D64" s="12"/>
      <c r="E64" s="12" t="n">
        <v>1</v>
      </c>
      <c r="F64" s="12"/>
      <c r="G64" s="46" t="n">
        <f aca="false">SUMPRODUCT($B$61:$F$61,B64:F64)</f>
        <v>237.40046</v>
      </c>
      <c r="H64" s="12" t="n">
        <v>-4</v>
      </c>
      <c r="I64" s="12"/>
      <c r="J64" s="12" t="s">
        <v>319</v>
      </c>
      <c r="K64" s="12" t="s">
        <v>324</v>
      </c>
      <c r="N64" s="0" t="s">
        <v>304</v>
      </c>
      <c r="O64" s="104" t="n">
        <v>0.02373</v>
      </c>
      <c r="P64" s="105" t="n">
        <f aca="false">O64/SUM($O$63:$O$66)</f>
        <v>0.554585673320293</v>
      </c>
    </row>
    <row r="65" customFormat="false" ht="12.8" hidden="false" customHeight="false" outlineLevel="0" collapsed="false">
      <c r="A65" s="12" t="s">
        <v>325</v>
      </c>
      <c r="B65" s="12" t="n">
        <v>17</v>
      </c>
      <c r="C65" s="12" t="n">
        <v>31</v>
      </c>
      <c r="D65" s="12"/>
      <c r="E65" s="12" t="n">
        <v>1</v>
      </c>
      <c r="F65" s="12"/>
      <c r="G65" s="46" t="n">
        <f aca="false">SUMPRODUCT($B$61:$F$61,B65:F65)</f>
        <v>251.42704</v>
      </c>
      <c r="H65" s="12" t="n">
        <v>-4</v>
      </c>
      <c r="I65" s="12"/>
      <c r="J65" s="12" t="s">
        <v>319</v>
      </c>
      <c r="K65" s="12" t="s">
        <v>326</v>
      </c>
      <c r="N65" s="0" t="s">
        <v>305</v>
      </c>
      <c r="O65" s="104" t="n">
        <v>0.0022663</v>
      </c>
      <c r="P65" s="105" t="n">
        <f aca="false">O65/SUM($O$63:$O$66)</f>
        <v>0.052964918307871</v>
      </c>
    </row>
    <row r="66" customFormat="false" ht="12.8" hidden="false" customHeight="false" outlineLevel="0" collapsed="false">
      <c r="A66" s="12" t="s">
        <v>327</v>
      </c>
      <c r="B66" s="12" t="n">
        <v>18</v>
      </c>
      <c r="C66" s="12" t="n">
        <v>35</v>
      </c>
      <c r="D66" s="12"/>
      <c r="E66" s="12" t="n">
        <v>1</v>
      </c>
      <c r="F66" s="12"/>
      <c r="G66" s="46" t="n">
        <f aca="false">SUMPRODUCT($B$61:$F$61,B66:F66)</f>
        <v>267.4695</v>
      </c>
      <c r="H66" s="12" t="n">
        <v>-4</v>
      </c>
      <c r="I66" s="12"/>
      <c r="J66" s="12" t="s">
        <v>319</v>
      </c>
      <c r="K66" s="12" t="s">
        <v>328</v>
      </c>
      <c r="N66" s="0" t="s">
        <v>306</v>
      </c>
      <c r="O66" s="104" t="n">
        <v>0.0087066</v>
      </c>
      <c r="P66" s="105" t="n">
        <f aca="false">O66/SUM($O$63:$O$66)</f>
        <v>0.20347895589256</v>
      </c>
    </row>
    <row r="67" customFormat="false" ht="12.8" hidden="false" customHeight="false" outlineLevel="0" collapsed="false">
      <c r="A67" s="12" t="s">
        <v>329</v>
      </c>
      <c r="B67" s="12" t="n">
        <v>18</v>
      </c>
      <c r="C67" s="12" t="n">
        <v>33</v>
      </c>
      <c r="D67" s="12"/>
      <c r="E67" s="12" t="n">
        <v>1</v>
      </c>
      <c r="F67" s="12"/>
      <c r="G67" s="46" t="n">
        <f aca="false">SUMPRODUCT($B$61:$F$61,B67:F67)</f>
        <v>265.45362</v>
      </c>
      <c r="H67" s="12" t="n">
        <v>-4</v>
      </c>
      <c r="I67" s="12"/>
      <c r="J67" s="12" t="s">
        <v>319</v>
      </c>
      <c r="K67" s="12" t="s">
        <v>330</v>
      </c>
    </row>
    <row r="68" customFormat="false" ht="12.8" hidden="false" customHeight="false" outlineLevel="0" collapsed="false">
      <c r="A68" s="12" t="s">
        <v>331</v>
      </c>
      <c r="B68" s="12" t="n">
        <v>18</v>
      </c>
      <c r="C68" s="12" t="n">
        <v>31</v>
      </c>
      <c r="D68" s="12"/>
      <c r="E68" s="12" t="n">
        <v>1</v>
      </c>
      <c r="F68" s="12"/>
      <c r="G68" s="46" t="n">
        <f aca="false">SUMPRODUCT($B$61:$F$61,B68:F68)</f>
        <v>263.43774</v>
      </c>
      <c r="H68" s="12" t="n">
        <v>-4</v>
      </c>
      <c r="I68" s="12"/>
      <c r="J68" s="12" t="s">
        <v>319</v>
      </c>
      <c r="K68" s="12" t="s">
        <v>332</v>
      </c>
      <c r="N68" s="102"/>
    </row>
    <row r="69" customFormat="false" ht="12.8" hidden="false" customHeight="false" outlineLevel="0" collapsed="false">
      <c r="A69" s="12" t="s">
        <v>333</v>
      </c>
      <c r="B69" s="12" t="n">
        <v>18</v>
      </c>
      <c r="C69" s="12" t="n">
        <v>29</v>
      </c>
      <c r="D69" s="12"/>
      <c r="E69" s="12" t="n">
        <v>1</v>
      </c>
      <c r="F69" s="12"/>
      <c r="G69" s="46" t="n">
        <f aca="false">SUMPRODUCT($B$61:$F$61,B69:F69)</f>
        <v>261.42186</v>
      </c>
      <c r="H69" s="12" t="n">
        <v>-4</v>
      </c>
      <c r="I69" s="12"/>
      <c r="J69" s="12" t="s">
        <v>319</v>
      </c>
      <c r="K69" s="12" t="s">
        <v>334</v>
      </c>
    </row>
    <row r="70" customFormat="false" ht="12.8" hidden="false" customHeight="false" outlineLevel="0" collapsed="false">
      <c r="A70" s="12" t="s">
        <v>335</v>
      </c>
      <c r="B70" s="12" t="n">
        <v>22</v>
      </c>
      <c r="C70" s="12" t="n">
        <v>43</v>
      </c>
      <c r="D70" s="12"/>
      <c r="E70" s="12" t="n">
        <v>1</v>
      </c>
      <c r="F70" s="12"/>
      <c r="G70" s="46" t="n">
        <f aca="false">SUMPRODUCT($B$61:$F$61,B70:F70)</f>
        <v>323.57582</v>
      </c>
      <c r="H70" s="12" t="n">
        <v>-4</v>
      </c>
      <c r="I70" s="12"/>
      <c r="J70" s="12" t="s">
        <v>319</v>
      </c>
      <c r="K70" s="12" t="s">
        <v>336</v>
      </c>
    </row>
    <row r="71" customFormat="false" ht="12.8" hidden="false" customHeight="false" outlineLevel="0" collapsed="false">
      <c r="A71" s="12" t="s">
        <v>337</v>
      </c>
      <c r="B71" s="12" t="n">
        <v>24</v>
      </c>
      <c r="C71" s="12" t="n">
        <v>47</v>
      </c>
      <c r="D71" s="12"/>
      <c r="E71" s="12" t="n">
        <v>1</v>
      </c>
      <c r="F71" s="12"/>
      <c r="G71" s="46" t="n">
        <f aca="false">SUMPRODUCT($B$61:$F$61,B71:F71)</f>
        <v>351.62898</v>
      </c>
      <c r="H71" s="12" t="n">
        <v>-4</v>
      </c>
      <c r="I71" s="12"/>
      <c r="J71" s="12" t="s">
        <v>319</v>
      </c>
      <c r="K71" s="12" t="s">
        <v>338</v>
      </c>
    </row>
    <row r="72" customFormat="false" ht="12.8" hidden="false" customHeight="false" outlineLevel="0" collapsed="false">
      <c r="A72" s="12" t="s">
        <v>339</v>
      </c>
      <c r="B72" s="12" t="n">
        <v>14</v>
      </c>
      <c r="C72" s="12" t="n">
        <v>27</v>
      </c>
      <c r="D72" s="12"/>
      <c r="E72" s="12" t="n">
        <v>2</v>
      </c>
      <c r="F72" s="12"/>
      <c r="G72" s="46" t="n">
        <f aca="false">SUMPRODUCT($B$61:$F$61,B72:F72)</f>
        <v>227.36218</v>
      </c>
      <c r="H72" s="12" t="n">
        <v>-1</v>
      </c>
      <c r="I72" s="12"/>
      <c r="J72" s="12" t="s">
        <v>340</v>
      </c>
      <c r="K72" s="12" t="s">
        <v>341</v>
      </c>
    </row>
    <row r="73" customFormat="false" ht="12.8" hidden="false" customHeight="false" outlineLevel="0" collapsed="false">
      <c r="A73" s="12" t="s">
        <v>342</v>
      </c>
      <c r="B73" s="12" t="n">
        <v>16</v>
      </c>
      <c r="C73" s="12" t="n">
        <v>31</v>
      </c>
      <c r="D73" s="12"/>
      <c r="E73" s="12" t="n">
        <v>2</v>
      </c>
      <c r="F73" s="12"/>
      <c r="G73" s="46" t="n">
        <f aca="false">SUMPRODUCT($B$61:$F$61,B73:F73)</f>
        <v>255.41534</v>
      </c>
      <c r="H73" s="12" t="n">
        <v>-1</v>
      </c>
      <c r="I73" s="12"/>
      <c r="J73" s="12" t="s">
        <v>340</v>
      </c>
      <c r="K73" s="12" t="s">
        <v>245</v>
      </c>
    </row>
    <row r="74" customFormat="false" ht="12.8" hidden="false" customHeight="false" outlineLevel="0" collapsed="false">
      <c r="A74" s="12" t="s">
        <v>343</v>
      </c>
      <c r="B74" s="12" t="n">
        <v>16</v>
      </c>
      <c r="C74" s="12" t="n">
        <v>29</v>
      </c>
      <c r="D74" s="12"/>
      <c r="E74" s="12" t="n">
        <v>2</v>
      </c>
      <c r="F74" s="12"/>
      <c r="G74" s="46" t="n">
        <f aca="false">SUMPRODUCT($B$61:$F$61,B74:F74)</f>
        <v>253.39946</v>
      </c>
      <c r="H74" s="12" t="n">
        <v>-1</v>
      </c>
      <c r="I74" s="12"/>
      <c r="J74" s="12" t="s">
        <v>340</v>
      </c>
      <c r="K74" s="12" t="s">
        <v>249</v>
      </c>
    </row>
    <row r="75" customFormat="false" ht="12.8" hidden="false" customHeight="false" outlineLevel="0" collapsed="false">
      <c r="A75" s="12" t="s">
        <v>344</v>
      </c>
      <c r="B75" s="12" t="n">
        <v>17</v>
      </c>
      <c r="C75" s="12" t="n">
        <v>31</v>
      </c>
      <c r="D75" s="12"/>
      <c r="E75" s="12" t="n">
        <v>2</v>
      </c>
      <c r="F75" s="12"/>
      <c r="G75" s="46" t="n">
        <f aca="false">SUMPRODUCT($B$61:$F$61,B75:F75)</f>
        <v>267.42604</v>
      </c>
      <c r="H75" s="12" t="n">
        <v>-1</v>
      </c>
      <c r="I75" s="12"/>
      <c r="J75" s="12" t="s">
        <v>340</v>
      </c>
      <c r="K75" s="12" t="s">
        <v>345</v>
      </c>
    </row>
    <row r="76" customFormat="false" ht="12.8" hidden="false" customHeight="false" outlineLevel="0" collapsed="false">
      <c r="A76" s="12" t="s">
        <v>346</v>
      </c>
      <c r="B76" s="12" t="n">
        <v>18</v>
      </c>
      <c r="C76" s="12" t="n">
        <v>35</v>
      </c>
      <c r="D76" s="12"/>
      <c r="E76" s="12" t="n">
        <v>2</v>
      </c>
      <c r="F76" s="12"/>
      <c r="G76" s="46" t="n">
        <f aca="false">SUMPRODUCT($B$61:$F$61,B76:F76)</f>
        <v>283.4685</v>
      </c>
      <c r="H76" s="12" t="n">
        <v>-1</v>
      </c>
      <c r="I76" s="12"/>
      <c r="J76" s="12" t="s">
        <v>340</v>
      </c>
      <c r="K76" s="12" t="s">
        <v>257</v>
      </c>
    </row>
    <row r="77" customFormat="false" ht="12.8" hidden="false" customHeight="false" outlineLevel="0" collapsed="false">
      <c r="A77" s="12" t="s">
        <v>347</v>
      </c>
      <c r="B77" s="12" t="n">
        <v>18</v>
      </c>
      <c r="C77" s="12" t="n">
        <v>33</v>
      </c>
      <c r="D77" s="12"/>
      <c r="E77" s="12" t="n">
        <v>2</v>
      </c>
      <c r="F77" s="12"/>
      <c r="G77" s="46" t="n">
        <f aca="false">SUMPRODUCT($B$61:$F$61,B77:F77)</f>
        <v>281.45262</v>
      </c>
      <c r="H77" s="12" t="n">
        <v>-1</v>
      </c>
      <c r="I77" s="12"/>
      <c r="J77" s="12" t="s">
        <v>340</v>
      </c>
      <c r="K77" s="12" t="s">
        <v>260</v>
      </c>
    </row>
    <row r="78" customFormat="false" ht="12.8" hidden="false" customHeight="false" outlineLevel="0" collapsed="false">
      <c r="A78" s="12" t="s">
        <v>348</v>
      </c>
      <c r="B78" s="12" t="n">
        <v>18</v>
      </c>
      <c r="C78" s="12" t="n">
        <v>31</v>
      </c>
      <c r="D78" s="12"/>
      <c r="E78" s="12" t="n">
        <v>2</v>
      </c>
      <c r="F78" s="12"/>
      <c r="G78" s="46" t="n">
        <f aca="false">SUMPRODUCT($B$61:$F$61,B78:F78)</f>
        <v>279.43674</v>
      </c>
      <c r="H78" s="12" t="n">
        <v>-1</v>
      </c>
      <c r="I78" s="12"/>
      <c r="J78" s="12" t="s">
        <v>340</v>
      </c>
      <c r="K78" s="12" t="s">
        <v>349</v>
      </c>
    </row>
    <row r="79" customFormat="false" ht="12.8" hidden="false" customHeight="false" outlineLevel="0" collapsed="false">
      <c r="A79" s="12" t="s">
        <v>350</v>
      </c>
      <c r="B79" s="12" t="n">
        <v>18</v>
      </c>
      <c r="C79" s="12" t="n">
        <v>29</v>
      </c>
      <c r="D79" s="12"/>
      <c r="E79" s="12" t="n">
        <v>2</v>
      </c>
      <c r="F79" s="12"/>
      <c r="G79" s="46" t="n">
        <f aca="false">SUMPRODUCT($B$61:$F$61,B79:F79)</f>
        <v>277.42086</v>
      </c>
      <c r="H79" s="12" t="n">
        <v>-1</v>
      </c>
      <c r="I79" s="12"/>
      <c r="J79" s="12" t="s">
        <v>340</v>
      </c>
      <c r="K79" s="12" t="s">
        <v>351</v>
      </c>
    </row>
    <row r="80" customFormat="false" ht="12.8" hidden="false" customHeight="false" outlineLevel="0" collapsed="false">
      <c r="A80" s="12" t="s">
        <v>352</v>
      </c>
      <c r="B80" s="12" t="n">
        <v>22</v>
      </c>
      <c r="C80" s="12" t="n">
        <v>43</v>
      </c>
      <c r="D80" s="12"/>
      <c r="E80" s="12" t="n">
        <v>2</v>
      </c>
      <c r="F80" s="12"/>
      <c r="G80" s="46" t="n">
        <f aca="false">SUMPRODUCT($B$61:$F$61,B80:F80)</f>
        <v>339.57482</v>
      </c>
      <c r="H80" s="12" t="n">
        <v>-1</v>
      </c>
      <c r="I80" s="12"/>
      <c r="J80" s="12" t="s">
        <v>340</v>
      </c>
      <c r="K80" s="12" t="s">
        <v>353</v>
      </c>
    </row>
    <row r="81" customFormat="false" ht="12.8" hidden="false" customHeight="false" outlineLevel="0" collapsed="false">
      <c r="A81" s="12" t="s">
        <v>354</v>
      </c>
      <c r="B81" s="12" t="n">
        <v>24</v>
      </c>
      <c r="C81" s="12" t="n">
        <v>47</v>
      </c>
      <c r="D81" s="12"/>
      <c r="E81" s="12" t="n">
        <v>2</v>
      </c>
      <c r="F81" s="12"/>
      <c r="G81" s="46" t="n">
        <f aca="false">SUMPRODUCT($B$61:$F$61,B81:F81)</f>
        <v>367.62798</v>
      </c>
      <c r="H81" s="12" t="n">
        <v>-1</v>
      </c>
      <c r="I81" s="12"/>
      <c r="J81" s="12" t="s">
        <v>340</v>
      </c>
      <c r="K81" s="12" t="s">
        <v>355</v>
      </c>
    </row>
    <row r="82" customFormat="false" ht="12.8" hidden="false" customHeight="false" outlineLevel="0" collapsed="false">
      <c r="A82" s="12" t="s">
        <v>356</v>
      </c>
      <c r="B82" s="108" t="n">
        <f aca="false">B63*$P$63 + B64*$P$64 + B66*$P$65 + B67*$P$66</f>
        <v>16.5128877484009</v>
      </c>
      <c r="C82" s="108" t="n">
        <f aca="false">C63*$P$63 + C64*$P$64 + C66*$P$65 + C67*$P$66</f>
        <v>30.509646238376</v>
      </c>
      <c r="D82" s="108"/>
      <c r="E82" s="109" t="n">
        <f aca="false">E63*$P$63 + E64*$P$64 + E66*$P$65 + E67*$P$66</f>
        <v>1</v>
      </c>
      <c r="F82" s="98"/>
      <c r="G82" s="46" t="n">
        <f aca="false">SUMPRODUCT($B$61:$F$61,B82:F82)</f>
        <v>245.082233709227</v>
      </c>
      <c r="H82" s="110" t="n">
        <v>-4</v>
      </c>
    </row>
    <row r="83" customFormat="false" ht="12.8" hidden="false" customHeight="false" outlineLevel="0" collapsed="false">
      <c r="A83" s="12" t="s">
        <v>357</v>
      </c>
      <c r="B83" s="12" t="n">
        <v>42</v>
      </c>
      <c r="C83" s="12" t="n">
        <v>85</v>
      </c>
      <c r="D83" s="12" t="n">
        <v>1</v>
      </c>
      <c r="E83" s="12" t="n">
        <v>3</v>
      </c>
      <c r="F83" s="0"/>
      <c r="G83" s="46" t="n">
        <f aca="false">SUMPRODUCT($B$61:$F$61,B83:F83)</f>
        <v>652.128</v>
      </c>
      <c r="H83" s="0" t="n">
        <v>0</v>
      </c>
      <c r="I83" s="0"/>
    </row>
    <row r="84" customFormat="false" ht="12.8" hidden="false" customHeight="false" outlineLevel="0" collapsed="false">
      <c r="A84" s="12" t="s">
        <v>358</v>
      </c>
      <c r="B84" s="12" t="n">
        <v>44</v>
      </c>
      <c r="C84" s="12" t="n">
        <v>89</v>
      </c>
      <c r="D84" s="12" t="n">
        <v>1</v>
      </c>
      <c r="E84" s="12" t="n">
        <v>3</v>
      </c>
      <c r="F84" s="0"/>
      <c r="G84" s="46" t="n">
        <f aca="false">SUMPRODUCT($B$61:$F$61,B84:F84)</f>
        <v>680.18116</v>
      </c>
      <c r="H84" s="0" t="n">
        <v>0</v>
      </c>
      <c r="I84" s="0"/>
    </row>
    <row r="85" customFormat="false" ht="12.8" hidden="false" customHeight="false" outlineLevel="0" collapsed="false">
      <c r="A85" s="12" t="s">
        <v>359</v>
      </c>
      <c r="B85" s="12" t="n">
        <v>42</v>
      </c>
      <c r="C85" s="12" t="n">
        <v>85</v>
      </c>
      <c r="D85" s="12" t="n">
        <v>1</v>
      </c>
      <c r="E85" s="12" t="n">
        <v>4</v>
      </c>
      <c r="F85" s="0"/>
      <c r="G85" s="46" t="n">
        <f aca="false">SUMPRODUCT($B$61:$F$61,B85:F85)</f>
        <v>668.127</v>
      </c>
      <c r="H85" s="0" t="n">
        <v>0</v>
      </c>
      <c r="I85" s="0"/>
    </row>
    <row r="86" customFormat="false" ht="12.8" hidden="false" customHeight="false" outlineLevel="0" collapsed="false">
      <c r="A86" s="12" t="s">
        <v>360</v>
      </c>
      <c r="B86" s="12" t="n">
        <v>44</v>
      </c>
      <c r="C86" s="12" t="n">
        <v>89</v>
      </c>
      <c r="D86" s="12" t="n">
        <v>1</v>
      </c>
      <c r="E86" s="12" t="n">
        <v>4</v>
      </c>
      <c r="F86" s="0"/>
      <c r="G86" s="46" t="n">
        <f aca="false">SUMPRODUCT($B$61:$F$61,B86:F86)</f>
        <v>696.18016</v>
      </c>
      <c r="H86" s="0" t="n">
        <v>0</v>
      </c>
      <c r="I86" s="0"/>
    </row>
    <row r="87" customFormat="false" ht="12.8" hidden="false" customHeight="false" outlineLevel="0" collapsed="false">
      <c r="A87" s="12" t="s">
        <v>361</v>
      </c>
      <c r="B87" s="12" t="n">
        <f aca="false">AVERAGE(B83:B86)</f>
        <v>43</v>
      </c>
      <c r="C87" s="12" t="n">
        <f aca="false">AVERAGE(C83:C86)</f>
        <v>87</v>
      </c>
      <c r="D87" s="12" t="n">
        <f aca="false">AVERAGE(D83:D86)</f>
        <v>1</v>
      </c>
      <c r="E87" s="12" t="n">
        <f aca="false">AVERAGE(E83:E86)</f>
        <v>3.5</v>
      </c>
      <c r="F87" s="0"/>
      <c r="G87" s="46" t="n">
        <f aca="false">SUMPRODUCT($B$61:$F$61,B87:F87)</f>
        <v>674.15408</v>
      </c>
      <c r="H87" s="0" t="n">
        <v>0</v>
      </c>
      <c r="I87" s="0"/>
    </row>
    <row r="88" customFormat="false" ht="12.8" hidden="false" customHeight="false" outlineLevel="0" collapsed="false">
      <c r="A88" s="76" t="s">
        <v>263</v>
      </c>
      <c r="B88" s="12" t="n">
        <v>9</v>
      </c>
      <c r="C88" s="12" t="n">
        <v>16</v>
      </c>
      <c r="D88" s="0"/>
      <c r="E88" s="12" t="n">
        <v>11</v>
      </c>
      <c r="F88" s="12" t="n">
        <v>1</v>
      </c>
      <c r="G88" s="46" t="n">
        <f aca="false">SUMPRODUCT($B$61:$F$61,B88:F88) + 2*G82</f>
        <v>821.350569418454</v>
      </c>
      <c r="H88" s="0"/>
      <c r="I88" s="12" t="s">
        <v>362</v>
      </c>
    </row>
    <row r="89" customFormat="false" ht="12.8" hidden="false" customHeight="false" outlineLevel="0" collapsed="false">
      <c r="A89" s="76" t="s">
        <v>266</v>
      </c>
      <c r="B89" s="12" t="n">
        <v>8</v>
      </c>
      <c r="C89" s="12" t="n">
        <v>18</v>
      </c>
      <c r="D89" s="12" t="n">
        <v>1</v>
      </c>
      <c r="E89" s="12" t="n">
        <v>6</v>
      </c>
      <c r="F89" s="12" t="n">
        <v>1</v>
      </c>
      <c r="G89" s="46" t="n">
        <f aca="false">SUMPRODUCT($B$61:$F$61,B89:F89) + 2*G82</f>
        <v>745.367449418454</v>
      </c>
      <c r="H89" s="0"/>
      <c r="I89" s="12" t="s">
        <v>362</v>
      </c>
    </row>
    <row r="90" customFormat="false" ht="12.8" hidden="false" customHeight="false" outlineLevel="0" collapsed="false">
      <c r="A90" s="76" t="s">
        <v>269</v>
      </c>
      <c r="B90" s="12" t="n">
        <v>5</v>
      </c>
      <c r="C90" s="12" t="n">
        <v>12</v>
      </c>
      <c r="D90" s="12" t="n">
        <v>1</v>
      </c>
      <c r="E90" s="12" t="n">
        <v>6</v>
      </c>
      <c r="F90" s="12" t="n">
        <v>1</v>
      </c>
      <c r="G90" s="46" t="n">
        <f aca="false">SUMPRODUCT($B$61:$F$61,B90:F90) + 2*G82</f>
        <v>703.287709418454</v>
      </c>
      <c r="H90" s="0"/>
      <c r="I90" s="12" t="s">
        <v>362</v>
      </c>
    </row>
    <row r="91" customFormat="false" ht="12.8" hidden="false" customHeight="false" outlineLevel="0" collapsed="false">
      <c r="A91" s="76" t="s">
        <v>273</v>
      </c>
      <c r="B91" s="12" t="n">
        <v>6</v>
      </c>
      <c r="C91" s="12" t="n">
        <v>10</v>
      </c>
      <c r="D91" s="12" t="n">
        <v>1</v>
      </c>
      <c r="E91" s="12" t="n">
        <v>8</v>
      </c>
      <c r="F91" s="12" t="n">
        <v>1</v>
      </c>
      <c r="G91" s="46" t="n">
        <f aca="false">SUMPRODUCT($B$61:$F$61,B91:F91) + 2*G82</f>
        <v>745.280529418454</v>
      </c>
      <c r="H91" s="0"/>
      <c r="I91" s="12" t="s">
        <v>362</v>
      </c>
    </row>
    <row r="92" customFormat="false" ht="12.8" hidden="false" customHeight="false" outlineLevel="0" collapsed="false">
      <c r="A92" s="76" t="s">
        <v>276</v>
      </c>
      <c r="B92" s="12" t="n">
        <v>3</v>
      </c>
      <c r="C92" s="12" t="n">
        <v>5</v>
      </c>
      <c r="D92" s="0"/>
      <c r="E92" s="12" t="n">
        <v>3</v>
      </c>
      <c r="F92" s="0"/>
      <c r="G92" s="46" t="n">
        <f aca="false">SUMPRODUCT($B$61:$F$61,B92:F92) + 3*G82</f>
        <v>824.315501127681</v>
      </c>
      <c r="H92" s="0"/>
      <c r="I92" s="12" t="s">
        <v>363</v>
      </c>
    </row>
    <row r="93" customFormat="false" ht="12.8" hidden="false" customHeight="false" outlineLevel="0" collapsed="false">
      <c r="A93" s="76" t="s">
        <v>280</v>
      </c>
      <c r="B93" s="12" t="n">
        <v>6</v>
      </c>
      <c r="C93" s="12" t="n">
        <v>10</v>
      </c>
      <c r="D93" s="0"/>
      <c r="E93" s="12" t="n">
        <v>8</v>
      </c>
      <c r="F93" s="12" t="n">
        <v>1</v>
      </c>
      <c r="G93" s="46" t="n">
        <f aca="false">SUMPRODUCT($B$61:$F$61,B93:F93) + G87</f>
        <v>915.263442</v>
      </c>
      <c r="H93" s="0"/>
      <c r="I93" s="12" t="s">
        <v>361</v>
      </c>
    </row>
    <row r="94" customFormat="false" ht="12.8" hidden="false" customHeight="false" outlineLevel="0" collapsed="false">
      <c r="A94" s="76" t="s">
        <v>364</v>
      </c>
      <c r="B94" s="12" t="n">
        <v>12</v>
      </c>
      <c r="C94" s="12" t="n">
        <v>19</v>
      </c>
      <c r="D94" s="0"/>
      <c r="E94" s="12" t="n">
        <v>13</v>
      </c>
      <c r="F94" s="12" t="n">
        <v>1</v>
      </c>
      <c r="G94" s="46" t="n">
        <f aca="false">SUMPRODUCT($B$61:$F$61,B94:F94) + G87</f>
        <v>1076.394102</v>
      </c>
      <c r="H94" s="0"/>
      <c r="I94" s="12" t="s">
        <v>361</v>
      </c>
    </row>
    <row r="95" customFormat="false" ht="12.8" hidden="false" customHeight="false" outlineLevel="0" collapsed="false">
      <c r="A95" s="76" t="s">
        <v>365</v>
      </c>
      <c r="B95" s="12" t="n">
        <v>18</v>
      </c>
      <c r="C95" s="12" t="n">
        <v>30</v>
      </c>
      <c r="D95" s="0"/>
      <c r="E95" s="12" t="n">
        <v>21</v>
      </c>
      <c r="F95" s="12" t="n">
        <v>2</v>
      </c>
      <c r="G95" s="46" t="n">
        <f aca="false">SUMPRODUCT($B$61:$F$61,B95:F95) + G87</f>
        <v>1318.511404</v>
      </c>
      <c r="H95" s="0"/>
      <c r="I95" s="12" t="s">
        <v>361</v>
      </c>
    </row>
    <row r="96" customFormat="false" ht="12.8" hidden="false" customHeight="false" outlineLevel="0" collapsed="false">
      <c r="A96" s="12" t="s">
        <v>366</v>
      </c>
      <c r="B96" s="12" t="n">
        <f aca="false">SUM(B93:B95)/3</f>
        <v>12</v>
      </c>
      <c r="C96" s="86" t="n">
        <f aca="false">SUM(C93:C95)/3</f>
        <v>19.6666666666667</v>
      </c>
      <c r="D96" s="0"/>
      <c r="E96" s="12" t="n">
        <f aca="false">SUM(E93:E95)/3</f>
        <v>14</v>
      </c>
      <c r="F96" s="84" t="n">
        <f aca="false">SUM(F93:F95)/3</f>
        <v>1.33333333333333</v>
      </c>
      <c r="G96" s="46" t="n">
        <f aca="false">SUMPRODUCT($B$61:$F$61,B96:F96) + G87</f>
        <v>1103.38964933333</v>
      </c>
      <c r="H96" s="0"/>
      <c r="I96" s="12" t="s">
        <v>361</v>
      </c>
    </row>
    <row r="97" customFormat="false" ht="12.8" hidden="false" customHeight="false" outlineLevel="0" collapsed="false">
      <c r="A97" s="12" t="s">
        <v>367</v>
      </c>
      <c r="B97" s="12" t="n">
        <v>28</v>
      </c>
      <c r="C97" s="12" t="n">
        <v>43</v>
      </c>
      <c r="D97" s="0"/>
      <c r="E97" s="12" t="n">
        <v>1</v>
      </c>
      <c r="F97" s="0"/>
      <c r="G97" s="46" t="n">
        <f aca="false">SUMPRODUCT($B$61:$F$61,B97:F97) + G82</f>
        <v>640.722253709227</v>
      </c>
      <c r="H97" s="0"/>
      <c r="I97" s="12" t="s">
        <v>356</v>
      </c>
    </row>
    <row r="98" customFormat="false" ht="12.8" hidden="false" customHeight="false" outlineLevel="0" collapsed="false">
      <c r="A98" s="46"/>
      <c r="B98" s="0"/>
      <c r="C98" s="0"/>
      <c r="D98" s="0"/>
      <c r="E98" s="0"/>
      <c r="F98" s="0"/>
      <c r="G98" s="46"/>
      <c r="H98" s="0"/>
      <c r="I98" s="0"/>
    </row>
    <row r="99" customFormat="false" ht="12.8" hidden="false" customHeight="false" outlineLevel="0" collapsed="false">
      <c r="A99" s="46"/>
      <c r="B99" s="0"/>
      <c r="C99" s="0"/>
      <c r="D99" s="0"/>
      <c r="E99" s="0"/>
      <c r="F99" s="0"/>
      <c r="G99" s="46"/>
      <c r="H99" s="0"/>
      <c r="I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46"/>
      <c r="H100" s="0"/>
      <c r="I10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2018-09-17T14:07:15Z</dcterms:created>
  <dc:creator/>
  <dc:description/>
  <dc:language>en-US</dc:language>
  <cp:lastModifiedBy/>
  <dcterms:modified xsi:type="dcterms:W3CDTF">2021-09-28T13:54:26Z</dcterms:modified>
  <cp:revision>1472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