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rtRBA-main/parameterization/GAM_NGAM/"/>
    </mc:Choice>
  </mc:AlternateContent>
  <xr:revisionPtr revIDLastSave="0" documentId="13_ncr:1_{8CA14FC3-F2C8-F840-AED8-B49DCAD1BFC8}" xr6:coauthVersionLast="47" xr6:coauthVersionMax="47" xr10:uidLastSave="{00000000-0000-0000-0000-000000000000}"/>
  <bookViews>
    <workbookView xWindow="4080" yWindow="500" windowWidth="30240" windowHeight="17640" tabRatio="500" activeTab="2" xr2:uid="{00000000-000D-0000-FFFF-FFFF00000000}"/>
  </bookViews>
  <sheets>
    <sheet name="README" sheetId="1" r:id="rId1"/>
    <sheet name="Data" sheetId="2" r:id="rId2"/>
    <sheet name="plotting results" sheetId="3" r:id="rId3"/>
  </sheets>
  <definedNames>
    <definedName name="_xlnm._FilterDatabase" localSheetId="1" hidden="1">Data!$A$1:$Z$80</definedName>
    <definedName name="_FilterDatabase_0" localSheetId="1">Data!$A$1:$Z$77</definedName>
    <definedName name="_FilterDatabase_0_0" localSheetId="1">Data!$A$1:$J$80</definedName>
    <definedName name="_FilterDatabase_0_0_0" localSheetId="1">Data!$A$1:$J$80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 a="1"/>
  <c r="H2" i="3" s="1"/>
  <c r="L2" i="3" a="1"/>
  <c r="L2" i="3" s="1"/>
  <c r="K2" i="3" a="1"/>
  <c r="K2" i="3" s="1"/>
  <c r="J2" i="3" a="1"/>
  <c r="J2" i="3" s="1"/>
  <c r="G2" i="3" a="1"/>
  <c r="G2" i="3" s="1"/>
  <c r="Y18" i="2"/>
  <c r="L25" i="1"/>
  <c r="L26" i="1"/>
  <c r="L27" i="1"/>
  <c r="L28" i="1"/>
  <c r="L29" i="1"/>
  <c r="K29" i="1" s="1"/>
  <c r="L30" i="1"/>
  <c r="L31" i="1"/>
  <c r="L32" i="1"/>
  <c r="L33" i="1"/>
  <c r="I33" i="1"/>
  <c r="I32" i="1"/>
  <c r="I31" i="1"/>
  <c r="I30" i="1"/>
  <c r="I29" i="1"/>
  <c r="I28" i="1"/>
  <c r="I27" i="1"/>
  <c r="I26" i="1"/>
  <c r="K26" i="1" s="1"/>
  <c r="I25" i="1"/>
  <c r="K30" i="1"/>
  <c r="K31" i="1"/>
  <c r="K32" i="1"/>
  <c r="K33" i="1"/>
  <c r="M25" i="1"/>
  <c r="M26" i="1"/>
  <c r="M27" i="1"/>
  <c r="M28" i="1"/>
  <c r="M29" i="1"/>
  <c r="M30" i="1"/>
  <c r="M31" i="1"/>
  <c r="M32" i="1"/>
  <c r="M33" i="1"/>
  <c r="P25" i="1" a="1"/>
  <c r="P25" i="1" s="1"/>
  <c r="T25" i="1" a="1"/>
  <c r="T25" i="1" s="1"/>
  <c r="R25" i="1" a="1"/>
  <c r="R25" i="1" s="1"/>
  <c r="P16" i="1" a="1"/>
  <c r="P16" i="1" s="1"/>
  <c r="AD13" i="1"/>
  <c r="AD12" i="1"/>
  <c r="Y17" i="2"/>
  <c r="Y16" i="2"/>
  <c r="Y15" i="2"/>
  <c r="Y14" i="2"/>
  <c r="Y13" i="2"/>
  <c r="Y12" i="2"/>
  <c r="Y11" i="2"/>
  <c r="Y10" i="2"/>
  <c r="Z16" i="1" a="1"/>
  <c r="Z16" i="1" s="1"/>
  <c r="X16" i="1" a="1"/>
  <c r="X16" i="1" s="1"/>
  <c r="V16" i="1" a="1"/>
  <c r="V16" i="1" s="1"/>
  <c r="T16" i="1" a="1"/>
  <c r="T16" i="1" s="1"/>
  <c r="R16" i="1" a="1"/>
  <c r="R16" i="1" s="1"/>
  <c r="H16" i="1" s="1"/>
  <c r="J16" i="1" s="1"/>
  <c r="O16" i="1" a="1"/>
  <c r="O16" i="1" s="1"/>
  <c r="A37" i="1" s="1" a="1"/>
  <c r="A37" i="1" s="1"/>
  <c r="L18" i="1" l="1"/>
  <c r="L16" i="1"/>
  <c r="L17" i="1"/>
  <c r="L19" i="1"/>
  <c r="L20" i="1"/>
  <c r="L21" i="1"/>
  <c r="L22" i="1"/>
  <c r="K25" i="1"/>
  <c r="K27" i="1"/>
  <c r="K28" i="1"/>
  <c r="I19" i="1"/>
  <c r="K19" i="1" s="1"/>
  <c r="H17" i="1"/>
  <c r="J17" i="1" s="1"/>
  <c r="I20" i="1"/>
  <c r="K20" i="1" s="1"/>
  <c r="H22" i="1"/>
  <c r="J22" i="1" s="1"/>
  <c r="I21" i="1"/>
  <c r="K21" i="1" s="1"/>
  <c r="H19" i="1"/>
  <c r="J19" i="1" s="1"/>
  <c r="H21" i="1"/>
  <c r="J21" i="1" s="1"/>
  <c r="I22" i="1"/>
  <c r="K22" i="1" s="1"/>
  <c r="H20" i="1"/>
  <c r="J20" i="1" s="1"/>
  <c r="H18" i="1"/>
  <c r="J18" i="1" s="1"/>
  <c r="I16" i="1"/>
  <c r="K16" i="1" s="1"/>
  <c r="I17" i="1"/>
  <c r="K17" i="1" s="1"/>
  <c r="I18" i="1"/>
  <c r="K18" i="1" s="1"/>
  <c r="Y9" i="2"/>
  <c r="AB25" i="1" l="1" a="1"/>
  <c r="AB25" i="1" s="1"/>
  <c r="Z25" i="1" a="1"/>
  <c r="Z25" i="1" s="1"/>
  <c r="X25" i="1" a="1"/>
  <c r="X25" i="1" s="1"/>
  <c r="V25" i="1" a="1"/>
  <c r="O25" i="1" a="1"/>
  <c r="O25" i="1" s="1"/>
  <c r="A46" i="1" s="1" a="1"/>
  <c r="A46" i="1" s="1"/>
  <c r="B46" i="1" s="1" a="1"/>
  <c r="B46" i="1" s="1"/>
  <c r="B37" i="1" a="1"/>
  <c r="B37" i="1" s="1"/>
  <c r="H26" i="1" l="1"/>
  <c r="H27" i="1"/>
  <c r="H28" i="1"/>
  <c r="H29" i="1"/>
  <c r="H31" i="1"/>
  <c r="H32" i="1"/>
  <c r="H33" i="1"/>
  <c r="H30" i="1"/>
  <c r="V25" i="1"/>
  <c r="H25" i="1" s="1"/>
  <c r="AE25" i="1" a="1"/>
  <c r="Y2" i="2"/>
  <c r="Y3" i="2"/>
  <c r="Y4" i="2"/>
  <c r="Y5" i="2"/>
  <c r="Y6" i="2"/>
  <c r="Y7" i="2"/>
  <c r="AE25" i="1" l="1"/>
  <c r="J27" i="1"/>
  <c r="J26" i="1"/>
  <c r="J33" i="1"/>
  <c r="J32" i="1"/>
  <c r="J31" i="1"/>
  <c r="J30" i="1"/>
  <c r="J29" i="1"/>
  <c r="J28" i="1"/>
  <c r="AH25" i="1" a="1"/>
  <c r="AH25" i="1" s="1"/>
  <c r="AI25" i="1" s="1" a="1"/>
  <c r="AI25" i="1" s="1"/>
  <c r="AG25" i="1" a="1"/>
  <c r="AG25" i="1" s="1"/>
  <c r="Y8" i="2"/>
  <c r="AJ25" i="1" l="1" a="1"/>
  <c r="AJ25" i="1" s="1"/>
  <c r="J2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tc={DC38C332-3B6C-47A5-86D7-4B0D17263107}</author>
    <author>tc={C7594E09-F765-44C9-B949-DC6E0010EAE6}</author>
    <author>tc={C68B29D2-82DD-4289-8C3E-23B3C5E190FD}</author>
    <author>tc={9732DBEC-4DFB-425F-A8E0-BD7205C3FB55}</author>
    <author>tc={D7870E77-DC51-4F62-8E7C-C6D713AAE38B}</author>
    <author>tc={D2455079-6730-4602-A60B-868254324A48}</author>
  </authors>
  <commentList>
    <comment ref="E1" authorId="0" shapeId="0" xr:uid="{DC38C332-3B6C-47A5-86D7-4B0D1726310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 extra settings; see the maxATPM_calculation.ipynb script for how these get used </t>
      </text>
    </comment>
    <comment ref="G1" authorId="1" shapeId="0" xr:uid="{C7594E09-F765-44C9-B949-DC6E0010EAE6}">
      <text>
        <t>[Threaded comment]
Your version of Excel allows you to read this threaded comment; however, any edits to it will get removed if the file is opened in a newer version of Excel. Learn more: https://go.microsoft.com/fwlink/?linkid=870924
Comment:
    Aerobic or not? True by default; enter FALSE if not</t>
      </text>
    </comment>
    <comment ref="L1" authorId="2" shapeId="0" xr:uid="{C68B29D2-82DD-4289-8C3E-23B3C5E190FD}">
      <text>
        <t>[Threaded comment]
Your version of Excel allows you to read this threaded comment; however, any edits to it will get removed if the file is opened in a newer version of Excel. Learn more: https://go.microsoft.com/fwlink/?linkid=870924
Comment:
    Leave blank; use script results to fill it</t>
      </text>
    </comment>
    <comment ref="M1" authorId="3" shapeId="0" xr:uid="{9732DBEC-4DFB-425F-A8E0-BD7205C3FB55}">
      <text>
        <t>[Threaded comment]
Your version of Excel allows you to read this threaded comment; however, any edits to it will get removed if the file is opened in a newer version of Excel. Learn more: https://go.microsoft.com/fwlink/?linkid=870924
Comment:
    Leave blank; use script to fill it</t>
      </text>
    </comment>
    <comment ref="S1" authorId="4" shapeId="0" xr:uid="{D7870E77-DC51-4F62-8E7C-C6D713AAE38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used in script but possibly helpful</t>
      </text>
    </comment>
    <comment ref="W1" authorId="5" shapeId="0" xr:uid="{D2455079-6730-4602-A60B-868254324A48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used in script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<sst xmlns="http://schemas.openxmlformats.org/spreadsheetml/2006/main" count="419" uniqueCount="220">
  <si>
    <t>Mean_value_adjustment</t>
  </si>
  <si>
    <t>Format: &lt;Reaction&gt;:&lt;Bound_type&gt;:&lt;Value&gt;</t>
  </si>
  <si>
    <t>Note: For uptake reactions, the reverse direction (i.e., negative flux) indicates uptake, and the forward direction (i.e., positive flux) indicates secretion</t>
  </si>
  <si>
    <t>This is in difference format to the substrate column. Input in substrate column are in positive values but are adjust to negative values by the codes.</t>
  </si>
  <si>
    <r>
      <rPr>
        <sz val="10"/>
        <rFont val="Arial"/>
        <family val="2"/>
        <charset val="1"/>
      </rPr>
      <t xml:space="preserve">The corresponding bounds are adjusted </t>
    </r>
    <r>
      <rPr>
        <b/>
        <u/>
        <sz val="10"/>
        <rFont val="Arial"/>
        <family val="2"/>
        <charset val="1"/>
      </rPr>
      <t>to</t>
    </r>
    <r>
      <rPr>
        <sz val="10"/>
        <rFont val="Arial"/>
        <family val="2"/>
        <charset val="1"/>
      </rPr>
      <t xml:space="preserve"> the value</t>
    </r>
  </si>
  <si>
    <t>O2_uptake_yield (mmol/gDW) analysis</t>
  </si>
  <si>
    <t>Dataset</t>
  </si>
  <si>
    <t>Year</t>
  </si>
  <si>
    <t>Group</t>
  </si>
  <si>
    <t>pmid</t>
  </si>
  <si>
    <t>Simulation_settings</t>
  </si>
  <si>
    <t>Growth_rate</t>
  </si>
  <si>
    <t>Oxy</t>
  </si>
  <si>
    <t>Substrate_uptake</t>
  </si>
  <si>
    <t>Oxy_uptake</t>
  </si>
  <si>
    <t>Secretions</t>
  </si>
  <si>
    <t>maxATPM_FBA</t>
  </si>
  <si>
    <t>maxATPM_RBA</t>
  </si>
  <si>
    <t>Remove_tag</t>
  </si>
  <si>
    <t>Note</t>
  </si>
  <si>
    <t>Culture</t>
  </si>
  <si>
    <t>Substrate conc (g/L)</t>
  </si>
  <si>
    <t>Rpm</t>
  </si>
  <si>
    <t>Aero_vvm</t>
  </si>
  <si>
    <t>Working volume (L)</t>
  </si>
  <si>
    <t>Controlled_O2_saturation (%)</t>
  </si>
  <si>
    <t>Single_point_GAM</t>
  </si>
  <si>
    <t>Strain</t>
  </si>
  <si>
    <t>Chemo</t>
  </si>
  <si>
    <t>Shen2013_chemoClimAero</t>
  </si>
  <si>
    <t>1.85 </t>
  </si>
  <si>
    <t>Column1</t>
  </si>
  <si>
    <t>Column2</t>
  </si>
  <si>
    <t>Column3</t>
  </si>
  <si>
    <t>AS 2.1389</t>
  </si>
  <si>
    <t>If o2 uptake yield is not consistent across data points, cannot use this statistic to imply possible outlier data points</t>
  </si>
  <si>
    <t>Bound types: UB (upper), LB (lower)</t>
  </si>
  <si>
    <t>Bound types: E (equal), L (lower), U (upper)</t>
  </si>
  <si>
    <t>How glucose uptake was determined:</t>
  </si>
  <si>
    <t>Kinetics of continuous cultivation of the oleaginous yeast Rhodosporidium toruloides - ScienceDirect</t>
  </si>
  <si>
    <t>Source:</t>
  </si>
  <si>
    <r>
      <t>D</t>
    </r>
    <r>
      <rPr>
        <b/>
        <sz val="7"/>
        <color rgb="FF1F1F1F"/>
        <rFont val="Georgia"/>
        <family val="1"/>
      </rPr>
      <t> (h</t>
    </r>
    <r>
      <rPr>
        <b/>
        <sz val="5"/>
        <color rgb="FF1F1F1F"/>
        <rFont val="Georgia"/>
        <family val="1"/>
      </rPr>
      <t>−1</t>
    </r>
    <r>
      <rPr>
        <b/>
        <sz val="7"/>
        <color rgb="FF1F1F1F"/>
        <rFont val="Georgia"/>
        <family val="1"/>
      </rPr>
      <t>)</t>
    </r>
  </si>
  <si>
    <t>Cell mass (g/L)</t>
  </si>
  <si>
    <t>Residual glucose (g/L)</t>
  </si>
  <si>
    <t>Nitrogen (g/L)</t>
  </si>
  <si>
    <t>Lipid content (%)</t>
  </si>
  <si>
    <r>
      <t>Y</t>
    </r>
    <r>
      <rPr>
        <b/>
        <i/>
        <sz val="5"/>
        <color rgb="FF1F1F1F"/>
        <rFont val="Georgia"/>
        <family val="1"/>
      </rPr>
      <t>X/S</t>
    </r>
    <r>
      <rPr>
        <b/>
        <sz val="7"/>
        <color rgb="FF1F1F1F"/>
        <rFont val="Georgia"/>
        <family val="1"/>
      </rPr>
      <t> (g/g)</t>
    </r>
  </si>
  <si>
    <t>Productivity (g/L/h)</t>
  </si>
  <si>
    <t>5.25 ± 0.07</t>
  </si>
  <si>
    <t>BD</t>
  </si>
  <si>
    <t>0.51 ± 0.01</t>
  </si>
  <si>
    <t>8.66 ± 0.33</t>
  </si>
  <si>
    <t>0.39 ± 0.00</t>
  </si>
  <si>
    <t>0.11 ± 0.00</t>
  </si>
  <si>
    <t>5.34 ± 0.12</t>
  </si>
  <si>
    <t>0.45 ± 0.00</t>
  </si>
  <si>
    <t>8.70 ± 0.22</t>
  </si>
  <si>
    <t>0.40 ± 0.01</t>
  </si>
  <si>
    <t>0.20 ± 0.00</t>
  </si>
  <si>
    <t>5.35 ± 0.10</t>
  </si>
  <si>
    <t>0.42 ± 0.01</t>
  </si>
  <si>
    <t>7.93 ± 0.90</t>
  </si>
  <si>
    <t>0.31 ± 0.01</t>
  </si>
  <si>
    <t>5.60 ± 0.08</t>
  </si>
  <si>
    <t>0.41 ± 0.01</t>
  </si>
  <si>
    <t>8.01 ± 0.12</t>
  </si>
  <si>
    <t>0.43 ± 0.01</t>
  </si>
  <si>
    <t>5.49 ± 0.09</t>
  </si>
  <si>
    <t>0.37 ± 0.01</t>
  </si>
  <si>
    <t>8.62 ± 0.23</t>
  </si>
  <si>
    <t>0.71 ± 0.02</t>
  </si>
  <si>
    <t>5.54 ± 0.04</t>
  </si>
  <si>
    <t>8.72 ± 0.17</t>
  </si>
  <si>
    <t>0.41 ± 0.00</t>
  </si>
  <si>
    <t>0.86 ± 0.01</t>
  </si>
  <si>
    <t>5.50 ± 0.06</t>
  </si>
  <si>
    <t>0.20 ± 0.01</t>
  </si>
  <si>
    <t>0.36 ± 0.02</t>
  </si>
  <si>
    <t>9.61 ± 0.17</t>
  </si>
  <si>
    <t>1.02 ± 0.01</t>
  </si>
  <si>
    <t>error</t>
  </si>
  <si>
    <t>After distinguishing errors from values…</t>
  </si>
  <si>
    <t>Glucose uptake
(g Glc/gDW/hr)</t>
  </si>
  <si>
    <t>Glucose uptake
(mmol/gDW/hr)</t>
  </si>
  <si>
    <t>Following equation (6) from the source above:</t>
  </si>
  <si>
    <t>Consumed C/N (mol/mol)</t>
  </si>
  <si>
    <t>Lipid (g/L)</t>
  </si>
  <si>
    <t>Non-lipid cell mass (g/L)</t>
  </si>
  <si>
    <t>61.6 ± 0.0</t>
  </si>
  <si>
    <t>8.67 ± 0.14</t>
  </si>
  <si>
    <t>8.0 ± 0.0</t>
  </si>
  <si>
    <t>61.8 ± 0.9</t>
  </si>
  <si>
    <t>5.36 ± 0.08</t>
  </si>
  <si>
    <t>3.32 ± 0.11</t>
  </si>
  <si>
    <t>38.0 ± 0.5</t>
  </si>
  <si>
    <t>5.72 ± 0.04</t>
  </si>
  <si>
    <t>18.8 ± 0.2</t>
  </si>
  <si>
    <t>53.1 ± 0.6</t>
  </si>
  <si>
    <t>3.04 ± 0.06</t>
  </si>
  <si>
    <t>2.68 ± 0.02</t>
  </si>
  <si>
    <t>30.8 ± 0.9</t>
  </si>
  <si>
    <t>4.76 ± 0.02</t>
  </si>
  <si>
    <t>22.0 ± 0.4</t>
  </si>
  <si>
    <t>47.3 ± 0.6</t>
  </si>
  <si>
    <t>2.25 ± 0.03</t>
  </si>
  <si>
    <t>2.51 ± 0.03</t>
  </si>
  <si>
    <t>24.8 ± 0.6</t>
  </si>
  <si>
    <t>3.72 ± 0.02</t>
  </si>
  <si>
    <t>24.8 ± 0.2</t>
  </si>
  <si>
    <t>42.0 ± 1.8</t>
  </si>
  <si>
    <t>1.56 ± 0.06</t>
  </si>
  <si>
    <t>2.16 ± 0.70</t>
  </si>
  <si>
    <t>19.8 ± 0.0</t>
  </si>
  <si>
    <t>3.19 ± 0.03</t>
  </si>
  <si>
    <t>27.0 ± 0.0</t>
  </si>
  <si>
    <t>36.7 ± 0.4</t>
  </si>
  <si>
    <t>1.17 ± 0.01</t>
  </si>
  <si>
    <t>2.02 ± 0.03</t>
  </si>
  <si>
    <t>15.4 ± 0.0</t>
  </si>
  <si>
    <t>2.58 ± 0.03</t>
  </si>
  <si>
    <t>29.0 ± 0.0</t>
  </si>
  <si>
    <t>27.4 ± 0.3</t>
  </si>
  <si>
    <t>0.71 ± 0.01</t>
  </si>
  <si>
    <t>1.87 ± 0.02</t>
  </si>
  <si>
    <t>13.2 ± 0.0</t>
  </si>
  <si>
    <t>2.27 ± 0.01</t>
  </si>
  <si>
    <t>30.0 ± 0.0</t>
  </si>
  <si>
    <t>23.0 ± 0.2</t>
  </si>
  <si>
    <t>0.52 ± 0.01</t>
  </si>
  <si>
    <t>1.74 ± 0.01</t>
  </si>
  <si>
    <t>12.1 ± 0.6</t>
  </si>
  <si>
    <t>2.08 ± 0.01</t>
  </si>
  <si>
    <t>30.5 ± 0.3</t>
  </si>
  <si>
    <t>18.7 ± 0.1</t>
  </si>
  <si>
    <t>1.69 ± 0.01</t>
  </si>
  <si>
    <t>8.8 ± 0.0</t>
  </si>
  <si>
    <t>1.63 ± 0.01</t>
  </si>
  <si>
    <t>32.0 ± 0.0</t>
  </si>
  <si>
    <t>13.2 ± 0.3</t>
  </si>
  <si>
    <t>0.21 ± 0.01</t>
  </si>
  <si>
    <t>1.42 ± 0.01</t>
  </si>
  <si>
    <t>Shen2013_chemoNlimAero</t>
  </si>
  <si>
    <r>
      <t>D</t>
    </r>
    <r>
      <rPr>
        <b/>
        <sz val="14"/>
        <color rgb="FF1F1F1F"/>
        <rFont val="Georgia"/>
        <family val="1"/>
      </rPr>
      <t> (h</t>
    </r>
    <r>
      <rPr>
        <b/>
        <sz val="11"/>
        <color rgb="FF1F1F1F"/>
        <rFont val="Georgia"/>
        <family val="1"/>
      </rPr>
      <t>−1</t>
    </r>
    <r>
      <rPr>
        <b/>
        <sz val="14"/>
        <color rgb="FF1F1F1F"/>
        <rFont val="Georgia"/>
        <family val="1"/>
      </rPr>
      <t>)</t>
    </r>
  </si>
  <si>
    <t>N-limited</t>
  </si>
  <si>
    <t>Table 1 (C-limited)</t>
  </si>
  <si>
    <t>Old biomass lipid %</t>
  </si>
  <si>
    <t>new/old</t>
  </si>
  <si>
    <t>other biomass %</t>
  </si>
  <si>
    <t>text for data</t>
  </si>
  <si>
    <t>Initial glc (g/L)</t>
  </si>
  <si>
    <t>Initial ammonium sulfate (g/L)</t>
  </si>
  <si>
    <t>Initial ammonium (g/L)</t>
  </si>
  <si>
    <t>C-lim</t>
  </si>
  <si>
    <t>N-lim</t>
  </si>
  <si>
    <t>Glucose consumption flux (mmol/gDW/h)</t>
  </si>
  <si>
    <t>Ammonium consumption flux (mmol/gDW/h)</t>
  </si>
  <si>
    <t>Calculated using data from the paper</t>
  </si>
  <si>
    <t>C substrate text for file</t>
  </si>
  <si>
    <t>N substrate text for file</t>
  </si>
  <si>
    <t>"Washing out" = when cells are being removed faster than they can reproduce. Can determine max growth rate by looking for when OD starts to decrease.</t>
  </si>
  <si>
    <t>May need to exclude point at D=0.19 since the glc seems to start washing out</t>
  </si>
  <si>
    <t>EX_glc__D_e:U:0.289324541639202</t>
  </si>
  <si>
    <t>EX_glc__D_e:U:0.574214990686233</t>
  </si>
  <si>
    <t>EX_glc__D_e:U:0.856400643252039</t>
  </si>
  <si>
    <t>EX_glc__D_e:U:1.08601530847179</t>
  </si>
  <si>
    <t>EX_glc__D_e:U:1.80399209573925</t>
  </si>
  <si>
    <t>EX_glc__D_e:U:2.04368335321509</t>
  </si>
  <si>
    <t>EX_glc__D_e:U:2.58038213287047</t>
  </si>
  <si>
    <t>EX_glc__D_e:U:0.364409982365941</t>
  </si>
  <si>
    <t>EX_glc__D_e:U:0.680161700235383</t>
  </si>
  <si>
    <t>EX_glc__D_e:U:1.01178135067751</t>
  </si>
  <si>
    <t>EX_glc__D_e:U:1.36818361024049</t>
  </si>
  <si>
    <t>EX_glc__D_e:U:1.58090836043362</t>
  </si>
  <si>
    <t>EX_glc__D_e:U:1.8284806762244</t>
  </si>
  <si>
    <t>EX_glc__D_e:U:2.06310872759832</t>
  </si>
  <si>
    <t>EX_glc__D_e:U:2.48844989200449</t>
  </si>
  <si>
    <t>EX_glc__D_e:U:2.74110859751453</t>
  </si>
  <si>
    <t>EX_nh4_e:U:0.185172159189104</t>
  </si>
  <si>
    <t>EX_nh4_e:U:0.38874606514305</t>
  </si>
  <si>
    <t>EX_nh4_e:U:0.605128906492802</t>
  </si>
  <si>
    <t>EX_nh4_e:U:0.775407735831279</t>
  </si>
  <si>
    <t>EX_nh4_e:U:1.34142068640932</t>
  </si>
  <si>
    <t>EX_nh4_e:U:1.51965140698119</t>
  </si>
  <si>
    <t>EX_nh4_e:U:1.9848454953271</t>
  </si>
  <si>
    <t>lipid content text for file</t>
  </si>
  <si>
    <t>new_lipid_frac=0.6189</t>
  </si>
  <si>
    <t>new_lipid_frac=0.5316</t>
  </si>
  <si>
    <t>new_lipid_frac=0.4736</t>
  </si>
  <si>
    <t>new_lipid_frac=0.4218</t>
  </si>
  <si>
    <t>new_lipid_frac=0.3674</t>
  </si>
  <si>
    <t>new_lipid_frac=0.2743</t>
  </si>
  <si>
    <t>new_lipid_frac=0.2302</t>
  </si>
  <si>
    <t>new_lipid_frac=0.1871</t>
  </si>
  <si>
    <t>new_lipid_frac=0.1323</t>
  </si>
  <si>
    <t>q_s (g glc/g non-lipid cell mass/h)</t>
  </si>
  <si>
    <t>Rabinowitz2024_batchAero</t>
  </si>
  <si>
    <t>Batch</t>
  </si>
  <si>
    <t>EX_glc__D_e:U:5.3317693</t>
  </si>
  <si>
    <t>EX_pnto__R_e:U:8.297142583706385E-02,EX_nh4_e:U:2.756316800000000E+05,EX_glc__D_e:U:5.331769300000000E+05,EX_fe2_e:U:2.566000000000000E+01,EX_inost_e:U:3.605907826755740E+02,EX_nac_e:U:4.116824495868059E+01,EX_o2_e:U:1.596844140000000E+06,EX_pi_e:U:2.029818148474295E+04,EX_so4_e:U:5.881330703660968E+03,EX_thm_e:U:2.541534751448682E+00,EX_k_e:U:2.235663835411198E+04,EX_fe3_e:U:1.960614272813612E-02,EX_ca2_e:U:4.859131549831169E+01,EX_cobalt2_e:U:1.789054515345139E+00,EX_cu2_e:U:4.225030012414060E+00,EX_mg2_e:U:2.372965271691622E+03,EX_mn2_e:U:5.445707215550625E+00,EX_ni2_e:U:3.463506133208961E-02,EX_zn2_e:U:6.943828451873414E+01,EX_btn_c:U:9.410049758786001E-01</t>
  </si>
  <si>
    <t>Simulation_settings from RBA kapp calculations, to ensure consistency</t>
  </si>
  <si>
    <t>EX_o2_e:U:15.9684414</t>
  </si>
  <si>
    <t>Status</t>
  </si>
  <si>
    <t>Substrate uptake rate</t>
  </si>
  <si>
    <t>Growth rate</t>
  </si>
  <si>
    <t>Extra info (if any)</t>
  </si>
  <si>
    <t>optimal</t>
  </si>
  <si>
    <t>NH4 uptake: -0.1067910599999995</t>
  </si>
  <si>
    <t>NH4 uptake: -0.2135821199999991</t>
  </si>
  <si>
    <t>NH4 uptake: -0.3203731799999967</t>
  </si>
  <si>
    <t>NH4 uptake: -0.42716423999999753</t>
  </si>
  <si>
    <t>NH4 uptake: -0.6941418899999905</t>
  </si>
  <si>
    <t>NH4 uptake: -0.8009329499999909</t>
  </si>
  <si>
    <t>NH4 uptake: -1.0145150699999936</t>
  </si>
  <si>
    <t>Glucose uptake flux</t>
  </si>
  <si>
    <t>min glc flux est</t>
  </si>
  <si>
    <t>glc error</t>
  </si>
  <si>
    <t>glc min</t>
  </si>
  <si>
    <t>glc avg of min+max</t>
  </si>
  <si>
    <t>Cell mass</t>
  </si>
  <si>
    <t>ATP hydrolysis flux (calculated)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</si>
</sst>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8" x14ac:knownFonts="1">
    <font>
      <sz val="10"/>
      <name val="Arial"/>
      <family val="2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"/>
    </font>
    <font>
      <b/>
      <u/>
      <sz val="10"/>
      <name val="Arial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</font>
    <font>
      <u/>
      <sz val="10"/>
      <color theme="10"/>
      <name val="Arial"/>
      <family val="2"/>
      <charset val="1"/>
    </font>
    <font>
      <b/>
      <i/>
      <sz val="7"/>
      <color rgb="FF1F1F1F"/>
      <name val="Georgia"/>
      <family val="1"/>
    </font>
    <font>
      <b/>
      <sz val="7"/>
      <color rgb="FF1F1F1F"/>
      <name val="Georgia"/>
      <family val="1"/>
    </font>
    <font>
      <b/>
      <sz val="5"/>
      <color rgb="FF1F1F1F"/>
      <name val="Georgia"/>
      <family val="1"/>
    </font>
    <font>
      <b/>
      <i/>
      <sz val="5"/>
      <color rgb="FF1F1F1F"/>
      <name val="Georgia"/>
      <family val="1"/>
    </font>
    <font>
      <sz val="7"/>
      <color rgb="FF1F1F1F"/>
      <name val="Georgia"/>
      <family val="1"/>
    </font>
    <font>
      <b/>
      <sz val="14"/>
      <color rgb="FF1F1F1F"/>
      <name val="Georgia"/>
      <family val="1"/>
    </font>
    <font>
      <b/>
      <i/>
      <sz val="14"/>
      <color rgb="FF1F1F1F"/>
      <name val="Georgia"/>
      <family val="1"/>
    </font>
    <font>
      <b/>
      <sz val="11"/>
      <color rgb="FF1F1F1F"/>
      <name val="Georgia"/>
      <family val="1"/>
    </font>
    <font>
      <sz val="14"/>
      <color rgb="FF1F1F1F"/>
      <name val="Georgia"/>
      <family val="1"/>
    </font>
    <font>
      <sz val="10"/>
      <color rgb="FF1F1F1F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8E8E8E"/>
      </top>
      <bottom/>
      <diagonal/>
    </border>
    <border>
      <left style="thin">
        <color theme="9"/>
      </left>
      <right style="thin">
        <color theme="9"/>
      </right>
      <top style="medium">
        <color rgb="FF8E8E8E"/>
      </top>
      <bottom style="medium">
        <color theme="9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right"/>
    </xf>
    <xf numFmtId="0" fontId="1" fillId="0" borderId="0" xfId="2"/>
    <xf numFmtId="0" fontId="6" fillId="0" borderId="0" xfId="0" applyFont="1"/>
    <xf numFmtId="0" fontId="7" fillId="0" borderId="0" xfId="3"/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" fillId="0" borderId="0" xfId="2" applyAlignment="1">
      <alignment wrapText="1"/>
    </xf>
    <xf numFmtId="0" fontId="14" fillId="0" borderId="0" xfId="0" applyFont="1"/>
    <xf numFmtId="0" fontId="13" fillId="0" borderId="0" xfId="0" applyFont="1"/>
    <xf numFmtId="0" fontId="16" fillId="0" borderId="0" xfId="0" applyFont="1"/>
    <xf numFmtId="0" fontId="17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0" fillId="2" borderId="0" xfId="0" applyFill="1"/>
    <xf numFmtId="0" fontId="9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12" fillId="2" borderId="0" xfId="0" applyFont="1" applyFill="1" applyAlignment="1">
      <alignment vertical="center"/>
    </xf>
  </cellXfs>
  <cellStyles count="4">
    <cellStyle name="Hyperlink" xfId="3" builtinId="8"/>
    <cellStyle name="Normal" xfId="0" builtinId="0"/>
    <cellStyle name="Normal 2" xfId="1" xr:uid="{00000000-0005-0000-0000-000006000000}"/>
    <cellStyle name="Normal 3" xfId="2" xr:uid="{CE232334-2655-4889-87FA-A91AA958C6DF}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Georgia"/>
        <family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Georgia"/>
        <family val="1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Georgia"/>
        <family val="1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Georgia"/>
        <family val="1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Georgia"/>
        <family val="1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Georgia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Georgia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Georgia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Georgia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Georgia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Georgia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Georgia"/>
        <family val="1"/>
        <scheme val="none"/>
      </font>
      <alignment horizontal="left" vertical="center" textRotation="0" wrapText="1" indent="0" justifyLastLine="0" shrinkToFit="0" readingOrder="0"/>
    </dxf>
    <dxf>
      <border outline="0">
        <top style="medium">
          <color rgb="FF8E8E8E"/>
        </top>
        <bottom style="medium">
          <color rgb="FF8E8E8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Georgia"/>
        <family val="1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Georgia"/>
        <family val="1"/>
        <scheme val="none"/>
      </font>
      <alignment horizontal="left" vertical="center" textRotation="0" wrapText="1" indent="0" justifyLastLine="0" shrinkToFit="0" readingOrder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Georgia"/>
        <family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Georgia"/>
        <family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Georgia"/>
        <family val="1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Georgia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Georgia"/>
        <family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Georgia"/>
        <family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Georgia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Georgia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Georgia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Georgia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Georgia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Georgia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Georgia"/>
        <family val="1"/>
        <scheme val="none"/>
      </font>
      <alignment horizontal="general" vertical="center" textRotation="0" wrapText="1" indent="0" justifyLastLine="0" shrinkToFit="0" readingOrder="0"/>
    </dxf>
    <dxf>
      <border outline="0">
        <top style="medium">
          <color rgb="FF8E8E8E"/>
        </top>
        <bottom style="medium">
          <color rgb="FF8E8E8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Georgia"/>
        <family val="1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1F1F1F"/>
        <name val="Georgia"/>
        <family val="1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'plotting results'!$D$1</c:f>
              <c:strCache>
                <c:ptCount val="1"/>
                <c:pt idx="0">
                  <c:v>ATP hydrolysis flux (calculated)</c:v>
                </c:pt>
              </c:strCache>
            </c:strRef>
          </c:tx>
          <c:spPr>
            <a:ln w="12700" cap="rnd">
              <a:noFill/>
              <a:prstDash val="sysDash"/>
              <a:round/>
            </a:ln>
            <a:effectLst/>
          </c:spPr>
          <c:marker>
            <c:symbol val="square"/>
            <c:size val="3"/>
            <c:spPr>
              <a:solidFill>
                <a:schemeClr val="accent2"/>
              </a:solidFill>
              <a:ln w="6350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alpha val="50000"/>
                  </a:schemeClr>
                </a:solidFill>
                <a:prstDash val="sysDash"/>
              </a:ln>
              <a:effectLst/>
            </c:spPr>
            <c:trendlineType val="linear"/>
            <c:backward val="0.02"/>
            <c:dispRSqr val="0"/>
            <c:dispEq val="0"/>
          </c:trendline>
          <c:xVal>
            <c:numRef>
              <c:f>'plotting results'!$C$2:$C$8</c:f>
              <c:numCache>
                <c:formatCode>General</c:formatCode>
                <c:ptCount val="7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0.13</c:v>
                </c:pt>
                <c:pt idx="5">
                  <c:v>0.15</c:v>
                </c:pt>
                <c:pt idx="6">
                  <c:v>0.19</c:v>
                </c:pt>
              </c:numCache>
            </c:numRef>
          </c:xVal>
          <c:yVal>
            <c:numRef>
              <c:f>'plotting results'!$D$2:$D$8</c:f>
              <c:numCache>
                <c:formatCode>General</c:formatCode>
                <c:ptCount val="7"/>
                <c:pt idx="0">
                  <c:v>5.1276999999999999</c:v>
                </c:pt>
                <c:pt idx="1">
                  <c:v>10.0753</c:v>
                </c:pt>
                <c:pt idx="2">
                  <c:v>14.9131</c:v>
                </c:pt>
                <c:pt idx="3">
                  <c:v>17.616499999999998</c:v>
                </c:pt>
                <c:pt idx="4">
                  <c:v>30.219100000000001</c:v>
                </c:pt>
                <c:pt idx="5">
                  <c:v>33.331600000000002</c:v>
                </c:pt>
                <c:pt idx="6">
                  <c:v>41.883800000000001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74-8245-B7AD-B985B1067286}"/>
            </c:ext>
          </c:extLst>
        </c:ser>
        <c:ser>
          <c:idx val="1"/>
          <c:order val="2"/>
          <c:tx>
            <c:strRef>
              <c:f>'plotting results'!$G$1</c:f>
              <c:strCache>
                <c:ptCount val="1"/>
                <c:pt idx="0">
                  <c:v>Glucose uptake flux</c:v>
                </c:pt>
              </c:strCache>
            </c:strRef>
          </c:tx>
          <c:spPr>
            <a:ln w="12700" cap="rnd">
              <a:solidFill>
                <a:schemeClr val="accent6">
                  <a:alpha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'plotting results'!$K$2:$K$8</c:f>
                <c:numCache>
                  <c:formatCode>General</c:formatCode>
                  <c:ptCount val="7"/>
                  <c:pt idx="0">
                    <c:v>3.8069018636736063E-3</c:v>
                  </c:pt>
                  <c:pt idx="1">
                    <c:v>1.2620109685411829E-2</c:v>
                  </c:pt>
                  <c:pt idx="2">
                    <c:v>1.5713773270679743E-2</c:v>
                  </c:pt>
                  <c:pt idx="3">
                    <c:v>1.5295990260166925E-2</c:v>
                  </c:pt>
                  <c:pt idx="4">
                    <c:v>2.9096646705472518E-2</c:v>
                  </c:pt>
                  <c:pt idx="5">
                    <c:v>1.4650059879677046E-2</c:v>
                  </c:pt>
                  <c:pt idx="6">
                    <c:v>2.9742687644095822E-2</c:v>
                  </c:pt>
                </c:numCache>
              </c:numRef>
            </c:plus>
            <c:minus>
              <c:numRef>
                <c:f>'plotting results'!$K$2:$K$8</c:f>
                <c:numCache>
                  <c:formatCode>General</c:formatCode>
                  <c:ptCount val="7"/>
                  <c:pt idx="0">
                    <c:v>3.8069018636736063E-3</c:v>
                  </c:pt>
                  <c:pt idx="1">
                    <c:v>1.2620109685411829E-2</c:v>
                  </c:pt>
                  <c:pt idx="2">
                    <c:v>1.5713773270679743E-2</c:v>
                  </c:pt>
                  <c:pt idx="3">
                    <c:v>1.5295990260166925E-2</c:v>
                  </c:pt>
                  <c:pt idx="4">
                    <c:v>2.9096646705472518E-2</c:v>
                  </c:pt>
                  <c:pt idx="5">
                    <c:v>1.4650059879677046E-2</c:v>
                  </c:pt>
                  <c:pt idx="6">
                    <c:v>2.9742687644095822E-2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errBars>
          <c:xVal>
            <c:numRef>
              <c:f>'plotting results'!$C$2:$C$8</c:f>
              <c:numCache>
                <c:formatCode>General</c:formatCode>
                <c:ptCount val="7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0.13</c:v>
                </c:pt>
                <c:pt idx="5">
                  <c:v>0.15</c:v>
                </c:pt>
                <c:pt idx="6">
                  <c:v>0.19</c:v>
                </c:pt>
              </c:numCache>
            </c:numRef>
          </c:xVal>
          <c:yVal>
            <c:numRef>
              <c:f>'plotting results'!$L$2:$L$8</c:f>
              <c:numCache>
                <c:formatCode>General</c:formatCode>
                <c:ptCount val="7"/>
                <c:pt idx="0">
                  <c:v>0.28551763977552841</c:v>
                </c:pt>
                <c:pt idx="1">
                  <c:v>0.56159488100082122</c:v>
                </c:pt>
                <c:pt idx="2">
                  <c:v>0.84068686998135922</c:v>
                </c:pt>
                <c:pt idx="3">
                  <c:v>1.0707193182116232</c:v>
                </c:pt>
                <c:pt idx="4">
                  <c:v>1.7748954490337774</c:v>
                </c:pt>
                <c:pt idx="5">
                  <c:v>2.0290332933354129</c:v>
                </c:pt>
                <c:pt idx="6">
                  <c:v>2.5506394452263743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874-8245-B7AD-B985B1067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530687"/>
        <c:axId val="584975423"/>
      </c:scatterChart>
      <c:scatterChart>
        <c:scatterStyle val="lineMarker"/>
        <c:varyColors val="0"/>
        <c:ser>
          <c:idx val="2"/>
          <c:order val="1"/>
          <c:tx>
            <c:strRef>
              <c:f>'plotting results'!$H$1</c:f>
              <c:strCache>
                <c:ptCount val="1"/>
                <c:pt idx="0">
                  <c:v>Cell mass</c:v>
                </c:pt>
              </c:strCache>
            </c:strRef>
          </c:tx>
          <c:spPr>
            <a:ln w="12700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'plotting results'!$C$2:$C$8</c:f>
              <c:numCache>
                <c:formatCode>General</c:formatCode>
                <c:ptCount val="7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0.13</c:v>
                </c:pt>
                <c:pt idx="5">
                  <c:v>0.15</c:v>
                </c:pt>
                <c:pt idx="6">
                  <c:v>0.19</c:v>
                </c:pt>
              </c:numCache>
            </c:numRef>
          </c:xVal>
          <c:yVal>
            <c:numRef>
              <c:f>'plotting results'!$H$2:$H$8</c:f>
              <c:numCache>
                <c:formatCode>General</c:formatCode>
                <c:ptCount val="7"/>
                <c:pt idx="0">
                  <c:v>5.25</c:v>
                </c:pt>
                <c:pt idx="1">
                  <c:v>5.34</c:v>
                </c:pt>
                <c:pt idx="2">
                  <c:v>5.35</c:v>
                </c:pt>
                <c:pt idx="3">
                  <c:v>5.6</c:v>
                </c:pt>
                <c:pt idx="4">
                  <c:v>5.49</c:v>
                </c:pt>
                <c:pt idx="5">
                  <c:v>5.54</c:v>
                </c:pt>
                <c:pt idx="6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874-8245-B7AD-B985B1067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415823"/>
        <c:axId val="584760015"/>
      </c:scatterChart>
      <c:valAx>
        <c:axId val="584530687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+mn-lt"/>
                  </a:rPr>
                  <a:t>Dilution rate (h</a:t>
                </a:r>
                <a:r>
                  <a:rPr lang="en-US" sz="1000" b="0" i="0" u="none" strike="noStrike" baseline="30000">
                    <a:effectLst/>
                    <a:latin typeface="+mn-lt"/>
                    <a:cs typeface="Calibri" panose="020F0502020204030204" pitchFamily="34" charset="0"/>
                  </a:rPr>
                  <a:t>-1</a:t>
                </a:r>
                <a:r>
                  <a:rPr lang="en-US">
                    <a:latin typeface="+mn-lt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975423"/>
        <c:crosses val="autoZero"/>
        <c:crossBetween val="midCat"/>
      </c:valAx>
      <c:valAx>
        <c:axId val="58497542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Flux </a:t>
                </a:r>
                <a:r>
                  <a:rPr lang="en-US" baseline="0"/>
                  <a:t>(</a:t>
                </a:r>
                <a:r>
                  <a:rPr lang="en-US" sz="1000" b="0" i="0" u="none" strike="noStrike" baseline="0">
                    <a:effectLst/>
                  </a:rPr>
                  <a:t>mmol gDW</a:t>
                </a:r>
                <a:r>
                  <a:rPr lang="en-US" sz="1000" b="0" i="0" u="none" strike="noStrike" baseline="30000">
                    <a:effectLst/>
                  </a:rPr>
                  <a:t>-1</a:t>
                </a:r>
                <a:r>
                  <a:rPr lang="en-US" sz="1000" b="0" i="0" u="none" strike="noStrike" baseline="0">
                    <a:effectLst/>
                  </a:rPr>
                  <a:t> h</a:t>
                </a:r>
                <a:r>
                  <a:rPr lang="en-US" sz="1000" b="0" i="0" u="none" strike="noStrike" baseline="30000">
                    <a:effectLst/>
                  </a:rPr>
                  <a:t>-1</a:t>
                </a:r>
                <a:r>
                  <a:rPr lang="en-US" sz="1000" b="0" i="0" u="none" strike="noStrike" baseline="0">
                    <a:effectLst/>
                  </a:rPr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30687"/>
        <c:crosses val="autoZero"/>
        <c:crossBetween val="midCat"/>
      </c:valAx>
      <c:valAx>
        <c:axId val="58476001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Cell mass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415823"/>
        <c:crosses val="max"/>
        <c:crossBetween val="midCat"/>
      </c:valAx>
      <c:valAx>
        <c:axId val="58441582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4760015"/>
        <c:crossBetween val="midCat"/>
      </c:valAx>
      <c:spPr>
        <a:noFill/>
        <a:ln>
          <a:noFill/>
        </a:ln>
        <a:effectLst/>
      </c:spPr>
    </c:plotArea>
    <c:legend>
      <c:legendPos val="l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590550</xdr:colOff>
      <xdr:row>1</xdr:row>
      <xdr:rowOff>25400</xdr:rowOff>
    </xdr:from>
    <xdr:to>
      <xdr:col>17</xdr:col>
      <xdr:colOff>209550</xdr:colOff>
      <xdr:row>17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5E6D15-6B2A-9A3F-F92A-08E9744B99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ooney, Eric James" id="{FAAC267A-8437-4559-8FD3-2687532E7397}" userId="S::ejm6426@psu.edu::459e8eda-b576-4c3c-9900-d76ade15b4b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E2F91B-9ABB-4BBA-8BFB-D8BA5C5E6B21}" name="Table2" displayName="Table2" ref="A15:L22" totalsRowShown="0" headerRowDxfId="14" dataDxfId="13" tableBorderDxfId="12">
  <autoFilter ref="A15:L22" xr:uid="{54E2F91B-9ABB-4BBA-8BFB-D8BA5C5E6B21}"/>
  <tableColumns count="12">
    <tableColumn id="1" xr3:uid="{DE9D043B-F520-402A-A5AF-ED75CF7B96DF}" name="D (h−1)" dataDxfId="11"/>
    <tableColumn id="2" xr3:uid="{7E98E99D-9E77-4F26-90C6-6FA527ECF117}" name="Cell mass (g/L)" dataDxfId="10"/>
    <tableColumn id="3" xr3:uid="{C45DC83C-0CA7-462B-AB18-73504812C824}" name="Residual glucose (g/L)" dataDxfId="9"/>
    <tableColumn id="4" xr3:uid="{810E63B6-13BF-4A3A-9E6F-BC7D97775B8F}" name="Nitrogen (g/L)" dataDxfId="8"/>
    <tableColumn id="5" xr3:uid="{C4CCEA2D-2E19-4C9C-9CDF-723BAE433D77}" name="Lipid content (%)" dataDxfId="7"/>
    <tableColumn id="6" xr3:uid="{3B8BBC23-DDE0-4221-BA98-ECA394BE6459}" name="YX/S (g/g)" dataDxfId="6"/>
    <tableColumn id="7" xr3:uid="{E70BD88D-6DEB-4ECA-A933-4F18B5854DF7}" name="Productivity (g/L/h)" dataDxfId="5"/>
    <tableColumn id="8" xr3:uid="{BBCEA16F-855E-DE43-8975-39E266CC7495}" name="Glucose consumption flux (mmol/gDW/h)" dataDxfId="4">
      <calculatedColumnFormula>($AB$12-R16+S16)*(1000/180.156)*(1/(P16-Q16))*Table2[[#This Row],[D (h−1)]]</calculatedColumnFormula>
    </tableColumn>
    <tableColumn id="9" xr3:uid="{5D3F83BA-C89D-C044-BC7A-A68EC89338EA}" name="Ammonium consumption flux (mmol/gDW/h)" dataDxfId="3">
      <calculatedColumnFormula>($AD$12-T16+U16)*(1000/18.039)*(1/(P16-Q16))*Table2[[#This Row],[D (h−1)]]</calculatedColumnFormula>
    </tableColumn>
    <tableColumn id="10" xr3:uid="{B2556086-E2B3-CB40-B10E-A505FCCE3350}" name="C substrate text for file" dataDxfId="2">
      <calculatedColumnFormula>"EX_glc__D_e:U:"&amp;Table2[[#This Row],[Glucose consumption flux (mmol/gDW/h)]]</calculatedColumnFormula>
    </tableColumn>
    <tableColumn id="11" xr3:uid="{18230255-3E48-C04C-8C52-E064BB2C9AA6}" name="N substrate text for file" dataDxfId="1">
      <calculatedColumnFormula>"EX_nh4_e:U:"&amp;Table2[[#This Row],[Ammonium consumption flux (mmol/gDW/h)]]</calculatedColumnFormula>
    </tableColumn>
    <tableColumn id="12" xr3:uid="{D7B9D7B9-2FC7-DA47-B2B1-AB8F54B34B8C}" name="min glc flux est" dataDxfId="0">
      <calculatedColumnFormula>($AB$12-R16-S16)*(1000/180.156)*(1/(P16+Q16))*Table2[[#This Row],[D (h−1)]]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3B526A-C2F2-40FA-AA87-0AA06B67D131}" name="Table3" displayName="Table3" ref="A24:M33" totalsRowShown="0" headerRowDxfId="32" dataDxfId="31" tableBorderDxfId="30">
  <autoFilter ref="A24:M33" xr:uid="{143B526A-C2F2-40FA-AA87-0AA06B67D131}"/>
  <tableColumns count="13">
    <tableColumn id="1" xr3:uid="{15C2359A-5419-4F82-8090-5C019CC7FC98}" name="D (h−1)" dataDxfId="29"/>
    <tableColumn id="2" xr3:uid="{FE93C7C4-0837-403A-8528-9DBC335EC31B}" name="Consumed C/N (mol/mol)" dataDxfId="28"/>
    <tableColumn id="3" xr3:uid="{5C6C0579-FD59-49B3-847E-AC63A85CD156}" name="Cell mass (g/L)" dataDxfId="27"/>
    <tableColumn id="4" xr3:uid="{FC8A91E1-DA40-451E-93D8-B2F8733C7392}" name="Residual glucose (g/L)" dataDxfId="26"/>
    <tableColumn id="5" xr3:uid="{AE264EBD-F81C-4A2D-9661-22F8782D8166}" name="Lipid content (%)" dataDxfId="25"/>
    <tableColumn id="6" xr3:uid="{61D2C211-BBCF-40C7-9D10-1D6512F8F441}" name="Lipid (g/L)" dataDxfId="24"/>
    <tableColumn id="7" xr3:uid="{AF801E02-689C-4F6B-9506-C87D4D54502B}" name="Non-lipid cell mass (g/L)" dataDxfId="23"/>
    <tableColumn id="8" xr3:uid="{7C744173-CB65-E046-BA19-D40445A4A20C}" name="Glucose consumption flux (mmol/gDW/h)" dataDxfId="22">
      <calculatedColumnFormula>($AB$13-V25+W25)*(1000/180.156)*(1/(R25-S25))*Table3[[#This Row],[D (h−1)]]</calculatedColumnFormula>
    </tableColumn>
    <tableColumn id="9" xr3:uid="{553A1C86-D6CD-0945-A6C4-E9216EB8EB6D}" name="Ammonium consumption flux (mmol/gDW/h)" dataDxfId="21">
      <calculatedColumnFormula>Table3[[#This Row],[Glucose consumption flux (mmol/gDW/h)]]/(P25-Q25)</calculatedColumnFormula>
    </tableColumn>
    <tableColumn id="10" xr3:uid="{56961AEB-0C22-AD46-8E2F-DBF599994045}" name="C substrate text for file" dataDxfId="20"/>
    <tableColumn id="11" xr3:uid="{9C229626-D4C4-DB45-9BE1-08005ABE814D}" name="N substrate text for file" dataDxfId="19">
      <calculatedColumnFormula>"EX_nh4_e:L:-"&amp;Table3[[#This Row],[Ammonium consumption flux (mmol/gDW/h)]]&amp;","&amp;Table3[[#This Row],[lipid content text for file]]</calculatedColumnFormula>
    </tableColumn>
    <tableColumn id="12" xr3:uid="{A9F668B6-C2C8-3247-B9A6-325E027EB2DA}" name="lipid content text for file" dataDxfId="18">
      <calculatedColumnFormula>"new_lipid_frac="&amp;AE25+(Y25/1000)</calculatedColumnFormula>
    </tableColumn>
    <tableColumn id="14" xr3:uid="{9908A305-1001-3047-8B81-6F08C7340E69}" name="q_s (g glc/g non-lipid cell mass/h)" dataDxfId="17">
      <calculatedColumnFormula>Table3[[#This Row],[Glucose consumption flux (mmol/gDW/h)]]*(180.156/1000)*(T25/AB25)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6882BB-A283-4A82-A7D6-E941606D15FD}" name="Table1" displayName="Table1" ref="A1:Z18" totalsRowShown="0" headerRowDxfId="16">
  <autoFilter ref="A1:Z18" xr:uid="{9D6882BB-A283-4A82-A7D6-E941606D15FD}"/>
  <tableColumns count="26">
    <tableColumn id="1" xr3:uid="{7F8BD353-1763-49DE-8C5A-12CBB6030093}" name="Dataset"/>
    <tableColumn id="2" xr3:uid="{63F78AE1-A56A-489E-8CE6-64BAE8C7B6A4}" name="Year"/>
    <tableColumn id="3" xr3:uid="{DEA91BBE-46F3-4B52-A5A0-BEB6A4327C69}" name="Group"/>
    <tableColumn id="4" xr3:uid="{C155EDD3-C255-4AC9-B8A1-C7943F539DE6}" name="pmid"/>
    <tableColumn id="5" xr3:uid="{18057AC7-530E-440A-B25C-5CB3C2894201}" name="Simulation_settings"/>
    <tableColumn id="6" xr3:uid="{7A8969B0-7DC3-468D-818D-11B3049B19A7}" name="Growth_rate" dataCellStyle="Normal 3"/>
    <tableColumn id="7" xr3:uid="{8F2D2DDE-48A2-4640-BB82-1E7CA3C5C406}" name="Oxy"/>
    <tableColumn id="8" xr3:uid="{FC80EC12-87E5-4954-9E54-D35263C91C05}" name="Substrate_uptake"/>
    <tableColumn id="9" xr3:uid="{71B4CC3E-32B5-4A65-8D0C-99B893F07B6F}" name="Oxy_uptake"/>
    <tableColumn id="10" xr3:uid="{C8092BA3-7952-4B32-A125-8F0A2E661942}" name="Secretions"/>
    <tableColumn id="11" xr3:uid="{BD03FD70-09E0-43A0-858C-ADEF920AF1EB}" name="Mean_value_adjustment"/>
    <tableColumn id="12" xr3:uid="{EBE6B3F2-163A-4828-92A6-B153722CE952}" name="Column1"/>
    <tableColumn id="13" xr3:uid="{50FD6376-3780-4FCB-B6A7-6DBD2DB47E3B}" name="maxATPM_FBA"/>
    <tableColumn id="14" xr3:uid="{214F1804-67A1-41E4-A6C1-EF2EA96145CB}" name="maxATPM_RBA"/>
    <tableColumn id="15" xr3:uid="{EF3DB2B9-9F36-4EA5-A4E7-2788D44F9829}" name="Column2"/>
    <tableColumn id="16" xr3:uid="{49B3F7A5-C71F-4B39-92C0-4F2D8FA9AF50}" name="Remove_tag"/>
    <tableColumn id="17" xr3:uid="{A2FC3453-3E64-49E0-AF50-8B9C1286BF0D}" name="Note"/>
    <tableColumn id="18" xr3:uid="{FE705C27-8850-4AF1-BFE2-A672A8D46AED}" name="Culture"/>
    <tableColumn id="19" xr3:uid="{A2261B6E-8857-4C29-AC8E-F3DDB72A95A2}" name="Substrate conc (g/L)"/>
    <tableColumn id="20" xr3:uid="{36EDA862-6E18-47C6-B3AE-A7050FD4433D}" name="Rpm"/>
    <tableColumn id="21" xr3:uid="{6D3CE1B2-8C98-4FB5-B98B-EDDFE35B5EEF}" name="Aero_vvm"/>
    <tableColumn id="22" xr3:uid="{F485DFF4-1732-4E2B-937E-8C0E35549A58}" name="Working volume (L)"/>
    <tableColumn id="23" xr3:uid="{60C16B19-08C0-4EA2-9AC5-667BFF69D464}" name="Controlled_O2_saturation (%)"/>
    <tableColumn id="24" xr3:uid="{BB339E8C-4939-4E74-B9BF-7D6751C9684F}" name="Column3"/>
    <tableColumn id="25" xr3:uid="{C7EBA68E-B5CC-4AA6-941E-2DA0945722B7}" name="Single_point_GAM" dataDxfId="15">
      <calculatedColumnFormula>IFERROR((Table1[[#This Row],[maxATPM_FBA]]-1.2)/Table1[[#This Row],[Growth_rate]],0)</calculatedColumnFormula>
    </tableColumn>
    <tableColumn id="26" xr3:uid="{01E48053-BEFE-4D32-AA2C-9F03D07277F6}" name="Stra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4-03-07T19:01:06.00" personId="{FAAC267A-8437-4559-8FD3-2687532E7397}" id="{DC38C332-3B6C-47A5-86D7-4B0D17263107}">
    <text xml:space="preserve">For extra settings; see the maxATPM_calculation.ipynb script for how these get used </text>
  </threadedComment>
  <threadedComment ref="G1" dT="2024-03-07T19:02:15.50" personId="{FAAC267A-8437-4559-8FD3-2687532E7397}" id="{C7594E09-F765-44C9-B949-DC6E0010EAE6}">
    <text>Aerobic or not? True by default; enter FALSE if not</text>
  </threadedComment>
  <threadedComment ref="L1" dT="2024-03-07T19:09:04.30" personId="{FAAC267A-8437-4559-8FD3-2687532E7397}" id="{C68B29D2-82DD-4289-8C3E-23B3C5E190FD}">
    <text>Leave blank; use script results to fill it</text>
  </threadedComment>
  <threadedComment ref="M1" dT="2024-03-07T19:09:26.76" personId="{FAAC267A-8437-4559-8FD3-2687532E7397}" id="{9732DBEC-4DFB-425F-A8E0-BD7205C3FB55}">
    <text>Leave blank; use script to fill it</text>
  </threadedComment>
  <threadedComment ref="S1" dT="2024-03-07T19:11:28.59" personId="{FAAC267A-8437-4559-8FD3-2687532E7397}" id="{D7870E77-DC51-4F62-8E7C-C6D713AAE38B}">
    <text>Not used in script but possibly helpful</text>
  </threadedComment>
  <threadedComment ref="W1" dT="2024-03-07T19:14:55.60" personId="{FAAC267A-8437-4559-8FD3-2687532E7397}" id="{D2455079-6730-4602-A60B-868254324A48}">
    <text>Not used in script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https://www.sciencedirect.com/science/article/pii/S0168165613003490?via%3Dihu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4"/>
  <sheetViews>
    <sheetView topLeftCell="L2" zoomScale="108" zoomScaleNormal="150" workbookViewId="0">
      <selection activeCell="M16" sqref="M16"/>
    </sheetView>
  </sheetViews>
  <sheetFormatPr baseColWidth="10" defaultColWidth="11.83203125" defaultRowHeight="13" x14ac:dyDescent="0.15"/>
  <cols>
    <col min="2" max="2" width="21.6640625" customWidth="1"/>
    <col min="3" max="4" width="18.83203125" customWidth="1"/>
    <col min="5" max="5" width="15.5" customWidth="1"/>
    <col min="7" max="13" width="20.6640625" customWidth="1"/>
    <col min="17" max="17" width="11.83203125" customWidth="1"/>
    <col min="19" max="19" width="4.6640625" customWidth="1"/>
    <col min="21" max="21" width="4.6640625" bestFit="1" customWidth="1"/>
    <col min="23" max="23" width="4.6640625" bestFit="1" customWidth="1"/>
    <col min="25" max="25" width="4.6640625" bestFit="1" customWidth="1"/>
    <col min="27" max="27" width="4.83203125" bestFit="1" customWidth="1"/>
  </cols>
  <sheetData>
    <row r="1" spans="1:30" x14ac:dyDescent="0.15">
      <c r="A1" s="8" t="s">
        <v>10</v>
      </c>
      <c r="C1" t="s">
        <v>1</v>
      </c>
    </row>
    <row r="2" spans="1:30" x14ac:dyDescent="0.15">
      <c r="A2" t="s">
        <v>37</v>
      </c>
    </row>
    <row r="3" spans="1:30" x14ac:dyDescent="0.15">
      <c r="A3" s="1" t="s">
        <v>0</v>
      </c>
      <c r="C3" t="s">
        <v>1</v>
      </c>
    </row>
    <row r="4" spans="1:30" x14ac:dyDescent="0.15">
      <c r="A4" t="s">
        <v>36</v>
      </c>
    </row>
    <row r="5" spans="1:30" x14ac:dyDescent="0.15">
      <c r="A5" t="s">
        <v>2</v>
      </c>
    </row>
    <row r="6" spans="1:30" x14ac:dyDescent="0.15">
      <c r="A6" t="s">
        <v>3</v>
      </c>
    </row>
    <row r="7" spans="1:30" x14ac:dyDescent="0.15">
      <c r="A7" t="s">
        <v>4</v>
      </c>
    </row>
    <row r="9" spans="1:30" x14ac:dyDescent="0.15">
      <c r="A9" s="1" t="s">
        <v>5</v>
      </c>
    </row>
    <row r="10" spans="1:30" x14ac:dyDescent="0.15">
      <c r="A10" t="s">
        <v>35</v>
      </c>
      <c r="O10" t="s">
        <v>160</v>
      </c>
    </row>
    <row r="11" spans="1:30" ht="42" x14ac:dyDescent="0.15">
      <c r="O11" t="s">
        <v>159</v>
      </c>
      <c r="AB11" s="21" t="s">
        <v>149</v>
      </c>
      <c r="AC11" s="21" t="s">
        <v>150</v>
      </c>
      <c r="AD11" t="s">
        <v>151</v>
      </c>
    </row>
    <row r="12" spans="1:30" x14ac:dyDescent="0.15">
      <c r="A12" s="8" t="s">
        <v>38</v>
      </c>
      <c r="AA12" t="s">
        <v>152</v>
      </c>
      <c r="AB12">
        <v>13.5</v>
      </c>
      <c r="AC12">
        <v>5</v>
      </c>
      <c r="AD12">
        <f>AC12*((18.039*2)/132.14)</f>
        <v>1.3651430301195706</v>
      </c>
    </row>
    <row r="13" spans="1:30" x14ac:dyDescent="0.15">
      <c r="A13" t="s">
        <v>40</v>
      </c>
      <c r="B13" s="9" t="s">
        <v>39</v>
      </c>
      <c r="O13" t="s">
        <v>81</v>
      </c>
      <c r="AA13" t="s">
        <v>153</v>
      </c>
      <c r="AB13">
        <v>36</v>
      </c>
      <c r="AC13">
        <v>1</v>
      </c>
      <c r="AD13">
        <f>AC13*((18.039*2)/132.14)</f>
        <v>0.2730286060239141</v>
      </c>
    </row>
    <row r="14" spans="1:30" ht="14" thickBot="1" x14ac:dyDescent="0.2">
      <c r="A14" t="s">
        <v>144</v>
      </c>
      <c r="H14" s="22" t="s">
        <v>156</v>
      </c>
      <c r="I14" s="22"/>
      <c r="J14" s="22"/>
      <c r="K14" s="22"/>
      <c r="L14" s="22"/>
      <c r="M14" s="22"/>
    </row>
    <row r="15" spans="1:30" ht="22" x14ac:dyDescent="0.15">
      <c r="A15" s="14" t="s">
        <v>41</v>
      </c>
      <c r="B15" s="15" t="s">
        <v>42</v>
      </c>
      <c r="C15" s="15" t="s">
        <v>43</v>
      </c>
      <c r="D15" s="15" t="s">
        <v>44</v>
      </c>
      <c r="E15" s="15" t="s">
        <v>45</v>
      </c>
      <c r="F15" s="14" t="s">
        <v>46</v>
      </c>
      <c r="G15" s="15" t="s">
        <v>47</v>
      </c>
      <c r="H15" s="23" t="s">
        <v>154</v>
      </c>
      <c r="I15" s="23" t="s">
        <v>155</v>
      </c>
      <c r="J15" s="23" t="s">
        <v>157</v>
      </c>
      <c r="K15" s="23" t="s">
        <v>158</v>
      </c>
      <c r="L15" s="23" t="s">
        <v>214</v>
      </c>
      <c r="M15" s="23"/>
      <c r="O15" s="10" t="s">
        <v>41</v>
      </c>
      <c r="P15" s="11" t="s">
        <v>42</v>
      </c>
      <c r="Q15" s="11" t="s">
        <v>80</v>
      </c>
      <c r="R15" s="11" t="s">
        <v>43</v>
      </c>
      <c r="S15" s="11" t="s">
        <v>80</v>
      </c>
      <c r="T15" s="11" t="s">
        <v>44</v>
      </c>
      <c r="U15" s="11" t="s">
        <v>80</v>
      </c>
      <c r="V15" s="11" t="s">
        <v>45</v>
      </c>
      <c r="W15" s="11" t="s">
        <v>80</v>
      </c>
      <c r="X15" s="10" t="s">
        <v>46</v>
      </c>
      <c r="Y15" s="11" t="s">
        <v>80</v>
      </c>
      <c r="Z15" s="11" t="s">
        <v>47</v>
      </c>
      <c r="AA15" s="11" t="s">
        <v>80</v>
      </c>
    </row>
    <row r="16" spans="1:30" x14ac:dyDescent="0.15">
      <c r="A16" s="12">
        <v>0.02</v>
      </c>
      <c r="B16" s="13" t="s">
        <v>48</v>
      </c>
      <c r="C16" s="12" t="s">
        <v>49</v>
      </c>
      <c r="D16" s="13" t="s">
        <v>50</v>
      </c>
      <c r="E16" s="13" t="s">
        <v>51</v>
      </c>
      <c r="F16" s="13" t="s">
        <v>52</v>
      </c>
      <c r="G16" s="13" t="s">
        <v>53</v>
      </c>
      <c r="H16" s="24">
        <f>($AB$12-R16+S16)*(1000/180.156)*(1/(P16-Q16))*Table2[[#This Row],[D (h−1)]]</f>
        <v>0.28932454163920229</v>
      </c>
      <c r="I16" s="24">
        <f>($AD$12-T16+U16)*(1000/18.039)*(1/(P16-Q16))*Table2[[#This Row],[D (h−1)]]</f>
        <v>0.18517215918910371</v>
      </c>
      <c r="J16" s="27" t="str">
        <f>"EX_glc__D_e:U:"&amp;Table2[[#This Row],[Glucose consumption flux (mmol/gDW/h)]]</f>
        <v>EX_glc__D_e:U:0.289324541639202</v>
      </c>
      <c r="K16" s="25" t="str">
        <f>"EX_nh4_e:U:"&amp;Table2[[#This Row],[Ammonium consumption flux (mmol/gDW/h)]]</f>
        <v>EX_nh4_e:U:0.185172159189104</v>
      </c>
      <c r="L16" s="25">
        <f>($AB$12-R16-S16)*(1000/180.156)*(1/(P16+Q16))*Table2[[#This Row],[D (h−1)]]</f>
        <v>0.2817107379118548</v>
      </c>
      <c r="M16" s="25"/>
      <c r="O16" cm="1">
        <f t="array" ref="O16:O22">Table2[D (h−1)]</f>
        <v>0.02</v>
      </c>
      <c r="P16" cm="1">
        <f t="array" ref="P16:Q22">_xlfn.HSTACK(IFERROR(_xlfn.NUMBERVALUE(_xlfn.TEXTBEFORE(B16:B22," ")),0),IFERROR(_xlfn.NUMBERVALUE(_xlfn.TEXTAFTER(B16:B22," ",-1)),0))</f>
        <v>5.25</v>
      </c>
      <c r="Q16" s="7">
        <v>7.0000000000000007E-2</v>
      </c>
      <c r="R16" s="7" cm="1">
        <f t="array" ref="R16:S22">_xlfn.HSTACK(IFERROR(_xlfn.NUMBERVALUE(_xlfn.TEXTBEFORE(C16:C22," ")),0),IFERROR(_xlfn.NUMBERVALUE(_xlfn.TEXTAFTER(C16:C22," ",-1)),0))</f>
        <v>0</v>
      </c>
      <c r="S16">
        <v>0</v>
      </c>
      <c r="T16" s="7" cm="1">
        <f t="array" ref="T16:U22">_xlfn.HSTACK(IFERROR(_xlfn.NUMBERVALUE(_xlfn.TEXTBEFORE(D16:D22," ")),0),IFERROR(_xlfn.NUMBERVALUE(_xlfn.TEXTAFTER(D16:D22," ",-1)),0))</f>
        <v>0.51</v>
      </c>
      <c r="U16">
        <v>0.01</v>
      </c>
      <c r="V16" s="7" cm="1">
        <f t="array" ref="V16:W22">_xlfn.HSTACK(IFERROR(_xlfn.NUMBERVALUE(_xlfn.TEXTBEFORE(E16:E22," ")),0),IFERROR(_xlfn.NUMBERVALUE(_xlfn.TEXTAFTER(E16:E22," ",-1)),0))</f>
        <v>8.66</v>
      </c>
      <c r="W16">
        <v>0.33</v>
      </c>
      <c r="X16" s="7" cm="1">
        <f t="array" ref="X16:Y22">_xlfn.HSTACK(IFERROR(_xlfn.NUMBERVALUE(_xlfn.TEXTBEFORE(F16:F22," ")),0),IFERROR(_xlfn.NUMBERVALUE(_xlfn.TEXTAFTER(F16:F22," ",-1)),0))</f>
        <v>0.39</v>
      </c>
      <c r="Y16">
        <v>0</v>
      </c>
      <c r="Z16" s="7" cm="1">
        <f t="array" ref="Z16:AA22">_xlfn.HSTACK(IFERROR(_xlfn.NUMBERVALUE(_xlfn.TEXTBEFORE(G16:G22," ")),0),IFERROR(_xlfn.NUMBERVALUE(_xlfn.TEXTAFTER(G16:G22," ",-1)),0))</f>
        <v>0.11</v>
      </c>
      <c r="AA16">
        <v>0</v>
      </c>
    </row>
    <row r="17" spans="1:36" x14ac:dyDescent="0.15">
      <c r="A17" s="12">
        <v>0.04</v>
      </c>
      <c r="B17" s="13" t="s">
        <v>54</v>
      </c>
      <c r="C17" s="12" t="s">
        <v>49</v>
      </c>
      <c r="D17" s="13" t="s">
        <v>55</v>
      </c>
      <c r="E17" s="13" t="s">
        <v>56</v>
      </c>
      <c r="F17" s="13" t="s">
        <v>57</v>
      </c>
      <c r="G17" s="13" t="s">
        <v>58</v>
      </c>
      <c r="H17" s="24">
        <f>($AB$12-R17+S17)*(1000/180.156)*(1/(P17-Q17))*Table2[[#This Row],[D (h−1)]]</f>
        <v>0.57421499068623283</v>
      </c>
      <c r="I17" s="24">
        <f>($AD$12-T17+U17)*(1000/18.039)*(1/(P17-Q17))*Table2[[#This Row],[D (h−1)]]</f>
        <v>0.38874606514305032</v>
      </c>
      <c r="J17" s="27" t="str">
        <f>"EX_glc__D_e:U:"&amp;Table2[[#This Row],[Glucose consumption flux (mmol/gDW/h)]]</f>
        <v>EX_glc__D_e:U:0.574214990686233</v>
      </c>
      <c r="K17" s="25" t="str">
        <f>"EX_nh4_e:U:"&amp;Table2[[#This Row],[Ammonium consumption flux (mmol/gDW/h)]]</f>
        <v>EX_nh4_e:U:0.38874606514305</v>
      </c>
      <c r="L17" s="25">
        <f>($AB$12-R17-S17)*(1000/180.156)*(1/(P17+Q17))*Table2[[#This Row],[D (h−1)]]</f>
        <v>0.54897477131540939</v>
      </c>
      <c r="M17" s="25"/>
      <c r="O17">
        <v>0.04</v>
      </c>
      <c r="P17">
        <v>5.34</v>
      </c>
      <c r="Q17">
        <v>0.12</v>
      </c>
      <c r="R17">
        <v>0</v>
      </c>
      <c r="S17">
        <v>0</v>
      </c>
      <c r="T17">
        <v>0.45</v>
      </c>
      <c r="U17">
        <v>0</v>
      </c>
      <c r="V17">
        <v>8.6999999999999993</v>
      </c>
      <c r="W17">
        <v>0.22</v>
      </c>
      <c r="X17">
        <v>0.4</v>
      </c>
      <c r="Y17">
        <v>0.01</v>
      </c>
      <c r="Z17">
        <v>0.2</v>
      </c>
      <c r="AA17">
        <v>0</v>
      </c>
    </row>
    <row r="18" spans="1:36" x14ac:dyDescent="0.15">
      <c r="A18" s="12">
        <v>0.06</v>
      </c>
      <c r="B18" s="13" t="s">
        <v>59</v>
      </c>
      <c r="C18" s="12" t="s">
        <v>49</v>
      </c>
      <c r="D18" s="13" t="s">
        <v>60</v>
      </c>
      <c r="E18" s="13" t="s">
        <v>61</v>
      </c>
      <c r="F18" s="13" t="s">
        <v>57</v>
      </c>
      <c r="G18" s="13" t="s">
        <v>62</v>
      </c>
      <c r="H18" s="24">
        <f>($AB$12-R18+S18)*(1000/180.156)*(1/(P18-Q18))*Table2[[#This Row],[D (h−1)]]</f>
        <v>0.85640064325203857</v>
      </c>
      <c r="I18" s="24">
        <f>($AD$12-T18+U18)*(1000/18.039)*(1/(P18-Q18))*Table2[[#This Row],[D (h−1)]]</f>
        <v>0.60512890649280238</v>
      </c>
      <c r="J18" s="27" t="str">
        <f>"EX_glc__D_e:U:"&amp;Table2[[#This Row],[Glucose consumption flux (mmol/gDW/h)]]</f>
        <v>EX_glc__D_e:U:0.856400643252039</v>
      </c>
      <c r="K18" s="25" t="str">
        <f>"EX_nh4_e:U:"&amp;Table2[[#This Row],[Ammonium consumption flux (mmol/gDW/h)]]</f>
        <v>EX_nh4_e:U:0.605128906492802</v>
      </c>
      <c r="L18" s="25">
        <f>($AB$12-R18-S18)*(1000/180.156)*(1/(P18+Q18))*Table2[[#This Row],[D (h−1)]]</f>
        <v>0.82497309671067953</v>
      </c>
      <c r="M18" s="25"/>
      <c r="O18">
        <v>0.06</v>
      </c>
      <c r="P18">
        <v>5.35</v>
      </c>
      <c r="Q18">
        <v>0.1</v>
      </c>
      <c r="R18">
        <v>0</v>
      </c>
      <c r="S18">
        <v>0</v>
      </c>
      <c r="T18">
        <v>0.42</v>
      </c>
      <c r="U18">
        <v>0.01</v>
      </c>
      <c r="V18">
        <v>7.93</v>
      </c>
      <c r="W18">
        <v>0.9</v>
      </c>
      <c r="X18">
        <v>0.4</v>
      </c>
      <c r="Y18">
        <v>0.01</v>
      </c>
      <c r="Z18">
        <v>0.31</v>
      </c>
      <c r="AA18">
        <v>0.01</v>
      </c>
    </row>
    <row r="19" spans="1:36" x14ac:dyDescent="0.15">
      <c r="A19" s="12">
        <v>0.08</v>
      </c>
      <c r="B19" s="13" t="s">
        <v>63</v>
      </c>
      <c r="C19" s="12" t="s">
        <v>49</v>
      </c>
      <c r="D19" s="13" t="s">
        <v>64</v>
      </c>
      <c r="E19" s="13" t="s">
        <v>65</v>
      </c>
      <c r="F19" s="13" t="s">
        <v>64</v>
      </c>
      <c r="G19" s="13" t="s">
        <v>66</v>
      </c>
      <c r="H19" s="24">
        <f>($AB$12-R19+S19)*(1000/180.156)*(1/(P19-Q19))*Table2[[#This Row],[D (h−1)]]</f>
        <v>1.0860153084717883</v>
      </c>
      <c r="I19" s="24">
        <f>($AD$12-T19+U19)*(1000/18.039)*(1/(P19-Q19))*Table2[[#This Row],[D (h−1)]]</f>
        <v>0.77540773583127931</v>
      </c>
      <c r="J19" s="27" t="str">
        <f>"EX_glc__D_e:U:"&amp;Table2[[#This Row],[Glucose consumption flux (mmol/gDW/h)]]</f>
        <v>EX_glc__D_e:U:1.08601530847179</v>
      </c>
      <c r="K19" s="25" t="str">
        <f>"EX_nh4_e:U:"&amp;Table2[[#This Row],[Ammonium consumption flux (mmol/gDW/h)]]</f>
        <v>EX_nh4_e:U:0.775407735831279</v>
      </c>
      <c r="L19" s="25">
        <f>($AB$12-R19-S19)*(1000/180.156)*(1/(P19+Q19))*Table2[[#This Row],[D (h−1)]]</f>
        <v>1.0554233279514562</v>
      </c>
      <c r="M19" s="25"/>
      <c r="O19">
        <v>0.08</v>
      </c>
      <c r="P19">
        <v>5.6</v>
      </c>
      <c r="Q19">
        <v>0.08</v>
      </c>
      <c r="R19">
        <v>0</v>
      </c>
      <c r="S19">
        <v>0</v>
      </c>
      <c r="T19">
        <v>0.41</v>
      </c>
      <c r="U19">
        <v>0.01</v>
      </c>
      <c r="V19">
        <v>8.01</v>
      </c>
      <c r="W19">
        <v>0.12</v>
      </c>
      <c r="X19">
        <v>0.41</v>
      </c>
      <c r="Y19">
        <v>0.01</v>
      </c>
      <c r="Z19">
        <v>0.43</v>
      </c>
      <c r="AA19">
        <v>0.01</v>
      </c>
    </row>
    <row r="20" spans="1:36" x14ac:dyDescent="0.15">
      <c r="A20" s="12">
        <v>0.13</v>
      </c>
      <c r="B20" s="13" t="s">
        <v>67</v>
      </c>
      <c r="C20" s="12" t="s">
        <v>49</v>
      </c>
      <c r="D20" s="13" t="s">
        <v>68</v>
      </c>
      <c r="E20" s="13" t="s">
        <v>69</v>
      </c>
      <c r="F20" s="13" t="s">
        <v>64</v>
      </c>
      <c r="G20" s="13" t="s">
        <v>70</v>
      </c>
      <c r="H20" s="24">
        <f>($AB$12-R20+S20)*(1000/180.156)*(1/(P20-Q20))*Table2[[#This Row],[D (h−1)]]</f>
        <v>1.8039920957392479</v>
      </c>
      <c r="I20" s="24">
        <f>($AD$12-T20+U20)*(1000/18.039)*(1/(P20-Q20))*Table2[[#This Row],[D (h−1)]]</f>
        <v>1.3414206864093245</v>
      </c>
      <c r="J20" s="27" t="str">
        <f>"EX_glc__D_e:U:"&amp;Table2[[#This Row],[Glucose consumption flux (mmol/gDW/h)]]</f>
        <v>EX_glc__D_e:U:1.80399209573925</v>
      </c>
      <c r="K20" s="25" t="str">
        <f>"EX_nh4_e:U:"&amp;Table2[[#This Row],[Ammonium consumption flux (mmol/gDW/h)]]</f>
        <v>EX_nh4_e:U:1.34142068640932</v>
      </c>
      <c r="L20" s="25">
        <f>($AB$12-R20-S20)*(1000/180.156)*(1/(P20+Q20))*Table2[[#This Row],[D (h−1)]]</f>
        <v>1.7457988023283049</v>
      </c>
      <c r="M20" s="25"/>
      <c r="O20">
        <v>0.13</v>
      </c>
      <c r="P20">
        <v>5.49</v>
      </c>
      <c r="Q20">
        <v>0.09</v>
      </c>
      <c r="R20">
        <v>0</v>
      </c>
      <c r="S20">
        <v>0</v>
      </c>
      <c r="T20">
        <v>0.37</v>
      </c>
      <c r="U20">
        <v>0.01</v>
      </c>
      <c r="V20">
        <v>8.6199999999999992</v>
      </c>
      <c r="W20">
        <v>0.23</v>
      </c>
      <c r="X20">
        <v>0.41</v>
      </c>
      <c r="Y20">
        <v>0.01</v>
      </c>
      <c r="Z20">
        <v>0.71</v>
      </c>
      <c r="AA20">
        <v>0.02</v>
      </c>
    </row>
    <row r="21" spans="1:36" x14ac:dyDescent="0.15">
      <c r="A21" s="12">
        <v>0.15</v>
      </c>
      <c r="B21" s="13" t="s">
        <v>71</v>
      </c>
      <c r="C21" s="12" t="s">
        <v>49</v>
      </c>
      <c r="D21" s="13" t="s">
        <v>68</v>
      </c>
      <c r="E21" s="13" t="s">
        <v>72</v>
      </c>
      <c r="F21" s="13" t="s">
        <v>73</v>
      </c>
      <c r="G21" s="13" t="s">
        <v>74</v>
      </c>
      <c r="H21" s="24">
        <f>($AB$12-R21+S21)*(1000/180.156)*(1/(P21-Q21))*Table2[[#This Row],[D (h−1)]]</f>
        <v>2.0436833532150924</v>
      </c>
      <c r="I21" s="24">
        <f>($AD$12-T21+U21)*(1000/18.039)*(1/(P21-Q21))*Table2[[#This Row],[D (h−1)]]</f>
        <v>1.5196514069811931</v>
      </c>
      <c r="J21" s="27" t="str">
        <f>"EX_glc__D_e:U:"&amp;Table2[[#This Row],[Glucose consumption flux (mmol/gDW/h)]]</f>
        <v>EX_glc__D_e:U:2.04368335321509</v>
      </c>
      <c r="K21" s="25" t="str">
        <f>"EX_nh4_e:U:"&amp;Table2[[#This Row],[Ammonium consumption flux (mmol/gDW/h)]]</f>
        <v>EX_nh4_e:U:1.51965140698119</v>
      </c>
      <c r="L21" s="25">
        <f>($AB$12-R21-S21)*(1000/180.156)*(1/(P21+Q21))*Table2[[#This Row],[D (h−1)]]</f>
        <v>2.0143832334557361</v>
      </c>
      <c r="M21" s="25"/>
      <c r="O21">
        <v>0.15</v>
      </c>
      <c r="P21">
        <v>5.54</v>
      </c>
      <c r="Q21">
        <v>0.04</v>
      </c>
      <c r="R21">
        <v>0</v>
      </c>
      <c r="S21">
        <v>0</v>
      </c>
      <c r="T21">
        <v>0.37</v>
      </c>
      <c r="U21">
        <v>0.01</v>
      </c>
      <c r="V21">
        <v>8.7200000000000006</v>
      </c>
      <c r="W21">
        <v>0.17</v>
      </c>
      <c r="X21">
        <v>0.41</v>
      </c>
      <c r="Y21">
        <v>0</v>
      </c>
      <c r="Z21">
        <v>0.86</v>
      </c>
      <c r="AA21">
        <v>0.01</v>
      </c>
    </row>
    <row r="22" spans="1:36" x14ac:dyDescent="0.15">
      <c r="A22" s="12">
        <v>0.19</v>
      </c>
      <c r="B22" s="13" t="s">
        <v>75</v>
      </c>
      <c r="C22" s="12" t="s">
        <v>76</v>
      </c>
      <c r="D22" s="13" t="s">
        <v>77</v>
      </c>
      <c r="E22" s="13" t="s">
        <v>78</v>
      </c>
      <c r="F22" s="13" t="s">
        <v>73</v>
      </c>
      <c r="G22" s="13" t="s">
        <v>79</v>
      </c>
      <c r="H22" s="24">
        <f>($AB$12-R22+S22)*(1000/180.156)*(1/(P22-Q22))*Table2[[#This Row],[D (h−1)]]</f>
        <v>2.5803821328704664</v>
      </c>
      <c r="I22" s="24">
        <f>($AD$12-T22+U22)*(1000/18.039)*(1/(P22-Q22))*Table2[[#This Row],[D (h−1)]]</f>
        <v>1.9848454953271017</v>
      </c>
      <c r="J22" s="27" t="str">
        <f>"EX_glc__D_e:U:"&amp;Table2[[#This Row],[Glucose consumption flux (mmol/gDW/h)]]</f>
        <v>EX_glc__D_e:U:2.58038213287047</v>
      </c>
      <c r="K22" s="25" t="str">
        <f>"EX_nh4_e:U:"&amp;Table2[[#This Row],[Ammonium consumption flux (mmol/gDW/h)]]</f>
        <v>EX_nh4_e:U:1.9848454953271</v>
      </c>
      <c r="L22" s="25">
        <f>($AB$12-R22-S22)*(1000/180.156)*(1/(P22+Q22))*Table2[[#This Row],[D (h−1)]]</f>
        <v>2.5208967575822783</v>
      </c>
      <c r="M22" s="25"/>
      <c r="O22">
        <v>0.19</v>
      </c>
      <c r="P22">
        <v>5.5</v>
      </c>
      <c r="Q22">
        <v>0.06</v>
      </c>
      <c r="R22">
        <v>0.2</v>
      </c>
      <c r="S22">
        <v>0.01</v>
      </c>
      <c r="T22">
        <v>0.36</v>
      </c>
      <c r="U22">
        <v>0.02</v>
      </c>
      <c r="V22">
        <v>9.61</v>
      </c>
      <c r="W22">
        <v>0.17</v>
      </c>
      <c r="X22">
        <v>0.41</v>
      </c>
      <c r="Y22">
        <v>0</v>
      </c>
      <c r="Z22">
        <v>1.02</v>
      </c>
      <c r="AA22">
        <v>0.01</v>
      </c>
    </row>
    <row r="23" spans="1:36" ht="15" thickBot="1" x14ac:dyDescent="0.2">
      <c r="A23" s="20" t="s">
        <v>143</v>
      </c>
      <c r="B23" s="13"/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36" ht="23" thickBot="1" x14ac:dyDescent="0.2">
      <c r="A24" s="14" t="s">
        <v>41</v>
      </c>
      <c r="B24" s="15" t="s">
        <v>85</v>
      </c>
      <c r="C24" s="15" t="s">
        <v>42</v>
      </c>
      <c r="D24" s="15" t="s">
        <v>43</v>
      </c>
      <c r="E24" s="15" t="s">
        <v>45</v>
      </c>
      <c r="F24" s="15" t="s">
        <v>86</v>
      </c>
      <c r="G24" s="15" t="s">
        <v>87</v>
      </c>
      <c r="H24" s="23" t="s">
        <v>154</v>
      </c>
      <c r="I24" s="23" t="s">
        <v>155</v>
      </c>
      <c r="J24" s="23" t="s">
        <v>157</v>
      </c>
      <c r="K24" s="23" t="s">
        <v>158</v>
      </c>
      <c r="L24" s="23" t="s">
        <v>184</v>
      </c>
      <c r="M24" s="23" t="s">
        <v>194</v>
      </c>
      <c r="O24" s="10" t="s">
        <v>41</v>
      </c>
      <c r="P24" s="26" t="s">
        <v>85</v>
      </c>
      <c r="Q24" s="11" t="s">
        <v>80</v>
      </c>
      <c r="R24" s="11" t="s">
        <v>42</v>
      </c>
      <c r="S24" s="11" t="s">
        <v>80</v>
      </c>
      <c r="T24" s="11" t="s">
        <v>42</v>
      </c>
      <c r="U24" s="11" t="s">
        <v>80</v>
      </c>
      <c r="V24" s="11" t="s">
        <v>43</v>
      </c>
      <c r="W24" s="11" t="s">
        <v>80</v>
      </c>
      <c r="X24" s="11" t="s">
        <v>45</v>
      </c>
      <c r="Y24" s="11" t="s">
        <v>80</v>
      </c>
      <c r="Z24" s="10" t="s">
        <v>46</v>
      </c>
      <c r="AA24" s="11" t="s">
        <v>80</v>
      </c>
      <c r="AB24" s="11" t="s">
        <v>47</v>
      </c>
      <c r="AC24" s="11" t="s">
        <v>80</v>
      </c>
      <c r="AF24" s="15" t="s">
        <v>145</v>
      </c>
      <c r="AG24" s="15" t="s">
        <v>146</v>
      </c>
      <c r="AH24" s="15" t="s">
        <v>147</v>
      </c>
      <c r="AI24" s="15" t="s">
        <v>146</v>
      </c>
      <c r="AJ24" s="15" t="s">
        <v>148</v>
      </c>
    </row>
    <row r="25" spans="1:36" x14ac:dyDescent="0.15">
      <c r="A25" s="13">
        <v>0.02</v>
      </c>
      <c r="B25" s="13" t="s">
        <v>88</v>
      </c>
      <c r="C25" s="13" t="s">
        <v>89</v>
      </c>
      <c r="D25" s="13" t="s">
        <v>90</v>
      </c>
      <c r="E25" s="13" t="s">
        <v>91</v>
      </c>
      <c r="F25" s="13" t="s">
        <v>92</v>
      </c>
      <c r="G25" s="13" t="s">
        <v>93</v>
      </c>
      <c r="H25" s="25">
        <f>($AB$13-V25+W25)*(1000/180.156)*(1/(R25-S25))*Table3[[#This Row],[D (h−1)]]</f>
        <v>0.36440998236594074</v>
      </c>
      <c r="I25" s="25">
        <f>Table3[[#This Row],[Glucose consumption flux (mmol/gDW/h)]]/(P25-Q25)</f>
        <v>5.915746466979557E-3</v>
      </c>
      <c r="J25" s="27" t="str">
        <f>"EX_glc__D_e:U:"&amp;Table3[[#This Row],[Glucose consumption flux (mmol/gDW/h)]]</f>
        <v>EX_glc__D_e:U:0.364409982365941</v>
      </c>
      <c r="K25" s="27" t="str">
        <f>"EX_nh4_e:L:-"&amp;Table3[[#This Row],[Ammonium consumption flux (mmol/gDW/h)]]&amp;","&amp;Table3[[#This Row],[lipid content text for file]]</f>
        <v>EX_nh4_e:L:-0.00591574646697956,new_lipid_frac=0.6189</v>
      </c>
      <c r="L25" s="25" t="str">
        <f t="shared" ref="L25:L33" si="0">"new_lipid_frac="&amp;AE25+(Y25/1000)</f>
        <v>new_lipid_frac=0.6189</v>
      </c>
      <c r="M25" s="25">
        <f>Table3[[#This Row],[Glucose consumption flux (mmol/gDW/h)]]*(180.156/1000)*(T25/AB25)</f>
        <v>0.17144309947880626</v>
      </c>
      <c r="O25" cm="1">
        <f t="array" ref="O25:O33">Table3[D (h−1)]</f>
        <v>0.02</v>
      </c>
      <c r="P25" cm="1">
        <f t="array" ref="P25:Q33">_xlfn.HSTACK(IFERROR(_xlfn.NUMBERVALUE(_xlfn.TEXTBEFORE(Table3[Consumed C/N (mol/mol)]," ")),0),IFERROR(_xlfn.NUMBERVALUE(_xlfn.TEXTAFTER(Table3[Consumed C/N (mol/mol)]," ",-1)),0))</f>
        <v>61.6</v>
      </c>
      <c r="Q25">
        <v>0</v>
      </c>
      <c r="R25" cm="1">
        <f t="array" ref="R25:S33">_xlfn.HSTACK(IFERROR(_xlfn.NUMBERVALUE(_xlfn.TEXTBEFORE(Table3[Cell mass (g/L)]," ")),0),IFERROR(_xlfn.NUMBERVALUE(_xlfn.TEXTAFTER(Table3[Cell mass (g/L)]," ",-1)),0))</f>
        <v>8.67</v>
      </c>
      <c r="S25">
        <v>0.14000000000000001</v>
      </c>
      <c r="T25" cm="1">
        <f t="array" ref="T25:U33">_xlfn.HSTACK(IFERROR(_xlfn.NUMBERVALUE(_xlfn.TEXTBEFORE(Table3[Cell mass (g/L)]," ")),0),IFERROR(_xlfn.NUMBERVALUE(_xlfn.TEXTAFTER(Table3[Cell mass (g/L)]," ",-1)),0))</f>
        <v>8.67</v>
      </c>
      <c r="U25">
        <v>0.14000000000000001</v>
      </c>
      <c r="V25" s="7" cm="1">
        <f t="array" ref="V25:W33">_xlfn.HSTACK(IFERROR(_xlfn.NUMBERVALUE(_xlfn.TEXTBEFORE(D25:D33," ")),0),IFERROR(_xlfn.NUMBERVALUE(_xlfn.TEXTAFTER(D25:D33," ",-1)),0))</f>
        <v>8</v>
      </c>
      <c r="W25">
        <v>0</v>
      </c>
      <c r="X25" s="7" cm="1">
        <f t="array" ref="X25:Y33">_xlfn.HSTACK(IFERROR(_xlfn.NUMBERVALUE(_xlfn.TEXTBEFORE(E25:E33," ")),0),IFERROR(_xlfn.NUMBERVALUE(_xlfn.TEXTAFTER(E25:E33," ",-1)),0))</f>
        <v>61.8</v>
      </c>
      <c r="Y25">
        <v>0.9</v>
      </c>
      <c r="Z25" s="7" cm="1">
        <f t="array" ref="Z25:AA33">_xlfn.HSTACK(IFERROR(_xlfn.NUMBERVALUE(_xlfn.TEXTBEFORE(F25:F33," ")),0),IFERROR(_xlfn.NUMBERVALUE(_xlfn.TEXTAFTER(F25:F33," ",-1)),0))</f>
        <v>5.36</v>
      </c>
      <c r="AA25">
        <v>0.08</v>
      </c>
      <c r="AB25" s="7" cm="1">
        <f t="array" ref="AB25:AC33">_xlfn.HSTACK(IFERROR(_xlfn.NUMBERVALUE(_xlfn.TEXTBEFORE(G25:G33," ")),0),IFERROR(_xlfn.NUMBERVALUE(_xlfn.TEXTAFTER(G25:G33," ",-1)),0))</f>
        <v>3.32</v>
      </c>
      <c r="AC25">
        <v>0.11</v>
      </c>
      <c r="AE25" cm="1">
        <f t="array" ref="AE25:AE33">_xlfn.CHOOSECOLS(_xlfn.ANCHORARRAY(X25),1)/100</f>
        <v>0.61799999999999999</v>
      </c>
      <c r="AF25">
        <v>-0.18601757164914767</v>
      </c>
      <c r="AG25" cm="1">
        <f t="array" ref="AG25:AG33">_xlfn.ANCHORARRAY(AE25)/-AF25</f>
        <v>3.3222667865250117</v>
      </c>
      <c r="AH25" cm="1">
        <f t="array" ref="AH25:AH33">1-_xlfn.ANCHORARRAY(AE25)</f>
        <v>0.38200000000000001</v>
      </c>
      <c r="AI25" cm="1">
        <f t="array" ref="AI25:AI33">_xlfn.ANCHORARRAY(AH25)/(1+AF25)</f>
        <v>0.46929759991740982</v>
      </c>
      <c r="AJ25" t="str" cm="1">
        <f t="array" ref="AJ25:AJ33">"new_lipid_frac="&amp;_xlfn.ANCHORARRAY(AE25)</f>
        <v>new_lipid_frac=0.618</v>
      </c>
    </row>
    <row r="26" spans="1:36" x14ac:dyDescent="0.15">
      <c r="A26" s="13">
        <v>0.04</v>
      </c>
      <c r="B26" s="13" t="s">
        <v>94</v>
      </c>
      <c r="C26" s="13" t="s">
        <v>95</v>
      </c>
      <c r="D26" s="13" t="s">
        <v>96</v>
      </c>
      <c r="E26" s="13" t="s">
        <v>97</v>
      </c>
      <c r="F26" s="13" t="s">
        <v>98</v>
      </c>
      <c r="G26" s="13" t="s">
        <v>99</v>
      </c>
      <c r="H26" s="25">
        <f>($AB$13-V26+W26)*(1000/180.156)*(1/(R26-S26))*Table3[[#This Row],[D (h−1)]]</f>
        <v>0.6801617002353828</v>
      </c>
      <c r="I26" s="25">
        <f>Table3[[#This Row],[Glucose consumption flux (mmol/gDW/h)]]/(P26-Q26)</f>
        <v>1.8137645339610209E-2</v>
      </c>
      <c r="J26" s="27" t="str">
        <f>"EX_glc__D_e:U:"&amp;Table3[[#This Row],[Glucose consumption flux (mmol/gDW/h)]]</f>
        <v>EX_glc__D_e:U:0.680161700235383</v>
      </c>
      <c r="K26" s="27" t="str">
        <f>"EX_nh4_e:L:-"&amp;Table3[[#This Row],[Ammonium consumption flux (mmol/gDW/h)]]&amp;","&amp;Table3[[#This Row],[lipid content text for file]]</f>
        <v>EX_nh4_e:L:-0.0181376453396102,new_lipid_frac=0.5316</v>
      </c>
      <c r="L26" s="25" t="str">
        <f t="shared" si="0"/>
        <v>new_lipid_frac=0.5316</v>
      </c>
      <c r="M26" s="25">
        <f>Table3[[#This Row],[Glucose consumption flux (mmol/gDW/h)]]*(180.156/1000)*(T26/AB26)</f>
        <v>0.26153037628757619</v>
      </c>
      <c r="O26">
        <v>0.04</v>
      </c>
      <c r="P26">
        <v>38</v>
      </c>
      <c r="Q26">
        <v>0.5</v>
      </c>
      <c r="R26">
        <v>5.72</v>
      </c>
      <c r="S26">
        <v>0.04</v>
      </c>
      <c r="T26">
        <v>5.72</v>
      </c>
      <c r="U26">
        <v>0.04</v>
      </c>
      <c r="V26">
        <v>18.8</v>
      </c>
      <c r="W26">
        <v>0.2</v>
      </c>
      <c r="X26">
        <v>53.1</v>
      </c>
      <c r="Y26">
        <v>0.6</v>
      </c>
      <c r="Z26">
        <v>3.04</v>
      </c>
      <c r="AA26">
        <v>0.06</v>
      </c>
      <c r="AB26">
        <v>2.68</v>
      </c>
      <c r="AC26">
        <v>0.02</v>
      </c>
      <c r="AE26">
        <v>0.53100000000000003</v>
      </c>
      <c r="AG26">
        <v>2.8545690350239181</v>
      </c>
      <c r="AH26">
        <v>0.46899999999999997</v>
      </c>
      <c r="AI26">
        <v>0.57617951403472567</v>
      </c>
      <c r="AJ26" t="str">
        <v>new_lipid_frac=0.531</v>
      </c>
    </row>
    <row r="27" spans="1:36" x14ac:dyDescent="0.15">
      <c r="A27" s="13">
        <v>0.06</v>
      </c>
      <c r="B27" s="13" t="s">
        <v>100</v>
      </c>
      <c r="C27" s="13" t="s">
        <v>101</v>
      </c>
      <c r="D27" s="13" t="s">
        <v>102</v>
      </c>
      <c r="E27" s="13" t="s">
        <v>103</v>
      </c>
      <c r="F27" s="13" t="s">
        <v>104</v>
      </c>
      <c r="G27" s="13" t="s">
        <v>105</v>
      </c>
      <c r="H27" s="25">
        <f>($AB$13-V27+W27)*(1000/180.156)*(1/(R27-S27))*Table3[[#This Row],[D (h−1)]]</f>
        <v>1.0117813506775142</v>
      </c>
      <c r="I27" s="25">
        <f>Table3[[#This Row],[Glucose consumption flux (mmol/gDW/h)]]/(P27-Q27)</f>
        <v>3.3838841159783077E-2</v>
      </c>
      <c r="J27" s="27" t="str">
        <f>"EX_glc__D_e:U:"&amp;Table3[[#This Row],[Glucose consumption flux (mmol/gDW/h)]]</f>
        <v>EX_glc__D_e:U:1.01178135067751</v>
      </c>
      <c r="K27" s="27" t="str">
        <f>"EX_nh4_e:L:-"&amp;Table3[[#This Row],[Ammonium consumption flux (mmol/gDW/h)]]&amp;","&amp;Table3[[#This Row],[lipid content text for file]]</f>
        <v>EX_nh4_e:L:-0.0338388411597831,new_lipid_frac=0.4736</v>
      </c>
      <c r="L27" s="25" t="str">
        <f t="shared" si="0"/>
        <v>new_lipid_frac=0.4736</v>
      </c>
      <c r="M27" s="25">
        <f>Table3[[#This Row],[Glucose consumption flux (mmol/gDW/h)]]*(180.156/1000)*(T27/AB27)</f>
        <v>0.34567552574512084</v>
      </c>
      <c r="O27">
        <v>0.06</v>
      </c>
      <c r="P27">
        <v>30.8</v>
      </c>
      <c r="Q27">
        <v>0.9</v>
      </c>
      <c r="R27">
        <v>4.76</v>
      </c>
      <c r="S27">
        <v>0.02</v>
      </c>
      <c r="T27">
        <v>4.76</v>
      </c>
      <c r="U27">
        <v>0.02</v>
      </c>
      <c r="V27">
        <v>22</v>
      </c>
      <c r="W27">
        <v>0.4</v>
      </c>
      <c r="X27">
        <v>47.3</v>
      </c>
      <c r="Y27">
        <v>0.6</v>
      </c>
      <c r="Z27">
        <v>2.25</v>
      </c>
      <c r="AA27">
        <v>0.03</v>
      </c>
      <c r="AB27">
        <v>2.5099999999999998</v>
      </c>
      <c r="AC27">
        <v>0.03</v>
      </c>
      <c r="AE27">
        <v>0.47299999999999998</v>
      </c>
      <c r="AG27">
        <v>2.5427705340231888</v>
      </c>
      <c r="AH27">
        <v>0.52700000000000002</v>
      </c>
      <c r="AI27">
        <v>0.6474341234462696</v>
      </c>
      <c r="AJ27" t="str">
        <v>new_lipid_frac=0.473</v>
      </c>
    </row>
    <row r="28" spans="1:36" x14ac:dyDescent="0.15">
      <c r="A28" s="13">
        <v>0.08</v>
      </c>
      <c r="B28" s="13" t="s">
        <v>106</v>
      </c>
      <c r="C28" s="13" t="s">
        <v>107</v>
      </c>
      <c r="D28" s="13" t="s">
        <v>108</v>
      </c>
      <c r="E28" s="13" t="s">
        <v>109</v>
      </c>
      <c r="F28" s="13" t="s">
        <v>110</v>
      </c>
      <c r="G28" s="13" t="s">
        <v>111</v>
      </c>
      <c r="H28" s="25">
        <f>($AB$13-V28+W28)*(1000/180.156)*(1/(R28-S28))*Table3[[#This Row],[D (h−1)]]</f>
        <v>1.3681836102404941</v>
      </c>
      <c r="I28" s="25">
        <f>Table3[[#This Row],[Glucose consumption flux (mmol/gDW/h)]]/(P28-Q28)</f>
        <v>5.6536512819855125E-2</v>
      </c>
      <c r="J28" s="27" t="str">
        <f>"EX_glc__D_e:U:"&amp;Table3[[#This Row],[Glucose consumption flux (mmol/gDW/h)]]</f>
        <v>EX_glc__D_e:U:1.36818361024049</v>
      </c>
      <c r="K28" s="27" t="str">
        <f>"EX_nh4_e:L:-"&amp;Table3[[#This Row],[Ammonium consumption flux (mmol/gDW/h)]]&amp;","&amp;Table3[[#This Row],[lipid content text for file]]</f>
        <v>EX_nh4_e:L:-0.0565365128198551,new_lipid_frac=0.4218</v>
      </c>
      <c r="L28" s="25" t="str">
        <f t="shared" si="0"/>
        <v>new_lipid_frac=0.4218</v>
      </c>
      <c r="M28" s="25">
        <f>Table3[[#This Row],[Glucose consumption flux (mmol/gDW/h)]]*(180.156/1000)*(T28/AB28)</f>
        <v>0.42450450450450444</v>
      </c>
      <c r="O28">
        <v>0.08</v>
      </c>
      <c r="P28">
        <v>24.8</v>
      </c>
      <c r="Q28">
        <v>0.6</v>
      </c>
      <c r="R28">
        <v>3.72</v>
      </c>
      <c r="S28">
        <v>0.02</v>
      </c>
      <c r="T28">
        <v>3.72</v>
      </c>
      <c r="U28">
        <v>0.02</v>
      </c>
      <c r="V28">
        <v>24.8</v>
      </c>
      <c r="W28">
        <v>0.2</v>
      </c>
      <c r="X28">
        <v>42</v>
      </c>
      <c r="Y28">
        <v>1.8</v>
      </c>
      <c r="Z28">
        <v>1.56</v>
      </c>
      <c r="AA28">
        <v>0.06</v>
      </c>
      <c r="AB28">
        <v>2.16</v>
      </c>
      <c r="AC28">
        <v>0.7</v>
      </c>
      <c r="AE28">
        <v>0.42</v>
      </c>
      <c r="AG28">
        <v>2.2578512141432121</v>
      </c>
      <c r="AH28">
        <v>0.58000000000000007</v>
      </c>
      <c r="AI28">
        <v>0.71254609411543912</v>
      </c>
      <c r="AJ28" t="str">
        <v>new_lipid_frac=0.42</v>
      </c>
    </row>
    <row r="29" spans="1:36" x14ac:dyDescent="0.15">
      <c r="A29" s="13">
        <v>0.1</v>
      </c>
      <c r="B29" s="13" t="s">
        <v>112</v>
      </c>
      <c r="C29" s="13" t="s">
        <v>113</v>
      </c>
      <c r="D29" s="13" t="s">
        <v>114</v>
      </c>
      <c r="E29" s="13" t="s">
        <v>115</v>
      </c>
      <c r="F29" s="13" t="s">
        <v>116</v>
      </c>
      <c r="G29" s="13" t="s">
        <v>117</v>
      </c>
      <c r="H29" s="25">
        <f>($AB$13-V29+W29)*(1000/180.156)*(1/(R29-S29))*Table3[[#This Row],[D (h−1)]]</f>
        <v>1.5809083604336156</v>
      </c>
      <c r="I29" s="25">
        <f>Table3[[#This Row],[Glucose consumption flux (mmol/gDW/h)]]/(P29-Q29)</f>
        <v>7.9843856587556342E-2</v>
      </c>
      <c r="J29" s="27" t="str">
        <f>"EX_glc__D_e:U:"&amp;Table3[[#This Row],[Glucose consumption flux (mmol/gDW/h)]]</f>
        <v>EX_glc__D_e:U:1.58090836043362</v>
      </c>
      <c r="K29" s="27" t="str">
        <f>"EX_nh4_e:L:-"&amp;Table3[[#This Row],[Ammonium consumption flux (mmol/gDW/h)]]&amp;","&amp;Table3[[#This Row],[lipid content text for file]]</f>
        <v>EX_nh4_e:L:-0.0798438565875563,new_lipid_frac=0.3674</v>
      </c>
      <c r="L29" s="25" t="str">
        <f t="shared" si="0"/>
        <v>new_lipid_frac=0.3674</v>
      </c>
      <c r="M29" s="25">
        <f>Table3[[#This Row],[Glucose consumption flux (mmol/gDW/h)]]*(180.156/1000)*(T29/AB29)</f>
        <v>0.44977440782052885</v>
      </c>
      <c r="O29">
        <v>0.1</v>
      </c>
      <c r="P29">
        <v>19.8</v>
      </c>
      <c r="Q29">
        <v>0</v>
      </c>
      <c r="R29">
        <v>3.19</v>
      </c>
      <c r="S29">
        <v>0.03</v>
      </c>
      <c r="T29">
        <v>3.19</v>
      </c>
      <c r="U29">
        <v>0.03</v>
      </c>
      <c r="V29">
        <v>27</v>
      </c>
      <c r="W29">
        <v>0</v>
      </c>
      <c r="X29">
        <v>36.700000000000003</v>
      </c>
      <c r="Y29">
        <v>0.4</v>
      </c>
      <c r="Z29">
        <v>1.17</v>
      </c>
      <c r="AA29">
        <v>0.01</v>
      </c>
      <c r="AB29">
        <v>2.02</v>
      </c>
      <c r="AC29">
        <v>0.03</v>
      </c>
      <c r="AE29">
        <v>0.36700000000000005</v>
      </c>
      <c r="AG29">
        <v>1.9729318942632355</v>
      </c>
      <c r="AH29">
        <v>0.63300000000000001</v>
      </c>
      <c r="AI29">
        <v>0.77765806478460842</v>
      </c>
      <c r="AJ29" t="str">
        <v>new_lipid_frac=0.367</v>
      </c>
    </row>
    <row r="30" spans="1:36" x14ac:dyDescent="0.15">
      <c r="A30" s="13">
        <v>0.12</v>
      </c>
      <c r="B30" s="13" t="s">
        <v>118</v>
      </c>
      <c r="C30" s="13" t="s">
        <v>119</v>
      </c>
      <c r="D30" s="13" t="s">
        <v>120</v>
      </c>
      <c r="E30" s="13" t="s">
        <v>121</v>
      </c>
      <c r="F30" s="13" t="s">
        <v>122</v>
      </c>
      <c r="G30" s="13" t="s">
        <v>123</v>
      </c>
      <c r="H30" s="25">
        <f>($AB$13-V30+W30)*(1000/180.156)*(1/(R30-S30))*Table3[[#This Row],[D (h−1)]]</f>
        <v>1.8284806762243961</v>
      </c>
      <c r="I30" s="25">
        <f>Table3[[#This Row],[Glucose consumption flux (mmol/gDW/h)]]/(P30-Q30)</f>
        <v>0.1187325114431426</v>
      </c>
      <c r="J30" s="27" t="str">
        <f>"EX_glc__D_e:U:"&amp;Table3[[#This Row],[Glucose consumption flux (mmol/gDW/h)]]</f>
        <v>EX_glc__D_e:U:1.8284806762244</v>
      </c>
      <c r="K30" s="27" t="str">
        <f>"EX_nh4_e:L:-"&amp;Table3[[#This Row],[Ammonium consumption flux (mmol/gDW/h)]]&amp;","&amp;Table3[[#This Row],[lipid content text for file]]</f>
        <v>EX_nh4_e:L:-0.118732511443143,new_lipid_frac=0.2743</v>
      </c>
      <c r="L30" s="25" t="str">
        <f t="shared" si="0"/>
        <v>new_lipid_frac=0.2743</v>
      </c>
      <c r="M30" s="25">
        <f>Table3[[#This Row],[Glucose consumption flux (mmol/gDW/h)]]*(180.156/1000)*(T30/AB30)</f>
        <v>0.45448254167977348</v>
      </c>
      <c r="O30">
        <v>0.12</v>
      </c>
      <c r="P30">
        <v>15.4</v>
      </c>
      <c r="Q30">
        <v>0</v>
      </c>
      <c r="R30">
        <v>2.58</v>
      </c>
      <c r="S30">
        <v>0.03</v>
      </c>
      <c r="T30">
        <v>2.58</v>
      </c>
      <c r="U30">
        <v>0.03</v>
      </c>
      <c r="V30">
        <v>29</v>
      </c>
      <c r="W30">
        <v>0</v>
      </c>
      <c r="X30">
        <v>27.4</v>
      </c>
      <c r="Y30">
        <v>0.3</v>
      </c>
      <c r="Z30">
        <v>0.71</v>
      </c>
      <c r="AA30">
        <v>0.01</v>
      </c>
      <c r="AB30">
        <v>1.87</v>
      </c>
      <c r="AC30">
        <v>0.02</v>
      </c>
      <c r="AE30">
        <v>0.27399999999999997</v>
      </c>
      <c r="AG30">
        <v>1.4729791254172382</v>
      </c>
      <c r="AH30">
        <v>0.72599999999999998</v>
      </c>
      <c r="AI30">
        <v>0.89191114539277361</v>
      </c>
      <c r="AJ30" t="str">
        <v>new_lipid_frac=0.274</v>
      </c>
    </row>
    <row r="31" spans="1:36" x14ac:dyDescent="0.15">
      <c r="A31" s="13">
        <v>0.14000000000000001</v>
      </c>
      <c r="B31" s="13" t="s">
        <v>124</v>
      </c>
      <c r="C31" s="13" t="s">
        <v>125</v>
      </c>
      <c r="D31" s="13" t="s">
        <v>126</v>
      </c>
      <c r="E31" s="13" t="s">
        <v>127</v>
      </c>
      <c r="F31" s="13" t="s">
        <v>128</v>
      </c>
      <c r="G31" s="13" t="s">
        <v>129</v>
      </c>
      <c r="H31" s="25">
        <f>($AB$13-V31+W31)*(1000/180.156)*(1/(R31-S31))*Table3[[#This Row],[D (h−1)]]</f>
        <v>2.0631087275983235</v>
      </c>
      <c r="I31" s="25">
        <f>Table3[[#This Row],[Glucose consumption flux (mmol/gDW/h)]]/(P31-Q31)</f>
        <v>0.15629611572714572</v>
      </c>
      <c r="J31" s="27" t="str">
        <f>"EX_glc__D_e:U:"&amp;Table3[[#This Row],[Glucose consumption flux (mmol/gDW/h)]]</f>
        <v>EX_glc__D_e:U:2.06310872759832</v>
      </c>
      <c r="K31" s="27" t="str">
        <f>"EX_nh4_e:L:-"&amp;Table3[[#This Row],[Ammonium consumption flux (mmol/gDW/h)]]&amp;","&amp;Table3[[#This Row],[lipid content text for file]]</f>
        <v>EX_nh4_e:L:-0.156296115727146,new_lipid_frac=0.2302</v>
      </c>
      <c r="L31" s="25" t="str">
        <f t="shared" si="0"/>
        <v>new_lipid_frac=0.2302</v>
      </c>
      <c r="M31" s="25">
        <f>Table3[[#This Row],[Glucose consumption flux (mmol/gDW/h)]]*(180.156/1000)*(T31/AB31)</f>
        <v>0.48489472078120249</v>
      </c>
      <c r="O31">
        <v>0.14000000000000001</v>
      </c>
      <c r="P31">
        <v>13.2</v>
      </c>
      <c r="Q31">
        <v>0</v>
      </c>
      <c r="R31">
        <v>2.27</v>
      </c>
      <c r="S31">
        <v>0.01</v>
      </c>
      <c r="T31">
        <v>2.27</v>
      </c>
      <c r="U31">
        <v>0.01</v>
      </c>
      <c r="V31">
        <v>30</v>
      </c>
      <c r="W31">
        <v>0</v>
      </c>
      <c r="X31">
        <v>23</v>
      </c>
      <c r="Y31">
        <v>0.2</v>
      </c>
      <c r="Z31">
        <v>0.52</v>
      </c>
      <c r="AA31">
        <v>0.01</v>
      </c>
      <c r="AB31">
        <v>1.74</v>
      </c>
      <c r="AC31">
        <v>0.01</v>
      </c>
      <c r="AE31">
        <v>0.23</v>
      </c>
      <c r="AG31">
        <v>1.2364423315546162</v>
      </c>
      <c r="AH31">
        <v>0.77</v>
      </c>
      <c r="AI31">
        <v>0.94596636632566899</v>
      </c>
      <c r="AJ31" t="str">
        <v>new_lipid_frac=0.23</v>
      </c>
    </row>
    <row r="32" spans="1:36" x14ac:dyDescent="0.15">
      <c r="A32" s="13">
        <v>0.16</v>
      </c>
      <c r="B32" s="13" t="s">
        <v>130</v>
      </c>
      <c r="C32" s="13" t="s">
        <v>131</v>
      </c>
      <c r="D32" s="13" t="s">
        <v>132</v>
      </c>
      <c r="E32" s="13" t="s">
        <v>133</v>
      </c>
      <c r="F32" s="13" t="s">
        <v>52</v>
      </c>
      <c r="G32" s="13" t="s">
        <v>134</v>
      </c>
      <c r="H32" s="13">
        <f>($AB$13-V32+W32)*(1000/180.156)*(1/(R32-S32))*Table3[[#This Row],[D (h−1)]]</f>
        <v>2.4884498920044922</v>
      </c>
      <c r="I32" s="13">
        <f>Table3[[#This Row],[Glucose consumption flux (mmol/gDW/h)]]/(P32-Q32)</f>
        <v>0.2163869471308254</v>
      </c>
      <c r="J32" s="27" t="str">
        <f>"EX_glc__D_e:U:"&amp;Table3[[#This Row],[Glucose consumption flux (mmol/gDW/h)]]</f>
        <v>EX_glc__D_e:U:2.48844989200449</v>
      </c>
      <c r="K32" s="27" t="str">
        <f>"EX_nh4_e:L:-"&amp;Table3[[#This Row],[Ammonium consumption flux (mmol/gDW/h)]]&amp;","&amp;Table3[[#This Row],[lipid content text for file]]</f>
        <v>EX_nh4_e:L:-0.216386947130825,new_lipid_frac=0.1871</v>
      </c>
      <c r="L32" s="25" t="str">
        <f t="shared" si="0"/>
        <v>new_lipid_frac=0.1871</v>
      </c>
      <c r="M32" s="25">
        <f>Table3[[#This Row],[Glucose consumption flux (mmol/gDW/h)]]*(180.156/1000)*(T32/AB32)</f>
        <v>0.55176514306949087</v>
      </c>
      <c r="O32">
        <v>0.16</v>
      </c>
      <c r="P32">
        <v>12.1</v>
      </c>
      <c r="Q32">
        <v>0.6</v>
      </c>
      <c r="R32">
        <v>2.08</v>
      </c>
      <c r="S32">
        <v>0.01</v>
      </c>
      <c r="T32">
        <v>2.08</v>
      </c>
      <c r="U32">
        <v>0.01</v>
      </c>
      <c r="V32">
        <v>30.5</v>
      </c>
      <c r="W32">
        <v>0.3</v>
      </c>
      <c r="X32">
        <v>18.7</v>
      </c>
      <c r="Y32">
        <v>0.1</v>
      </c>
      <c r="Z32">
        <v>0.39</v>
      </c>
      <c r="AA32">
        <v>0</v>
      </c>
      <c r="AB32">
        <v>1.69</v>
      </c>
      <c r="AC32">
        <v>0.01</v>
      </c>
      <c r="AE32">
        <v>0.187</v>
      </c>
      <c r="AG32">
        <v>1.0052813739161444</v>
      </c>
      <c r="AH32">
        <v>0.81299999999999994</v>
      </c>
      <c r="AI32">
        <v>0.99879305951008945</v>
      </c>
      <c r="AJ32" t="str">
        <v>new_lipid_frac=0.187</v>
      </c>
    </row>
    <row r="33" spans="1:36" x14ac:dyDescent="0.15">
      <c r="A33" s="13">
        <v>0.2</v>
      </c>
      <c r="B33" s="13" t="s">
        <v>135</v>
      </c>
      <c r="C33" s="13" t="s">
        <v>136</v>
      </c>
      <c r="D33" s="13" t="s">
        <v>137</v>
      </c>
      <c r="E33" s="13" t="s">
        <v>138</v>
      </c>
      <c r="F33" s="13" t="s">
        <v>139</v>
      </c>
      <c r="G33" s="13" t="s">
        <v>140</v>
      </c>
      <c r="H33" s="13">
        <f>($AB$13-V33+W33)*(1000/180.156)*(1/(R33-S33))*Table3[[#This Row],[D (h−1)]]</f>
        <v>2.7411085975145277</v>
      </c>
      <c r="I33" s="13">
        <f>Table3[[#This Row],[Glucose consumption flux (mmol/gDW/h)]]/(P33-Q33)</f>
        <v>0.31148961335392356</v>
      </c>
      <c r="J33" s="27" t="str">
        <f>"EX_glc__D_e:U:"&amp;Table3[[#This Row],[Glucose consumption flux (mmol/gDW/h)]]</f>
        <v>EX_glc__D_e:U:2.74110859751453</v>
      </c>
      <c r="K33" s="27" t="str">
        <f>"EX_nh4_e:L:-"&amp;Table3[[#This Row],[Ammonium consumption flux (mmol/gDW/h)]]&amp;","&amp;Table3[[#This Row],[lipid content text for file]]</f>
        <v>EX_nh4_e:L:-0.311489613353924,new_lipid_frac=0.1323</v>
      </c>
      <c r="L33" s="25" t="str">
        <f t="shared" si="0"/>
        <v>new_lipid_frac=0.1323</v>
      </c>
      <c r="M33" s="25">
        <f>Table3[[#This Row],[Glucose consumption flux (mmol/gDW/h)]]*(180.156/1000)*(T33/AB33)</f>
        <v>0.56685793774995674</v>
      </c>
      <c r="O33">
        <v>0.2</v>
      </c>
      <c r="P33">
        <v>8.8000000000000007</v>
      </c>
      <c r="Q33">
        <v>0</v>
      </c>
      <c r="R33">
        <v>1.63</v>
      </c>
      <c r="S33">
        <v>0.01</v>
      </c>
      <c r="T33">
        <v>1.63</v>
      </c>
      <c r="U33">
        <v>0.01</v>
      </c>
      <c r="V33">
        <v>32</v>
      </c>
      <c r="W33">
        <v>0</v>
      </c>
      <c r="X33">
        <v>13.2</v>
      </c>
      <c r="Y33">
        <v>0.3</v>
      </c>
      <c r="Z33">
        <v>0.21</v>
      </c>
      <c r="AA33">
        <v>0.01</v>
      </c>
      <c r="AB33">
        <v>1.42</v>
      </c>
      <c r="AC33">
        <v>0.01</v>
      </c>
      <c r="AE33">
        <v>0.13200000000000001</v>
      </c>
      <c r="AG33">
        <v>0.7096103815878666</v>
      </c>
      <c r="AH33">
        <v>0.86799999999999999</v>
      </c>
      <c r="AI33">
        <v>1.0663620856762086</v>
      </c>
      <c r="AJ33" t="str">
        <v>new_lipid_frac=0.132</v>
      </c>
    </row>
    <row r="34" spans="1:36" ht="14" thickBot="1" x14ac:dyDescent="0.2"/>
    <row r="35" spans="1:36" ht="56" thickBot="1" x14ac:dyDescent="0.2">
      <c r="A35" t="s">
        <v>84</v>
      </c>
      <c r="R35" s="26" t="s">
        <v>85</v>
      </c>
      <c r="S35" s="26" t="s">
        <v>42</v>
      </c>
      <c r="T35" s="26" t="s">
        <v>43</v>
      </c>
      <c r="U35" s="26" t="s">
        <v>45</v>
      </c>
      <c r="V35" s="26" t="s">
        <v>86</v>
      </c>
      <c r="W35" s="26" t="s">
        <v>87</v>
      </c>
    </row>
    <row r="36" spans="1:36" ht="56" x14ac:dyDescent="0.15">
      <c r="A36" s="16" t="s">
        <v>82</v>
      </c>
      <c r="B36" s="16" t="s">
        <v>83</v>
      </c>
    </row>
    <row r="37" spans="1:36" ht="18" x14ac:dyDescent="0.2">
      <c r="A37" cm="1">
        <f t="array" ref="A37:A43">((1/0.42)*_xlfn.ANCHORARRAY(O16))+0.0057</f>
        <v>5.3319047619047613E-2</v>
      </c>
      <c r="B37" s="7" t="str" cm="1">
        <f t="array" ref="B37:B43">"EX_glc__D_e:U:"&amp;_xlfn.ANCHORARRAY(A37)*1000/180.156</f>
        <v>EX_glc__D_e:U:0.295960432175712</v>
      </c>
      <c r="O37" s="17" t="s">
        <v>142</v>
      </c>
      <c r="P37" s="17"/>
      <c r="Q37" s="17"/>
      <c r="R37" s="18" t="s">
        <v>85</v>
      </c>
      <c r="S37" s="18" t="s">
        <v>42</v>
      </c>
      <c r="T37" s="18" t="s">
        <v>43</v>
      </c>
      <c r="U37" s="18" t="s">
        <v>45</v>
      </c>
      <c r="V37" s="18" t="s">
        <v>86</v>
      </c>
      <c r="W37" s="18" t="s">
        <v>87</v>
      </c>
    </row>
    <row r="38" spans="1:36" ht="18" x14ac:dyDescent="0.2">
      <c r="A38">
        <v>0.10093809523809523</v>
      </c>
      <c r="B38" t="str">
        <v>EX_glc__D_e:U:0.560281618364613</v>
      </c>
      <c r="O38" s="19">
        <v>0.02</v>
      </c>
      <c r="P38" s="19"/>
      <c r="Q38" s="19"/>
      <c r="R38" s="19" t="s">
        <v>88</v>
      </c>
      <c r="S38" s="19" t="s">
        <v>89</v>
      </c>
      <c r="T38" s="19" t="s">
        <v>90</v>
      </c>
      <c r="U38" s="19" t="s">
        <v>91</v>
      </c>
      <c r="V38" s="19" t="s">
        <v>92</v>
      </c>
      <c r="W38" s="19" t="s">
        <v>93</v>
      </c>
    </row>
    <row r="39" spans="1:36" ht="18" x14ac:dyDescent="0.2">
      <c r="A39">
        <v>0.14855714285714286</v>
      </c>
      <c r="B39" t="str">
        <v>EX_glc__D_e:U:0.824602804553514</v>
      </c>
      <c r="O39" s="19">
        <v>0.04</v>
      </c>
      <c r="P39" s="19"/>
      <c r="Q39" s="19"/>
      <c r="R39" s="19" t="s">
        <v>94</v>
      </c>
      <c r="S39" s="19" t="s">
        <v>95</v>
      </c>
      <c r="T39" s="19" t="s">
        <v>96</v>
      </c>
      <c r="U39" s="19" t="s">
        <v>97</v>
      </c>
      <c r="V39" s="19" t="s">
        <v>98</v>
      </c>
      <c r="W39" s="19" t="s">
        <v>99</v>
      </c>
    </row>
    <row r="40" spans="1:36" ht="18" x14ac:dyDescent="0.2">
      <c r="A40">
        <v>0.19617619047619048</v>
      </c>
      <c r="B40" t="str">
        <v>EX_glc__D_e:U:1.08892399074241</v>
      </c>
      <c r="O40" s="19">
        <v>0.06</v>
      </c>
      <c r="P40" s="19"/>
      <c r="Q40" s="19"/>
      <c r="R40" s="19" t="s">
        <v>100</v>
      </c>
      <c r="S40" s="19" t="s">
        <v>101</v>
      </c>
      <c r="T40" s="19" t="s">
        <v>102</v>
      </c>
      <c r="U40" s="19" t="s">
        <v>103</v>
      </c>
      <c r="V40" s="19" t="s">
        <v>104</v>
      </c>
      <c r="W40" s="19" t="s">
        <v>105</v>
      </c>
    </row>
    <row r="41" spans="1:36" ht="18" x14ac:dyDescent="0.2">
      <c r="A41">
        <v>0.31522380952380952</v>
      </c>
      <c r="B41" t="str">
        <v>EX_glc__D_e:U:1.74972695621467</v>
      </c>
      <c r="O41" s="19">
        <v>0.08</v>
      </c>
      <c r="P41" s="19"/>
      <c r="Q41" s="19"/>
      <c r="R41" s="19" t="s">
        <v>106</v>
      </c>
      <c r="S41" s="19" t="s">
        <v>107</v>
      </c>
      <c r="T41" s="19" t="s">
        <v>108</v>
      </c>
      <c r="U41" s="19" t="s">
        <v>109</v>
      </c>
      <c r="V41" s="19" t="s">
        <v>110</v>
      </c>
      <c r="W41" s="19" t="s">
        <v>111</v>
      </c>
    </row>
    <row r="42" spans="1:36" ht="18" x14ac:dyDescent="0.2">
      <c r="A42">
        <v>0.36284285714285713</v>
      </c>
      <c r="B42" t="str">
        <v>EX_glc__D_e:U:2.01404814240357</v>
      </c>
      <c r="O42" s="19">
        <v>0.1</v>
      </c>
      <c r="P42" s="19"/>
      <c r="Q42" s="19"/>
      <c r="R42" s="19" t="s">
        <v>112</v>
      </c>
      <c r="S42" s="19" t="s">
        <v>113</v>
      </c>
      <c r="T42" s="19" t="s">
        <v>114</v>
      </c>
      <c r="U42" s="19" t="s">
        <v>115</v>
      </c>
      <c r="V42" s="19" t="s">
        <v>116</v>
      </c>
      <c r="W42" s="19" t="s">
        <v>117</v>
      </c>
    </row>
    <row r="43" spans="1:36" ht="18" x14ac:dyDescent="0.2">
      <c r="A43">
        <v>0.45808095238095237</v>
      </c>
      <c r="B43" t="str">
        <v>EX_glc__D_e:U:2.54269051478137</v>
      </c>
      <c r="O43" s="19">
        <v>0.12</v>
      </c>
      <c r="P43" s="19"/>
      <c r="Q43" s="19"/>
      <c r="R43" s="19" t="s">
        <v>118</v>
      </c>
      <c r="S43" s="19" t="s">
        <v>119</v>
      </c>
      <c r="T43" s="19" t="s">
        <v>120</v>
      </c>
      <c r="U43" s="19" t="s">
        <v>121</v>
      </c>
      <c r="V43" s="19" t="s">
        <v>122</v>
      </c>
      <c r="W43" s="19" t="s">
        <v>123</v>
      </c>
    </row>
    <row r="44" spans="1:36" ht="18" x14ac:dyDescent="0.2">
      <c r="O44" s="19">
        <v>0.14000000000000001</v>
      </c>
      <c r="P44" s="19"/>
      <c r="Q44" s="19"/>
      <c r="R44" s="19" t="s">
        <v>124</v>
      </c>
      <c r="S44" s="19" t="s">
        <v>125</v>
      </c>
      <c r="T44" s="19" t="s">
        <v>126</v>
      </c>
      <c r="U44" s="19" t="s">
        <v>127</v>
      </c>
      <c r="V44" s="19" t="s">
        <v>128</v>
      </c>
      <c r="W44" s="19" t="s">
        <v>129</v>
      </c>
    </row>
    <row r="45" spans="1:36" ht="18" x14ac:dyDescent="0.2">
      <c r="A45" s="20" t="s">
        <v>143</v>
      </c>
      <c r="O45" s="19">
        <v>0.16</v>
      </c>
      <c r="P45" s="19"/>
      <c r="Q45" s="19"/>
      <c r="R45" s="19" t="s">
        <v>130</v>
      </c>
      <c r="S45" s="19" t="s">
        <v>131</v>
      </c>
      <c r="T45" s="19" t="s">
        <v>132</v>
      </c>
      <c r="U45" s="19" t="s">
        <v>133</v>
      </c>
      <c r="V45" s="19" t="s">
        <v>52</v>
      </c>
      <c r="W45" s="19" t="s">
        <v>134</v>
      </c>
    </row>
    <row r="46" spans="1:36" ht="18" x14ac:dyDescent="0.2">
      <c r="A46" cm="1">
        <f t="array" ref="A46:A54">((1/0.42)*_xlfn.ANCHORARRAY(O25))+0.0057</f>
        <v>5.3319047619047613E-2</v>
      </c>
      <c r="B46" s="7" t="str" cm="1">
        <f t="array" ref="B46:B54">"EX_glc__D_e:U:"&amp;_xlfn.ANCHORARRAY(A46)*1000/180.156</f>
        <v>EX_glc__D_e:U:0.295960432175712</v>
      </c>
      <c r="O46" s="19">
        <v>0.2</v>
      </c>
      <c r="P46" s="19"/>
      <c r="Q46" s="19"/>
      <c r="R46" s="19" t="s">
        <v>135</v>
      </c>
      <c r="S46" s="19" t="s">
        <v>136</v>
      </c>
      <c r="T46" s="19" t="s">
        <v>137</v>
      </c>
      <c r="U46" s="19" t="s">
        <v>138</v>
      </c>
      <c r="V46" s="19" t="s">
        <v>139</v>
      </c>
      <c r="W46" s="19" t="s">
        <v>140</v>
      </c>
    </row>
    <row r="47" spans="1:36" x14ac:dyDescent="0.15">
      <c r="A47">
        <v>0.10093809523809523</v>
      </c>
      <c r="B47" t="str">
        <v>EX_glc__D_e:U:0.560281618364613</v>
      </c>
    </row>
    <row r="48" spans="1:36" x14ac:dyDescent="0.15">
      <c r="A48">
        <v>0.14855714285714286</v>
      </c>
      <c r="B48" t="str">
        <v>EX_glc__D_e:U:0.824602804553514</v>
      </c>
    </row>
    <row r="49" spans="1:2" x14ac:dyDescent="0.15">
      <c r="A49">
        <v>0.19617619047619048</v>
      </c>
      <c r="B49" t="str">
        <v>EX_glc__D_e:U:1.08892399074241</v>
      </c>
    </row>
    <row r="50" spans="1:2" x14ac:dyDescent="0.15">
      <c r="A50">
        <v>0.24379523809523812</v>
      </c>
      <c r="B50" t="str">
        <v>EX_glc__D_e:U:1.35324517693132</v>
      </c>
    </row>
    <row r="51" spans="1:2" x14ac:dyDescent="0.15">
      <c r="A51">
        <v>0.29141428571428568</v>
      </c>
      <c r="B51" t="str">
        <v>EX_glc__D_e:U:1.61756636312022</v>
      </c>
    </row>
    <row r="52" spans="1:2" x14ac:dyDescent="0.15">
      <c r="A52">
        <v>0.33903333333333335</v>
      </c>
      <c r="B52" t="str">
        <v>EX_glc__D_e:U:1.88188754930912</v>
      </c>
    </row>
    <row r="53" spans="1:2" x14ac:dyDescent="0.15">
      <c r="A53">
        <v>0.38665238095238091</v>
      </c>
      <c r="B53" t="str">
        <v>EX_glc__D_e:U:2.14620873549802</v>
      </c>
    </row>
    <row r="54" spans="1:2" x14ac:dyDescent="0.15">
      <c r="A54">
        <v>0.4818904761904762</v>
      </c>
      <c r="B54" t="str">
        <v>EX_glc__D_e:U:2.67485110787582</v>
      </c>
    </row>
  </sheetData>
  <hyperlinks>
    <hyperlink ref="B13" r:id="rId1" location="ack0005" display="https://www.sciencedirect.com/science/article/pii/S0168165613003490?via%3Dihub - ack0005" xr:uid="{1C7D11D7-2D62-4571-8D1E-642623E81BDE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80"/>
  <sheetViews>
    <sheetView zoomScaleNormal="100" workbookViewId="0">
      <pane ySplit="1" topLeftCell="A2" activePane="bottomLeft" state="frozen"/>
      <selection pane="bottomLeft" activeCell="O1" sqref="O1"/>
    </sheetView>
  </sheetViews>
  <sheetFormatPr baseColWidth="10" defaultColWidth="11.83203125" defaultRowHeight="13" x14ac:dyDescent="0.15"/>
  <cols>
    <col min="1" max="1" width="31.6640625" customWidth="1"/>
    <col min="2" max="2" width="8.1640625" customWidth="1"/>
    <col min="3" max="3" width="15" customWidth="1"/>
    <col min="4" max="4" width="10.83203125" customWidth="1"/>
    <col min="5" max="5" width="19.6640625" customWidth="1"/>
    <col min="6" max="6" width="13.5" customWidth="1"/>
    <col min="7" max="7" width="7.1640625" customWidth="1"/>
    <col min="8" max="8" width="18" customWidth="1"/>
    <col min="9" max="9" width="13.1640625" customWidth="1"/>
    <col min="10" max="10" width="12.5" bestFit="1" customWidth="1"/>
    <col min="11" max="11" width="7.6640625" customWidth="1"/>
    <col min="12" max="12" width="10.33203125" customWidth="1"/>
    <col min="13" max="13" width="16" customWidth="1"/>
    <col min="14" max="14" width="6.6640625" customWidth="1"/>
    <col min="15" max="15" width="3.5" customWidth="1"/>
    <col min="16" max="16" width="5.33203125" customWidth="1"/>
    <col min="17" max="17" width="8.83203125" customWidth="1"/>
    <col min="18" max="18" width="9.1640625" customWidth="1"/>
    <col min="19" max="20" width="6.6640625" customWidth="1"/>
    <col min="21" max="21" width="11.33203125" customWidth="1"/>
    <col min="22" max="22" width="19.6640625" customWidth="1"/>
    <col min="23" max="23" width="11.83203125" customWidth="1"/>
    <col min="24" max="24" width="6.1640625" customWidth="1"/>
    <col min="25" max="25" width="18.6640625" customWidth="1"/>
    <col min="26" max="26" width="15.83203125" customWidth="1"/>
  </cols>
  <sheetData>
    <row r="1" spans="1:28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31</v>
      </c>
      <c r="M1" s="1" t="s">
        <v>16</v>
      </c>
      <c r="N1" s="1" t="s">
        <v>17</v>
      </c>
      <c r="O1" t="s">
        <v>32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t="s">
        <v>33</v>
      </c>
      <c r="Y1" s="1" t="s">
        <v>26</v>
      </c>
      <c r="Z1" s="1" t="s">
        <v>27</v>
      </c>
    </row>
    <row r="2" spans="1:28" x14ac:dyDescent="0.15">
      <c r="A2" t="s">
        <v>29</v>
      </c>
      <c r="B2">
        <v>2013</v>
      </c>
      <c r="C2" t="s">
        <v>28</v>
      </c>
      <c r="D2">
        <v>23965273</v>
      </c>
      <c r="E2" t="s">
        <v>177</v>
      </c>
      <c r="F2" s="7">
        <v>0.02</v>
      </c>
      <c r="H2" t="s">
        <v>161</v>
      </c>
      <c r="R2" t="s">
        <v>28</v>
      </c>
      <c r="T2">
        <v>500</v>
      </c>
      <c r="U2">
        <v>0.8</v>
      </c>
      <c r="V2" t="s">
        <v>30</v>
      </c>
      <c r="W2" s="2"/>
      <c r="Y2" s="3">
        <f>IFERROR((Table1[[#This Row],[maxATPM_FBA]]-1.2)/Table1[[#This Row],[Growth_rate]],0)</f>
        <v>-60</v>
      </c>
      <c r="Z2" t="s">
        <v>34</v>
      </c>
    </row>
    <row r="3" spans="1:28" x14ac:dyDescent="0.15">
      <c r="A3" t="s">
        <v>29</v>
      </c>
      <c r="B3">
        <v>2013</v>
      </c>
      <c r="C3" t="s">
        <v>28</v>
      </c>
      <c r="D3">
        <v>23965273</v>
      </c>
      <c r="E3" t="s">
        <v>178</v>
      </c>
      <c r="F3" s="7">
        <v>0.04</v>
      </c>
      <c r="H3" t="s">
        <v>162</v>
      </c>
      <c r="R3" t="s">
        <v>28</v>
      </c>
      <c r="T3">
        <v>500</v>
      </c>
      <c r="U3">
        <v>0.8</v>
      </c>
      <c r="V3" t="s">
        <v>30</v>
      </c>
      <c r="W3" s="2"/>
      <c r="Y3" s="3">
        <f>IFERROR((Table1[[#This Row],[maxATPM_FBA]]-1.2)/Table1[[#This Row],[Growth_rate]],0)</f>
        <v>-30</v>
      </c>
      <c r="Z3" t="s">
        <v>34</v>
      </c>
    </row>
    <row r="4" spans="1:28" x14ac:dyDescent="0.15">
      <c r="A4" t="s">
        <v>29</v>
      </c>
      <c r="B4">
        <v>2013</v>
      </c>
      <c r="C4" t="s">
        <v>28</v>
      </c>
      <c r="D4">
        <v>23965273</v>
      </c>
      <c r="E4" t="s">
        <v>179</v>
      </c>
      <c r="F4" s="7">
        <v>0.06</v>
      </c>
      <c r="H4" t="s">
        <v>163</v>
      </c>
      <c r="R4" t="s">
        <v>28</v>
      </c>
      <c r="T4">
        <v>500</v>
      </c>
      <c r="U4">
        <v>0.8</v>
      </c>
      <c r="V4" t="s">
        <v>30</v>
      </c>
      <c r="W4" s="2"/>
      <c r="Y4" s="3">
        <f>IFERROR((Table1[[#This Row],[maxATPM_FBA]]-1.2)/Table1[[#This Row],[Growth_rate]],0)</f>
        <v>-20</v>
      </c>
      <c r="Z4" t="s">
        <v>34</v>
      </c>
    </row>
    <row r="5" spans="1:28" x14ac:dyDescent="0.15">
      <c r="A5" t="s">
        <v>29</v>
      </c>
      <c r="B5">
        <v>2013</v>
      </c>
      <c r="C5" t="s">
        <v>28</v>
      </c>
      <c r="D5">
        <v>23965273</v>
      </c>
      <c r="E5" t="s">
        <v>180</v>
      </c>
      <c r="F5" s="7">
        <v>0.08</v>
      </c>
      <c r="H5" t="s">
        <v>164</v>
      </c>
      <c r="R5" t="s">
        <v>28</v>
      </c>
      <c r="T5">
        <v>500</v>
      </c>
      <c r="U5">
        <v>0.8</v>
      </c>
      <c r="V5" t="s">
        <v>30</v>
      </c>
      <c r="Y5" s="3">
        <f>IFERROR((Table1[[#This Row],[maxATPM_FBA]]-1.2)/Table1[[#This Row],[Growth_rate]],0)</f>
        <v>-15</v>
      </c>
      <c r="Z5" t="s">
        <v>34</v>
      </c>
    </row>
    <row r="6" spans="1:28" x14ac:dyDescent="0.15">
      <c r="A6" t="s">
        <v>29</v>
      </c>
      <c r="B6">
        <v>2013</v>
      </c>
      <c r="C6" t="s">
        <v>28</v>
      </c>
      <c r="D6">
        <v>23965273</v>
      </c>
      <c r="E6" t="s">
        <v>181</v>
      </c>
      <c r="F6" s="7">
        <v>0.13</v>
      </c>
      <c r="H6" t="s">
        <v>165</v>
      </c>
      <c r="R6" t="s">
        <v>28</v>
      </c>
      <c r="T6">
        <v>500</v>
      </c>
      <c r="U6">
        <v>0.8</v>
      </c>
      <c r="V6" t="s">
        <v>30</v>
      </c>
      <c r="Y6" s="3">
        <f>IFERROR((Table1[[#This Row],[maxATPM_FBA]]-1.2)/Table1[[#This Row],[Growth_rate]],0)</f>
        <v>-9.2307692307692299</v>
      </c>
      <c r="Z6" t="s">
        <v>34</v>
      </c>
    </row>
    <row r="7" spans="1:28" x14ac:dyDescent="0.15">
      <c r="A7" t="s">
        <v>29</v>
      </c>
      <c r="B7">
        <v>2013</v>
      </c>
      <c r="C7" t="s">
        <v>28</v>
      </c>
      <c r="D7">
        <v>23965273</v>
      </c>
      <c r="E7" t="s">
        <v>182</v>
      </c>
      <c r="F7" s="7">
        <v>0.15</v>
      </c>
      <c r="H7" t="s">
        <v>166</v>
      </c>
      <c r="R7" t="s">
        <v>28</v>
      </c>
      <c r="T7">
        <v>500</v>
      </c>
      <c r="U7">
        <v>0.8</v>
      </c>
      <c r="V7" t="s">
        <v>30</v>
      </c>
      <c r="Y7" s="3">
        <f>IFERROR((Table1[[#This Row],[maxATPM_FBA]]-1.2)/Table1[[#This Row],[Growth_rate]],0)</f>
        <v>-8</v>
      </c>
      <c r="Z7" t="s">
        <v>34</v>
      </c>
    </row>
    <row r="8" spans="1:28" x14ac:dyDescent="0.15">
      <c r="A8" t="s">
        <v>29</v>
      </c>
      <c r="B8">
        <v>2013</v>
      </c>
      <c r="C8" t="s">
        <v>28</v>
      </c>
      <c r="D8">
        <v>23965273</v>
      </c>
      <c r="E8" t="s">
        <v>183</v>
      </c>
      <c r="F8" s="7">
        <v>0.19</v>
      </c>
      <c r="H8" t="s">
        <v>167</v>
      </c>
      <c r="R8" t="s">
        <v>28</v>
      </c>
      <c r="T8">
        <v>500</v>
      </c>
      <c r="U8">
        <v>0.8</v>
      </c>
      <c r="V8" t="s">
        <v>30</v>
      </c>
      <c r="Y8" s="3">
        <f>IFERROR((Table1[[#This Row],[maxATPM_FBA]]-1.2)/Table1[[#This Row],[Growth_rate]],0)</f>
        <v>-6.3157894736842106</v>
      </c>
      <c r="Z8" t="s">
        <v>34</v>
      </c>
    </row>
    <row r="9" spans="1:28" x14ac:dyDescent="0.15">
      <c r="A9" t="s">
        <v>141</v>
      </c>
      <c r="B9">
        <v>2013</v>
      </c>
      <c r="C9" t="s">
        <v>28</v>
      </c>
      <c r="D9">
        <v>23965273</v>
      </c>
      <c r="E9" t="s">
        <v>185</v>
      </c>
      <c r="F9" s="7">
        <v>0.02</v>
      </c>
      <c r="H9" t="s">
        <v>168</v>
      </c>
      <c r="R9" t="s">
        <v>28</v>
      </c>
      <c r="T9">
        <v>500</v>
      </c>
      <c r="U9">
        <v>0.8</v>
      </c>
      <c r="V9" t="s">
        <v>30</v>
      </c>
      <c r="Y9" s="3">
        <f>IFERROR((Table1[[#This Row],[maxATPM_FBA]]-1.2)/Table1[[#This Row],[Growth_rate]],0)</f>
        <v>-60</v>
      </c>
      <c r="Z9" t="s">
        <v>34</v>
      </c>
    </row>
    <row r="10" spans="1:28" x14ac:dyDescent="0.15">
      <c r="A10" t="s">
        <v>141</v>
      </c>
      <c r="B10">
        <v>2013</v>
      </c>
      <c r="C10" t="s">
        <v>28</v>
      </c>
      <c r="D10">
        <v>23965273</v>
      </c>
      <c r="E10" t="s">
        <v>186</v>
      </c>
      <c r="F10" s="7">
        <v>0.04</v>
      </c>
      <c r="H10" t="s">
        <v>169</v>
      </c>
      <c r="R10" t="s">
        <v>28</v>
      </c>
      <c r="T10">
        <v>500</v>
      </c>
      <c r="U10">
        <v>0.8</v>
      </c>
      <c r="V10" t="s">
        <v>30</v>
      </c>
      <c r="Y10" s="3">
        <f>IFERROR((Table1[[#This Row],[maxATPM_FBA]]-1.2)/Table1[[#This Row],[Growth_rate]],0)</f>
        <v>-30</v>
      </c>
      <c r="Z10" t="s">
        <v>34</v>
      </c>
    </row>
    <row r="11" spans="1:28" x14ac:dyDescent="0.15">
      <c r="A11" t="s">
        <v>141</v>
      </c>
      <c r="B11">
        <v>2013</v>
      </c>
      <c r="C11" t="s">
        <v>28</v>
      </c>
      <c r="D11">
        <v>23965273</v>
      </c>
      <c r="E11" t="s">
        <v>187</v>
      </c>
      <c r="F11" s="7">
        <v>0.06</v>
      </c>
      <c r="H11" t="s">
        <v>170</v>
      </c>
      <c r="R11" t="s">
        <v>28</v>
      </c>
      <c r="T11">
        <v>500</v>
      </c>
      <c r="U11">
        <v>0.8</v>
      </c>
      <c r="V11" t="s">
        <v>30</v>
      </c>
      <c r="Y11" s="3">
        <f>IFERROR((Table1[[#This Row],[maxATPM_FBA]]-1.2)/Table1[[#This Row],[Growth_rate]],0)</f>
        <v>-20</v>
      </c>
      <c r="Z11" t="s">
        <v>34</v>
      </c>
    </row>
    <row r="12" spans="1:28" x14ac:dyDescent="0.15">
      <c r="A12" t="s">
        <v>141</v>
      </c>
      <c r="B12">
        <v>2013</v>
      </c>
      <c r="C12" t="s">
        <v>28</v>
      </c>
      <c r="D12">
        <v>23965273</v>
      </c>
      <c r="E12" t="s">
        <v>188</v>
      </c>
      <c r="F12" s="7">
        <v>0.08</v>
      </c>
      <c r="H12" t="s">
        <v>171</v>
      </c>
      <c r="R12" t="s">
        <v>28</v>
      </c>
      <c r="T12">
        <v>500</v>
      </c>
      <c r="U12">
        <v>0.8</v>
      </c>
      <c r="V12" t="s">
        <v>30</v>
      </c>
      <c r="Y12" s="3">
        <f>IFERROR((Table1[[#This Row],[maxATPM_FBA]]-1.2)/Table1[[#This Row],[Growth_rate]],0)</f>
        <v>-15</v>
      </c>
      <c r="Z12" t="s">
        <v>34</v>
      </c>
    </row>
    <row r="13" spans="1:28" x14ac:dyDescent="0.15">
      <c r="A13" t="s">
        <v>141</v>
      </c>
      <c r="B13">
        <v>2013</v>
      </c>
      <c r="C13" t="s">
        <v>28</v>
      </c>
      <c r="D13">
        <v>23965273</v>
      </c>
      <c r="E13" t="s">
        <v>189</v>
      </c>
      <c r="F13" s="7">
        <v>0.1</v>
      </c>
      <c r="H13" t="s">
        <v>172</v>
      </c>
      <c r="R13" t="s">
        <v>28</v>
      </c>
      <c r="T13">
        <v>500</v>
      </c>
      <c r="U13">
        <v>0.8</v>
      </c>
      <c r="V13" t="s">
        <v>30</v>
      </c>
      <c r="Y13" s="3">
        <f>IFERROR((Table1[[#This Row],[maxATPM_FBA]]-1.2)/Table1[[#This Row],[Growth_rate]],0)</f>
        <v>-11.999999999999998</v>
      </c>
      <c r="Z13" t="s">
        <v>34</v>
      </c>
    </row>
    <row r="14" spans="1:28" x14ac:dyDescent="0.15">
      <c r="A14" t="s">
        <v>141</v>
      </c>
      <c r="B14">
        <v>2013</v>
      </c>
      <c r="C14" t="s">
        <v>28</v>
      </c>
      <c r="D14">
        <v>23965273</v>
      </c>
      <c r="E14" t="s">
        <v>190</v>
      </c>
      <c r="F14" s="7">
        <v>0.12</v>
      </c>
      <c r="H14" t="s">
        <v>173</v>
      </c>
      <c r="R14" t="s">
        <v>28</v>
      </c>
      <c r="T14">
        <v>500</v>
      </c>
      <c r="U14">
        <v>0.8</v>
      </c>
      <c r="V14" t="s">
        <v>30</v>
      </c>
      <c r="Y14" s="3">
        <f>IFERROR((Table1[[#This Row],[maxATPM_FBA]]-1.2)/Table1[[#This Row],[Growth_rate]],0)</f>
        <v>-10</v>
      </c>
      <c r="Z14" t="s">
        <v>34</v>
      </c>
    </row>
    <row r="15" spans="1:28" x14ac:dyDescent="0.15">
      <c r="A15" t="s">
        <v>141</v>
      </c>
      <c r="B15">
        <v>2013</v>
      </c>
      <c r="C15" t="s">
        <v>28</v>
      </c>
      <c r="D15">
        <v>23965273</v>
      </c>
      <c r="E15" t="s">
        <v>191</v>
      </c>
      <c r="F15" s="7">
        <v>0.14000000000000001</v>
      </c>
      <c r="H15" t="s">
        <v>174</v>
      </c>
      <c r="R15" t="s">
        <v>28</v>
      </c>
      <c r="T15">
        <v>500</v>
      </c>
      <c r="U15">
        <v>0.8</v>
      </c>
      <c r="V15" t="s">
        <v>30</v>
      </c>
      <c r="Y15" s="3">
        <f>IFERROR((Table1[[#This Row],[maxATPM_FBA]]-1.2)/Table1[[#This Row],[Growth_rate]],0)</f>
        <v>-8.5714285714285712</v>
      </c>
      <c r="Z15" t="s">
        <v>34</v>
      </c>
    </row>
    <row r="16" spans="1:28" x14ac:dyDescent="0.15">
      <c r="A16" t="s">
        <v>141</v>
      </c>
      <c r="B16">
        <v>2013</v>
      </c>
      <c r="C16" t="s">
        <v>28</v>
      </c>
      <c r="D16">
        <v>23965273</v>
      </c>
      <c r="E16" t="s">
        <v>192</v>
      </c>
      <c r="F16" s="7">
        <v>0.16</v>
      </c>
      <c r="H16" t="s">
        <v>175</v>
      </c>
      <c r="R16" t="s">
        <v>28</v>
      </c>
      <c r="T16">
        <v>500</v>
      </c>
      <c r="U16">
        <v>0.8</v>
      </c>
      <c r="V16" t="s">
        <v>30</v>
      </c>
      <c r="Y16" s="3">
        <f>IFERROR((Table1[[#This Row],[maxATPM_FBA]]-1.2)/Table1[[#This Row],[Growth_rate]],0)</f>
        <v>-7.5</v>
      </c>
      <c r="Z16" t="s">
        <v>34</v>
      </c>
      <c r="AB16" s="3"/>
    </row>
    <row r="17" spans="1:28" x14ac:dyDescent="0.15">
      <c r="A17" t="s">
        <v>141</v>
      </c>
      <c r="B17">
        <v>2013</v>
      </c>
      <c r="C17" t="s">
        <v>28</v>
      </c>
      <c r="D17">
        <v>23965273</v>
      </c>
      <c r="E17" t="s">
        <v>193</v>
      </c>
      <c r="F17" s="7">
        <v>0.2</v>
      </c>
      <c r="H17" t="s">
        <v>176</v>
      </c>
      <c r="R17" t="s">
        <v>28</v>
      </c>
      <c r="T17">
        <v>500</v>
      </c>
      <c r="U17">
        <v>0.8</v>
      </c>
      <c r="V17" t="s">
        <v>30</v>
      </c>
      <c r="Y17" s="3">
        <f>IFERROR((Table1[[#This Row],[maxATPM_FBA]]-1.2)/Table1[[#This Row],[Growth_rate]],0)</f>
        <v>-5.9999999999999991</v>
      </c>
      <c r="Z17" t="s">
        <v>34</v>
      </c>
    </row>
    <row r="18" spans="1:28" x14ac:dyDescent="0.15">
      <c r="A18" t="s">
        <v>195</v>
      </c>
      <c r="B18">
        <v>2013</v>
      </c>
      <c r="C18" t="s">
        <v>196</v>
      </c>
      <c r="E18" t="s">
        <v>198</v>
      </c>
      <c r="F18" s="7">
        <v>0.38</v>
      </c>
      <c r="H18" t="s">
        <v>197</v>
      </c>
      <c r="I18" t="s">
        <v>200</v>
      </c>
      <c r="Q18" t="s">
        <v>199</v>
      </c>
      <c r="R18" t="s">
        <v>196</v>
      </c>
      <c r="Y18" s="3">
        <f>IFERROR((Table1[[#This Row],[maxATPM_FBA]]-1.2)/Table1[[#This Row],[Growth_rate]],0)</f>
        <v>-3.1578947368421053</v>
      </c>
      <c r="AB18" s="3"/>
    </row>
    <row r="19" spans="1:28" x14ac:dyDescent="0.15">
      <c r="Y19" s="3"/>
      <c r="AB19" s="3"/>
    </row>
    <row r="20" spans="1:28" ht="3" customHeight="1" x14ac:dyDescent="0.15">
      <c r="Y20" s="3"/>
    </row>
    <row r="21" spans="1:28" x14ac:dyDescent="0.15">
      <c r="G21" s="4"/>
      <c r="I21" s="4"/>
      <c r="Y21" s="3"/>
    </row>
    <row r="22" spans="1:28" x14ac:dyDescent="0.15">
      <c r="G22" s="4"/>
      <c r="H22" s="4"/>
      <c r="I22" s="4"/>
      <c r="Y22" s="3"/>
      <c r="AB22" s="3"/>
    </row>
    <row r="23" spans="1:28" x14ac:dyDescent="0.15">
      <c r="W23" s="2"/>
      <c r="Y23" s="3"/>
    </row>
    <row r="24" spans="1:28" x14ac:dyDescent="0.15">
      <c r="W24" s="2"/>
      <c r="Y24" s="3"/>
    </row>
    <row r="25" spans="1:28" x14ac:dyDescent="0.15">
      <c r="G25" s="4"/>
      <c r="Y25" s="3"/>
    </row>
    <row r="26" spans="1:28" x14ac:dyDescent="0.15">
      <c r="H26" s="4"/>
      <c r="Y26" s="3"/>
    </row>
    <row r="27" spans="1:28" x14ac:dyDescent="0.15">
      <c r="H27" s="4"/>
      <c r="Y27" s="3"/>
    </row>
    <row r="28" spans="1:28" x14ac:dyDescent="0.15">
      <c r="U28" s="2"/>
      <c r="W28" s="5"/>
      <c r="Y28" s="3"/>
    </row>
    <row r="29" spans="1:28" x14ac:dyDescent="0.15">
      <c r="U29" s="2"/>
      <c r="W29" s="5"/>
      <c r="Y29" s="3"/>
    </row>
    <row r="30" spans="1:28" x14ac:dyDescent="0.15">
      <c r="U30" s="2"/>
      <c r="W30" s="5"/>
      <c r="Y30" s="3"/>
    </row>
    <row r="31" spans="1:28" x14ac:dyDescent="0.15">
      <c r="G31" s="4"/>
      <c r="H31" s="4"/>
      <c r="I31" s="4"/>
      <c r="Y31" s="3"/>
      <c r="AB31" s="3"/>
    </row>
    <row r="32" spans="1:28" x14ac:dyDescent="0.15">
      <c r="G32" s="4"/>
      <c r="H32" s="4"/>
      <c r="I32" s="4"/>
      <c r="Y32" s="3"/>
      <c r="AB32" s="3"/>
    </row>
    <row r="33" spans="7:28" x14ac:dyDescent="0.15">
      <c r="G33" s="4"/>
      <c r="Y33" s="3"/>
      <c r="AB33" s="3"/>
    </row>
    <row r="34" spans="7:28" x14ac:dyDescent="0.15">
      <c r="G34" s="4"/>
      <c r="T34" s="2"/>
      <c r="Y34" s="3"/>
      <c r="AB34" s="3"/>
    </row>
    <row r="35" spans="7:28" x14ac:dyDescent="0.15">
      <c r="G35" s="4"/>
      <c r="T35" s="2"/>
      <c r="Y35" s="3"/>
      <c r="AB35" s="3"/>
    </row>
    <row r="36" spans="7:28" x14ac:dyDescent="0.15">
      <c r="G36" s="4"/>
      <c r="T36" s="2"/>
      <c r="Y36" s="3"/>
      <c r="AB36" s="3"/>
    </row>
    <row r="37" spans="7:28" x14ac:dyDescent="0.15">
      <c r="G37" s="4"/>
      <c r="H37" s="4"/>
      <c r="I37" s="4"/>
      <c r="Y37" s="3"/>
      <c r="AB37" s="3"/>
    </row>
    <row r="38" spans="7:28" x14ac:dyDescent="0.15">
      <c r="Y38" s="3"/>
    </row>
    <row r="39" spans="7:28" x14ac:dyDescent="0.15">
      <c r="Y39" s="3"/>
    </row>
    <row r="40" spans="7:28" x14ac:dyDescent="0.15">
      <c r="W40" s="6"/>
      <c r="Y40" s="3"/>
    </row>
    <row r="41" spans="7:28" x14ac:dyDescent="0.15">
      <c r="W41" s="6"/>
      <c r="Y41" s="3"/>
    </row>
    <row r="42" spans="7:28" x14ac:dyDescent="0.15">
      <c r="W42" s="6"/>
      <c r="Y42" s="3"/>
      <c r="AB42" s="3"/>
    </row>
    <row r="43" spans="7:28" x14ac:dyDescent="0.15">
      <c r="W43" s="6"/>
      <c r="Y43" s="3"/>
      <c r="AB43" s="3"/>
    </row>
    <row r="44" spans="7:28" x14ac:dyDescent="0.15">
      <c r="W44" s="6"/>
      <c r="Y44" s="3"/>
    </row>
    <row r="45" spans="7:28" x14ac:dyDescent="0.15">
      <c r="W45" s="6"/>
      <c r="Y45" s="3"/>
    </row>
    <row r="46" spans="7:28" x14ac:dyDescent="0.15">
      <c r="Y46" s="3"/>
      <c r="AB46" s="3"/>
    </row>
    <row r="47" spans="7:28" x14ac:dyDescent="0.15">
      <c r="G47" s="4"/>
      <c r="H47" s="4"/>
      <c r="I47" s="4"/>
      <c r="Y47" s="3"/>
      <c r="AB47" s="3"/>
    </row>
    <row r="48" spans="7:28" x14ac:dyDescent="0.15">
      <c r="G48" s="4"/>
      <c r="H48" s="4"/>
      <c r="I48" s="4"/>
      <c r="Y48" s="3"/>
      <c r="AB48" s="3"/>
    </row>
    <row r="49" spans="7:28" x14ac:dyDescent="0.15">
      <c r="W49" s="6"/>
      <c r="Y49" s="3"/>
      <c r="AB49" s="3"/>
    </row>
    <row r="50" spans="7:28" x14ac:dyDescent="0.15">
      <c r="W50" s="6"/>
      <c r="Y50" s="3"/>
      <c r="AB50" s="3"/>
    </row>
    <row r="51" spans="7:28" x14ac:dyDescent="0.15">
      <c r="W51" s="6"/>
      <c r="Y51" s="3"/>
      <c r="AB51" s="3"/>
    </row>
    <row r="52" spans="7:28" x14ac:dyDescent="0.15">
      <c r="G52" s="4"/>
      <c r="T52" s="2"/>
      <c r="Y52" s="3"/>
      <c r="AB52" s="3"/>
    </row>
    <row r="53" spans="7:28" x14ac:dyDescent="0.15">
      <c r="G53" s="4"/>
      <c r="T53" s="2"/>
      <c r="Y53" s="3"/>
    </row>
    <row r="54" spans="7:28" x14ac:dyDescent="0.15">
      <c r="G54" s="4"/>
      <c r="T54" s="2"/>
      <c r="Y54" s="3"/>
      <c r="AB54" s="3"/>
    </row>
    <row r="55" spans="7:28" x14ac:dyDescent="0.15">
      <c r="G55" s="4"/>
      <c r="T55" s="2"/>
      <c r="Y55" s="3"/>
      <c r="AB55" s="3"/>
    </row>
    <row r="56" spans="7:28" x14ac:dyDescent="0.15">
      <c r="G56" s="4"/>
      <c r="T56" s="2"/>
      <c r="Y56" s="3"/>
      <c r="AB56" s="3"/>
    </row>
    <row r="57" spans="7:28" x14ac:dyDescent="0.15">
      <c r="G57" s="4"/>
      <c r="T57" s="2"/>
      <c r="Y57" s="3"/>
      <c r="AB57" s="3"/>
    </row>
    <row r="58" spans="7:28" x14ac:dyDescent="0.15">
      <c r="G58" s="4"/>
      <c r="T58" s="2"/>
      <c r="Y58" s="3"/>
      <c r="AB58" s="3"/>
    </row>
    <row r="59" spans="7:28" x14ac:dyDescent="0.15">
      <c r="G59" s="4"/>
      <c r="T59" s="2"/>
      <c r="Y59" s="3"/>
      <c r="AB59" s="3"/>
    </row>
    <row r="60" spans="7:28" x14ac:dyDescent="0.15">
      <c r="W60" s="6"/>
      <c r="Y60" s="3"/>
      <c r="AB60" s="3"/>
    </row>
    <row r="61" spans="7:28" x14ac:dyDescent="0.15">
      <c r="W61" s="6"/>
      <c r="Y61" s="3"/>
      <c r="AB61" s="3"/>
    </row>
    <row r="62" spans="7:28" x14ac:dyDescent="0.15">
      <c r="W62" s="6"/>
      <c r="Y62" s="3"/>
      <c r="AB62" s="3"/>
    </row>
    <row r="63" spans="7:28" x14ac:dyDescent="0.15">
      <c r="W63" s="6"/>
      <c r="Y63" s="3"/>
      <c r="AB63" s="3"/>
    </row>
    <row r="64" spans="7:28" x14ac:dyDescent="0.15">
      <c r="W64" s="6"/>
      <c r="Y64" s="3"/>
    </row>
    <row r="65" spans="7:28" x14ac:dyDescent="0.15">
      <c r="W65" s="6"/>
      <c r="Y65" s="3"/>
    </row>
    <row r="66" spans="7:28" x14ac:dyDescent="0.15">
      <c r="W66" s="6"/>
      <c r="Y66" s="3"/>
    </row>
    <row r="67" spans="7:28" x14ac:dyDescent="0.15">
      <c r="Y67" s="3"/>
    </row>
    <row r="68" spans="7:28" x14ac:dyDescent="0.15">
      <c r="Y68" s="3"/>
    </row>
    <row r="69" spans="7:28" x14ac:dyDescent="0.15">
      <c r="Y69" s="3"/>
    </row>
    <row r="70" spans="7:28" x14ac:dyDescent="0.15">
      <c r="Y70" s="3"/>
      <c r="AB70" s="3"/>
    </row>
    <row r="71" spans="7:28" x14ac:dyDescent="0.15">
      <c r="Y71" s="3"/>
      <c r="AB71" s="3"/>
    </row>
    <row r="72" spans="7:28" x14ac:dyDescent="0.15">
      <c r="Y72" s="3"/>
      <c r="AB72" s="3"/>
    </row>
    <row r="73" spans="7:28" x14ac:dyDescent="0.15">
      <c r="Y73" s="3"/>
    </row>
    <row r="74" spans="7:28" x14ac:dyDescent="0.15">
      <c r="W74" s="5"/>
      <c r="Y74" s="3"/>
    </row>
    <row r="75" spans="7:28" x14ac:dyDescent="0.15">
      <c r="W75" s="5"/>
      <c r="Y75" s="3"/>
    </row>
    <row r="76" spans="7:28" x14ac:dyDescent="0.15">
      <c r="W76" s="5"/>
      <c r="Y76" s="3"/>
    </row>
    <row r="77" spans="7:28" x14ac:dyDescent="0.15">
      <c r="W77" s="5"/>
      <c r="Y77" s="3"/>
    </row>
    <row r="78" spans="7:28" x14ac:dyDescent="0.15">
      <c r="G78" s="4"/>
      <c r="W78" s="6"/>
      <c r="Y78" s="3"/>
    </row>
    <row r="79" spans="7:28" x14ac:dyDescent="0.15">
      <c r="W79" s="6"/>
      <c r="Y79" s="3"/>
    </row>
    <row r="80" spans="7:28" x14ac:dyDescent="0.15">
      <c r="W80" s="6"/>
      <c r="Y80" s="3"/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0138-E030-AA4D-B79E-D6CD96F90927}">
  <dimension ref="A1:L8"/>
  <sheetViews>
    <sheetView tabSelected="1" topLeftCell="K1" zoomScale="222" zoomScaleNormal="400" workbookViewId="0">
      <selection activeCell="R7" sqref="R7"/>
    </sheetView>
  </sheetViews>
  <sheetFormatPr baseColWidth="10" defaultRowHeight="13" x14ac:dyDescent="0.15"/>
  <sheetData>
    <row r="1" spans="1:12" x14ac:dyDescent="0.15">
      <c r="A1" t="s">
        <v>201</v>
      </c>
      <c r="B1" t="s">
        <v>202</v>
      </c>
      <c r="C1" t="s">
        <v>203</v>
      </c>
      <c r="D1" t="s">
        <v>219</v>
      </c>
      <c r="E1" t="s">
        <v>204</v>
      </c>
      <c r="G1" t="s">
        <v>213</v>
      </c>
      <c r="H1" t="s">
        <v>218</v>
      </c>
      <c r="J1" t="s">
        <v>216</v>
      </c>
      <c r="K1" t="s">
        <v>215</v>
      </c>
      <c r="L1" t="s">
        <v>217</v>
      </c>
    </row>
    <row r="2" spans="1:12" x14ac:dyDescent="0.15">
      <c r="A2" t="s">
        <v>205</v>
      </c>
      <c r="B2">
        <v>-0.28932454163920202</v>
      </c>
      <c r="C2">
        <v>0.02</v>
      </c>
      <c r="D2">
        <v>5.1276999999999999</v>
      </c>
      <c r="E2" t="s">
        <v>206</v>
      </c>
      <c r="G2" cm="1">
        <f t="array" ref="G2:G8">-B2:B8</f>
        <v>0.28932454163920202</v>
      </c>
      <c r="H2" cm="1">
        <f t="array" ref="H2:I8">README!P16:Q22</f>
        <v>5.25</v>
      </c>
      <c r="I2">
        <v>7.0000000000000007E-2</v>
      </c>
      <c r="J2" cm="1">
        <f t="array" ref="J2:J8">Table2[min glc flux est]</f>
        <v>0.2817107379118548</v>
      </c>
      <c r="K2" cm="1">
        <f t="array" ref="K2:K8">(_xlfn.ANCHORARRAY(G2)-_xlfn.ANCHORARRAY(J2))/2</f>
        <v>3.8069018636736063E-3</v>
      </c>
      <c r="L2" cm="1">
        <f t="array" ref="L2:L8">(_xlfn.ANCHORARRAY(J2)+_xlfn.ANCHORARRAY(G2))/2</f>
        <v>0.28551763977552841</v>
      </c>
    </row>
    <row r="3" spans="1:12" x14ac:dyDescent="0.15">
      <c r="A3" t="s">
        <v>205</v>
      </c>
      <c r="B3">
        <v>-0.57421499068623305</v>
      </c>
      <c r="C3">
        <v>0.04</v>
      </c>
      <c r="D3">
        <v>10.0753</v>
      </c>
      <c r="E3" t="s">
        <v>207</v>
      </c>
      <c r="G3">
        <v>0.57421499068623305</v>
      </c>
      <c r="H3">
        <v>5.34</v>
      </c>
      <c r="I3">
        <v>0.12</v>
      </c>
      <c r="J3">
        <v>0.54897477131540939</v>
      </c>
      <c r="K3">
        <v>1.2620109685411829E-2</v>
      </c>
      <c r="L3">
        <v>0.56159488100082122</v>
      </c>
    </row>
    <row r="4" spans="1:12" x14ac:dyDescent="0.15">
      <c r="A4" t="s">
        <v>205</v>
      </c>
      <c r="B4">
        <v>-0.85640064325203902</v>
      </c>
      <c r="C4">
        <v>0.06</v>
      </c>
      <c r="D4">
        <v>14.9131</v>
      </c>
      <c r="E4" t="s">
        <v>208</v>
      </c>
      <c r="G4">
        <v>0.85640064325203902</v>
      </c>
      <c r="H4">
        <v>5.35</v>
      </c>
      <c r="I4">
        <v>0.1</v>
      </c>
      <c r="J4">
        <v>0.82497309671067953</v>
      </c>
      <c r="K4">
        <v>1.5713773270679743E-2</v>
      </c>
      <c r="L4">
        <v>0.84068686998135922</v>
      </c>
    </row>
    <row r="5" spans="1:12" x14ac:dyDescent="0.15">
      <c r="A5" t="s">
        <v>205</v>
      </c>
      <c r="B5">
        <v>-1.0860153084717901</v>
      </c>
      <c r="C5">
        <v>0.08</v>
      </c>
      <c r="D5">
        <v>17.616499999999998</v>
      </c>
      <c r="E5" t="s">
        <v>209</v>
      </c>
      <c r="G5">
        <v>1.0860153084717901</v>
      </c>
      <c r="H5">
        <v>5.6</v>
      </c>
      <c r="I5">
        <v>0.08</v>
      </c>
      <c r="J5">
        <v>1.0554233279514562</v>
      </c>
      <c r="K5">
        <v>1.5295990260166925E-2</v>
      </c>
      <c r="L5">
        <v>1.0707193182116232</v>
      </c>
    </row>
    <row r="6" spans="1:12" x14ac:dyDescent="0.15">
      <c r="A6" t="s">
        <v>205</v>
      </c>
      <c r="B6">
        <v>-1.8039920957392499</v>
      </c>
      <c r="C6">
        <v>0.13</v>
      </c>
      <c r="D6">
        <v>30.219100000000001</v>
      </c>
      <c r="E6" t="s">
        <v>210</v>
      </c>
      <c r="G6">
        <v>1.8039920957392499</v>
      </c>
      <c r="H6">
        <v>5.49</v>
      </c>
      <c r="I6">
        <v>0.09</v>
      </c>
      <c r="J6">
        <v>1.7457988023283049</v>
      </c>
      <c r="K6">
        <v>2.9096646705472518E-2</v>
      </c>
      <c r="L6">
        <v>1.7748954490337774</v>
      </c>
    </row>
    <row r="7" spans="1:12" x14ac:dyDescent="0.15">
      <c r="A7" t="s">
        <v>205</v>
      </c>
      <c r="B7">
        <v>-2.0436833532150902</v>
      </c>
      <c r="C7">
        <v>0.15</v>
      </c>
      <c r="D7">
        <v>33.331600000000002</v>
      </c>
      <c r="E7" t="s">
        <v>211</v>
      </c>
      <c r="G7">
        <v>2.0436833532150902</v>
      </c>
      <c r="H7">
        <v>5.54</v>
      </c>
      <c r="I7">
        <v>0.04</v>
      </c>
      <c r="J7">
        <v>2.0143832334557361</v>
      </c>
      <c r="K7">
        <v>1.4650059879677046E-2</v>
      </c>
      <c r="L7">
        <v>2.0290332933354129</v>
      </c>
    </row>
    <row r="8" spans="1:12" x14ac:dyDescent="0.15">
      <c r="A8" t="s">
        <v>205</v>
      </c>
      <c r="B8">
        <v>-2.5803821328704699</v>
      </c>
      <c r="C8">
        <v>0.19</v>
      </c>
      <c r="D8">
        <v>41.883800000000001</v>
      </c>
      <c r="E8" t="s">
        <v>212</v>
      </c>
      <c r="G8">
        <v>2.5803821328704699</v>
      </c>
      <c r="H8">
        <v>5.5</v>
      </c>
      <c r="I8">
        <v>0.06</v>
      </c>
      <c r="J8">
        <v>2.5208967575822783</v>
      </c>
      <c r="K8">
        <v>2.9742687644095822E-2</v>
      </c>
      <c r="L8">
        <v>2.5506394452263743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18332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README</vt:lpstr>
      <vt:lpstr>Data</vt:lpstr>
      <vt:lpstr>plotting results</vt:lpstr>
      <vt:lpstr>Data!_FilterDatabase_0</vt:lpstr>
      <vt:lpstr>Data!_FilterDatabase_0_0</vt:lpstr>
      <vt:lpstr>Data!_FilterDatabase_0_0_0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Mooney</dc:creator>
  <dc:description/>
  <cp:lastModifiedBy>Mooney, Eric James</cp:lastModifiedBy>
  <cp:revision>722</cp:revision>
  <dcterms:created xsi:type="dcterms:W3CDTF">2022-03-03T11:06:52Z</dcterms:created>
  <dcterms:modified xsi:type="dcterms:W3CDTF">2025-07-05T21:25:33Z</dcterms:modified>
  <dc:language>en-US</dc:language>
</cp:coreProperties>
</file>