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OpAmp\"/>
    </mc:Choice>
  </mc:AlternateContent>
  <xr:revisionPtr revIDLastSave="0" documentId="13_ncr:1_{2D16C3A8-95B0-4B73-8E7A-68100A2E75A3}" xr6:coauthVersionLast="33" xr6:coauthVersionMax="33" xr10:uidLastSave="{00000000-0000-0000-0000-000000000000}"/>
  <bookViews>
    <workbookView xWindow="0" yWindow="0" windowWidth="32835" windowHeight="15795" xr2:uid="{D6C93E9B-8E91-4E75-A6F3-2E8A3339D527}"/>
  </bookViews>
  <sheets>
    <sheet name="OpAmp" sheetId="1" r:id="rId1"/>
  </sheets>
  <definedNames>
    <definedName name="anbn">OpAmp!$K$81</definedName>
    <definedName name="anbp">OpAmp!$W$81</definedName>
    <definedName name="anbz">OpAmp!$Q$81</definedName>
    <definedName name="apbn">OpAmp!$K$52</definedName>
    <definedName name="apbp">OpAmp!$W$52</definedName>
    <definedName name="apbz">OpAmp!$Q$52</definedName>
    <definedName name="b">OpAmp!$C$19</definedName>
    <definedName name="eqn">OpAmp!$C$35</definedName>
    <definedName name="examples">OpAmp!$B$34:$F$45</definedName>
    <definedName name="m">OpAmp!$C$18</definedName>
    <definedName name="mnbn">OpAmp!$K$110</definedName>
    <definedName name="mnbp">OpAmp!$W$110</definedName>
    <definedName name="mnbz">OpAmp!$Q$110</definedName>
    <definedName name="mpbn">OpAmp!$K$23</definedName>
    <definedName name="mpbne">OpAmp!$AC$23</definedName>
    <definedName name="mpbp">OpAmp!$W$23</definedName>
    <definedName name="mpbz">OpAmp!$Q$23</definedName>
    <definedName name="Vinfs">OpAmp!$C$14</definedName>
    <definedName name="Vinzs">OpAmp!$C$13</definedName>
    <definedName name="Voutfs">OpAmp!$C$16</definedName>
    <definedName name="Voutzs">OpAmp!$C$15</definedName>
    <definedName name="Vref">OpAmp!#REF!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L55" i="1" l="1"/>
  <c r="L53" i="1"/>
  <c r="X53" i="1"/>
  <c r="R53" i="1"/>
  <c r="Q83" i="1"/>
  <c r="R82" i="1"/>
  <c r="W85" i="1"/>
  <c r="X85" i="1" s="1"/>
  <c r="X82" i="1"/>
  <c r="W83" i="1"/>
  <c r="X83" i="1" s="1"/>
  <c r="K84" i="1"/>
  <c r="L84" i="1" s="1"/>
  <c r="L82" i="1"/>
  <c r="K77" i="1"/>
  <c r="Q77" i="1"/>
  <c r="W77" i="1"/>
  <c r="K76" i="1"/>
  <c r="Q76" i="1"/>
  <c r="W76" i="1"/>
  <c r="K75" i="1"/>
  <c r="Q75" i="1"/>
  <c r="W75" i="1"/>
  <c r="K74" i="1"/>
  <c r="Q74" i="1"/>
  <c r="W74" i="1"/>
  <c r="K48" i="1"/>
  <c r="Q48" i="1"/>
  <c r="W48" i="1"/>
  <c r="K47" i="1"/>
  <c r="Q47" i="1"/>
  <c r="W47" i="1"/>
  <c r="K46" i="1"/>
  <c r="Q46" i="1"/>
  <c r="W46" i="1"/>
  <c r="K45" i="1"/>
  <c r="Q45" i="1"/>
  <c r="W45" i="1"/>
  <c r="R111" i="1"/>
  <c r="Q106" i="1"/>
  <c r="Q105" i="1"/>
  <c r="Q104" i="1"/>
  <c r="Q103" i="1"/>
  <c r="L111" i="1"/>
  <c r="K106" i="1"/>
  <c r="K105" i="1"/>
  <c r="K104" i="1"/>
  <c r="K103" i="1"/>
  <c r="AD24" i="1"/>
  <c r="AD28" i="1" s="1"/>
  <c r="AC19" i="1"/>
  <c r="AC18" i="1"/>
  <c r="AC17" i="1"/>
  <c r="AC16" i="1"/>
  <c r="X113" i="1"/>
  <c r="X112" i="1"/>
  <c r="W106" i="1"/>
  <c r="W105" i="1"/>
  <c r="W104" i="1"/>
  <c r="W103" i="1"/>
  <c r="R24" i="1"/>
  <c r="Q19" i="1"/>
  <c r="Q18" i="1"/>
  <c r="Q17" i="1"/>
  <c r="Q16" i="1"/>
  <c r="R83" i="1" l="1"/>
  <c r="K50" i="1"/>
  <c r="K79" i="1"/>
  <c r="Q79" i="1"/>
  <c r="W79" i="1"/>
  <c r="W50" i="1"/>
  <c r="Q50" i="1"/>
  <c r="AC21" i="1"/>
  <c r="Q108" i="1"/>
  <c r="K108" i="1"/>
  <c r="W108" i="1"/>
  <c r="Q21" i="1"/>
  <c r="K51" i="1" l="1"/>
  <c r="K52" i="1" s="1"/>
  <c r="W51" i="1"/>
  <c r="W52" i="1" s="1"/>
  <c r="Q51" i="1"/>
  <c r="Q52" i="1" s="1"/>
  <c r="Q80" i="1"/>
  <c r="Q81" i="1" s="1"/>
  <c r="K80" i="1"/>
  <c r="K81" i="1" s="1"/>
  <c r="AC22" i="1"/>
  <c r="AC23" i="1" s="1"/>
  <c r="AD21" i="1" s="1"/>
  <c r="AD22" i="1" s="1"/>
  <c r="W80" i="1"/>
  <c r="W81" i="1" s="1"/>
  <c r="W109" i="1"/>
  <c r="W110" i="1" s="1"/>
  <c r="K109" i="1"/>
  <c r="K110" i="1" s="1"/>
  <c r="Q109" i="1"/>
  <c r="Q22" i="1"/>
  <c r="Q23" i="1" s="1"/>
  <c r="K56" i="1" l="1"/>
  <c r="L56" i="1" s="1"/>
  <c r="L51" i="1" s="1"/>
  <c r="W55" i="1"/>
  <c r="Q54" i="1"/>
  <c r="R54" i="1" s="1"/>
  <c r="R50" i="1" s="1"/>
  <c r="W84" i="1"/>
  <c r="X84" i="1" s="1"/>
  <c r="X87" i="1" s="1"/>
  <c r="K85" i="1"/>
  <c r="L85" i="1" s="1"/>
  <c r="L79" i="1" s="1"/>
  <c r="Q84" i="1"/>
  <c r="R84" i="1" s="1"/>
  <c r="R79" i="1" s="1"/>
  <c r="R80" i="1"/>
  <c r="R22" i="1"/>
  <c r="R21" i="1"/>
  <c r="K83" i="1"/>
  <c r="L83" i="1" s="1"/>
  <c r="L80" i="1" s="1"/>
  <c r="AD18" i="1"/>
  <c r="AC28" i="1"/>
  <c r="AC25" i="1" s="1"/>
  <c r="AC27" i="1"/>
  <c r="R51" i="1"/>
  <c r="Q110" i="1"/>
  <c r="Q112" i="1" s="1"/>
  <c r="W114" i="1"/>
  <c r="X114" i="1" s="1"/>
  <c r="X108" i="1" s="1"/>
  <c r="K112" i="1"/>
  <c r="K113" i="1"/>
  <c r="L113" i="1" s="1"/>
  <c r="L109" i="1" s="1"/>
  <c r="L108" i="1"/>
  <c r="L28" i="1"/>
  <c r="L29" i="1"/>
  <c r="L25" i="1"/>
  <c r="K18" i="1"/>
  <c r="X26" i="1"/>
  <c r="X24" i="1"/>
  <c r="W19" i="1"/>
  <c r="W18" i="1"/>
  <c r="W17" i="1"/>
  <c r="W16" i="1"/>
  <c r="K19" i="1"/>
  <c r="K17" i="1"/>
  <c r="K16" i="1"/>
  <c r="K54" i="1" l="1"/>
  <c r="L54" i="1" s="1"/>
  <c r="L50" i="1" s="1"/>
  <c r="L48" i="1" s="1"/>
  <c r="X55" i="1"/>
  <c r="W54" i="1"/>
  <c r="X54" i="1" s="1"/>
  <c r="X79" i="1"/>
  <c r="R77" i="1"/>
  <c r="R76" i="1"/>
  <c r="W87" i="1"/>
  <c r="W86" i="1" s="1"/>
  <c r="X86" i="1" s="1"/>
  <c r="X80" i="1" s="1"/>
  <c r="L76" i="1"/>
  <c r="R48" i="1"/>
  <c r="R47" i="1"/>
  <c r="W111" i="1"/>
  <c r="X111" i="1" s="1"/>
  <c r="X109" i="1" s="1"/>
  <c r="X106" i="1" s="1"/>
  <c r="R108" i="1"/>
  <c r="R109" i="1"/>
  <c r="L105" i="1"/>
  <c r="L106" i="1"/>
  <c r="Q25" i="1"/>
  <c r="R18" i="1" s="1"/>
  <c r="AD19" i="1"/>
  <c r="W21" i="1"/>
  <c r="K21" i="1"/>
  <c r="L47" i="1" l="1"/>
  <c r="X51" i="1"/>
  <c r="X50" i="1"/>
  <c r="L77" i="1"/>
  <c r="X77" i="1"/>
  <c r="X76" i="1"/>
  <c r="X105" i="1"/>
  <c r="R105" i="1"/>
  <c r="R106" i="1"/>
  <c r="R19" i="1"/>
  <c r="W22" i="1"/>
  <c r="W23" i="1" s="1"/>
  <c r="K22" i="1"/>
  <c r="K23" i="1" s="1"/>
  <c r="C18" i="1"/>
  <c r="C19" i="1" s="1"/>
  <c r="X47" i="1" l="1"/>
  <c r="X48" i="1"/>
  <c r="L21" i="1"/>
  <c r="L22" i="1"/>
  <c r="W25" i="1"/>
  <c r="K28" i="1"/>
  <c r="K26" i="1" s="1"/>
  <c r="W27" i="1" l="1"/>
  <c r="X27" i="1" s="1"/>
  <c r="X25" i="1"/>
  <c r="L19" i="1"/>
  <c r="L18" i="1"/>
  <c r="K27" i="1"/>
  <c r="K29" i="1" s="1"/>
  <c r="X21" i="1" l="1"/>
  <c r="X22" i="1" s="1"/>
  <c r="X18" i="1" l="1"/>
  <c r="K24" i="1"/>
  <c r="X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Q24" authorId="0" shapeId="0" xr:uid="{94E5F1AF-4588-4B22-9F67-8F4613982D65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4" authorId="0" shapeId="0" xr:uid="{53A86171-9B63-4659-908A-747CB01FEDD6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AC24" authorId="0" shapeId="0" xr:uid="{ECF59C77-1A32-4345-9905-AFC19B62987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25" authorId="0" shapeId="0" xr:uid="{8D68C2AC-1419-42E1-B409-01024D9754D2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6" authorId="0" shapeId="0" xr:uid="{534AF19C-7992-4797-BB6B-0DE4F3F53713}">
      <text>
        <r>
          <rPr>
            <b/>
            <sz val="9"/>
            <color indexed="81"/>
            <rFont val="Tahoma"/>
            <family val="2"/>
          </rPr>
          <t>Choose value (approx Rg/10)</t>
        </r>
      </text>
    </comment>
    <comment ref="W26" authorId="0" shapeId="0" xr:uid="{9CBBB31C-4520-4334-AEBE-E50ACCE494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AC26" authorId="0" shapeId="0" xr:uid="{7F12169D-09E5-4300-922B-A942B018D69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53" authorId="0" shapeId="0" xr:uid="{355C2403-D033-4A06-AE51-A6731F99874B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Q53" authorId="0" shapeId="0" xr:uid="{28E85606-A124-4979-88A2-A0CE6CD57950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W53" authorId="0" shapeId="0" xr:uid="{2AF8F0D6-CF71-4443-B9B4-0AACFF5AC83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55" authorId="0" shapeId="0" xr:uid="{B6579650-2F15-4144-90B3-1A0FC46E2C41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82" authorId="0" shapeId="0" xr:uid="{27B083B8-3A32-43EA-83CD-EFAEA5459C0A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2" authorId="0" shapeId="0" xr:uid="{D29FFB03-1465-4515-B343-57FD47351AA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82" authorId="0" shapeId="0" xr:uid="{26478A79-EE90-4CD8-8828-5BFBFA65E44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3" authorId="0" shapeId="0" xr:uid="{D45742B1-F92D-42B2-8389-1FC3166D3C40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3" authorId="0" shapeId="0" xr:uid="{35A52E86-2472-4DCA-9CF3-F6718C5D51F1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K84" authorId="0" shapeId="0" xr:uid="{10E9BA63-FC58-4E4A-8DE6-B5CE22BE7733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5" authorId="0" shapeId="0" xr:uid="{6DB4E5CB-9747-4432-93E7-8AC0036C7DE1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111" authorId="0" shapeId="0" xr:uid="{82F1AF3C-DEB6-450F-A42B-881FEA9A1490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111" authorId="0" shapeId="0" xr:uid="{EF96FF47-B8B6-4F7F-A35F-F5E510200B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112" authorId="0" shapeId="0" xr:uid="{B89597B3-74B7-4088-BF0E-5C6CD0A99D13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W113" authorId="0" shapeId="0" xr:uid="{770C62DE-42A7-45C1-8461-3FE28B3A160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sharedStrings.xml><?xml version="1.0" encoding="utf-8"?>
<sst xmlns="http://schemas.openxmlformats.org/spreadsheetml/2006/main" count="240" uniqueCount="64">
  <si>
    <t>Vinfs</t>
  </si>
  <si>
    <t>Vinzs</t>
  </si>
  <si>
    <t>Voutfs</t>
  </si>
  <si>
    <t>full-scale input voltage</t>
  </si>
  <si>
    <t>zero-scale input voltage</t>
  </si>
  <si>
    <t>full-scale ouptput voltate</t>
  </si>
  <si>
    <t>zero-scale output voltage</t>
  </si>
  <si>
    <t>m</t>
  </si>
  <si>
    <t>b</t>
  </si>
  <si>
    <t>Rf</t>
  </si>
  <si>
    <t>Rg</t>
  </si>
  <si>
    <t>R2</t>
  </si>
  <si>
    <t>R1</t>
  </si>
  <si>
    <t>Vref</t>
  </si>
  <si>
    <t>Rg2</t>
  </si>
  <si>
    <t>Rg1</t>
  </si>
  <si>
    <t>Vref'</t>
  </si>
  <si>
    <t>Voutzs</t>
  </si>
  <si>
    <t>Param</t>
  </si>
  <si>
    <t>Value</t>
  </si>
  <si>
    <t>valid</t>
  </si>
  <si>
    <t>Actual</t>
  </si>
  <si>
    <t>m &gt; 1, b = 0</t>
  </si>
  <si>
    <t>m &gt; 1, b &lt; 0</t>
  </si>
  <si>
    <t>m &gt; 1, b &lt; 0 enhanced</t>
  </si>
  <si>
    <t>m &lt;= -1, b &gt; 0</t>
  </si>
  <si>
    <t>m &lt;= -1, b = 0</t>
  </si>
  <si>
    <t>m &lt;= -1, b &lt; 0</t>
  </si>
  <si>
    <t>0 &gt; m &gt; -1, b &gt; 0</t>
  </si>
  <si>
    <t>0 &gt; m &gt; -1, b = 0</t>
  </si>
  <si>
    <t>0 &gt; m &gt; -1, b &lt; 0</t>
  </si>
  <si>
    <t xml:space="preserve"> 1 &gt; m &gt; 0, b &gt; 0</t>
  </si>
  <si>
    <t xml:space="preserve"> 1 &gt; m &gt; 0, b = 0</t>
  </si>
  <si>
    <t>1 &gt;= m &gt; 0, b &lt; 0</t>
  </si>
  <si>
    <t>m &gt;= 1, b &gt; 0</t>
  </si>
  <si>
    <t>Rin</t>
  </si>
  <si>
    <t>Rattten</t>
  </si>
  <si>
    <t>Rp</t>
  </si>
  <si>
    <t>R3</t>
  </si>
  <si>
    <t>b=Vourzs-m * Vinzs</t>
  </si>
  <si>
    <t>m = (Voutfs - Voutzs) / (Vinfs - Vinzs)</t>
  </si>
  <si>
    <t>Op Amps for Everyone 5th Edition</t>
  </si>
  <si>
    <t>Designing Gain and Offset in Thirty Seconds</t>
  </si>
  <si>
    <t>References</t>
  </si>
  <si>
    <t>Twelve Rules for Operational Amplifiers</t>
  </si>
  <si>
    <t>Verson 1.0, 20180609, Marten Agren</t>
  </si>
  <si>
    <t>Transfer function:</t>
  </si>
  <si>
    <t>Signs for m and b determine the circuit</t>
  </si>
  <si>
    <t>The relevant circuit is highlighted in yellow</t>
  </si>
  <si>
    <t xml:space="preserve"> y = mx + b</t>
  </si>
  <si>
    <t>Example</t>
  </si>
  <si>
    <t>mpbn</t>
  </si>
  <si>
    <t>mpbz</t>
  </si>
  <si>
    <t>apbn</t>
  </si>
  <si>
    <t>apbz</t>
  </si>
  <si>
    <t>apbp</t>
  </si>
  <si>
    <t>mpbp</t>
  </si>
  <si>
    <t>anbn</t>
  </si>
  <si>
    <t>anbz</t>
  </si>
  <si>
    <t>anbp</t>
  </si>
  <si>
    <t>mnbn</t>
  </si>
  <si>
    <t>mnbz</t>
  </si>
  <si>
    <t>mnbp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</si>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</sst>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_(* #,##0_);_(* \(#,##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Border="1"/>
    <xf numFmtId="165" fontId="8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9" fillId="0" borderId="0" xfId="2"/>
    <xf numFmtId="165" fontId="0" fillId="0" borderId="0" xfId="1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Alignment="1">
      <alignment horizontal="left"/>
    </xf>
    <xf numFmtId="0" fontId="11" fillId="0" borderId="0" xfId="0" applyFont="1"/>
    <xf numFmtId="0" fontId="10" fillId="0" borderId="0" xfId="0" applyFon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1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4</xdr:row>
      <xdr:rowOff>133350</xdr:rowOff>
    </xdr:from>
    <xdr:to>
      <xdr:col>24</xdr:col>
      <xdr:colOff>418713</xdr:colOff>
      <xdr:row>12</xdr:row>
      <xdr:rowOff>133160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0AAC5-0DCF-4907-98AF-C325B617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09725"/>
          <a:ext cx="3095238" cy="1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</xdr:row>
      <xdr:rowOff>104775</xdr:rowOff>
    </xdr:from>
    <xdr:to>
      <xdr:col>12</xdr:col>
      <xdr:colOff>656771</xdr:colOff>
      <xdr:row>13</xdr:row>
      <xdr:rowOff>18823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A17174-B20A-476D-8BC9-E55351A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390650"/>
          <a:ext cx="3628571" cy="1819048"/>
        </a:xfrm>
        <a:prstGeom prst="rect">
          <a:avLst/>
        </a:prstGeom>
      </xdr:spPr>
    </xdr:pic>
    <xdr:clientData/>
  </xdr:twoCellAnchor>
  <xdr:oneCellAnchor>
    <xdr:from>
      <xdr:col>20</xdr:col>
      <xdr:colOff>495300</xdr:colOff>
      <xdr:row>91</xdr:row>
      <xdr:rowOff>161925</xdr:rowOff>
    </xdr:from>
    <xdr:ext cx="2933333" cy="1495238"/>
    <xdr:pic>
      <xdr:nvPicPr>
        <xdr:cNvPr id="8" name="Picture 7">
          <a:extLst>
            <a:ext uri="{FF2B5EF4-FFF2-40B4-BE49-F238E27FC236}">
              <a16:creationId xmlns:a16="http://schemas.microsoft.com/office/drawing/2014/main" id="{F083656C-D6A8-4839-B2EB-8C85FF8B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9741" y="1260101"/>
          <a:ext cx="2933333" cy="1495238"/>
        </a:xfrm>
        <a:prstGeom prst="rect">
          <a:avLst/>
        </a:prstGeom>
      </xdr:spPr>
    </xdr:pic>
    <xdr:clientData/>
  </xdr:oneCellAnchor>
  <xdr:oneCellAnchor>
    <xdr:from>
      <xdr:col>26</xdr:col>
      <xdr:colOff>66675</xdr:colOff>
      <xdr:row>3</xdr:row>
      <xdr:rowOff>114300</xdr:rowOff>
    </xdr:from>
    <xdr:ext cx="3714749" cy="1933333"/>
    <xdr:pic>
      <xdr:nvPicPr>
        <xdr:cNvPr id="9" name="Picture 8">
          <a:extLst>
            <a:ext uri="{FF2B5EF4-FFF2-40B4-BE49-F238E27FC236}">
              <a16:creationId xmlns:a16="http://schemas.microsoft.com/office/drawing/2014/main" id="{81600AC5-5C33-4A97-8EC8-17302DFA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0616" y="6692153"/>
          <a:ext cx="3714749" cy="1933333"/>
        </a:xfrm>
        <a:prstGeom prst="rect">
          <a:avLst/>
        </a:prstGeom>
      </xdr:spPr>
    </xdr:pic>
    <xdr:clientData/>
  </xdr:oneCellAnchor>
  <xdr:oneCellAnchor>
    <xdr:from>
      <xdr:col>8</xdr:col>
      <xdr:colOff>476250</xdr:colOff>
      <xdr:row>91</xdr:row>
      <xdr:rowOff>142875</xdr:rowOff>
    </xdr:from>
    <xdr:ext cx="2914286" cy="1276190"/>
    <xdr:pic>
      <xdr:nvPicPr>
        <xdr:cNvPr id="10" name="Picture 9">
          <a:extLst>
            <a:ext uri="{FF2B5EF4-FFF2-40B4-BE49-F238E27FC236}">
              <a16:creationId xmlns:a16="http://schemas.microsoft.com/office/drawing/2014/main" id="{4E550962-95CA-4222-9F34-A14F349B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18240375"/>
          <a:ext cx="2914286" cy="1276190"/>
        </a:xfrm>
        <a:prstGeom prst="rect">
          <a:avLst/>
        </a:prstGeom>
      </xdr:spPr>
    </xdr:pic>
    <xdr:clientData/>
  </xdr:oneCellAnchor>
  <xdr:twoCellAnchor editAs="oneCell">
    <xdr:from>
      <xdr:col>14</xdr:col>
      <xdr:colOff>571500</xdr:colOff>
      <xdr:row>4</xdr:row>
      <xdr:rowOff>145677</xdr:rowOff>
    </xdr:from>
    <xdr:to>
      <xdr:col>18</xdr:col>
      <xdr:colOff>100853</xdr:colOff>
      <xdr:row>12</xdr:row>
      <xdr:rowOff>148478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ADABC-17A6-4F44-8E1D-CF8B669B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4941" y="1243853"/>
          <a:ext cx="2577353" cy="15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515469</xdr:colOff>
      <xdr:row>91</xdr:row>
      <xdr:rowOff>145676</xdr:rowOff>
    </xdr:from>
    <xdr:to>
      <xdr:col>18</xdr:col>
      <xdr:colOff>168647</xdr:colOff>
      <xdr:row>98</xdr:row>
      <xdr:rowOff>15127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C94990-3823-4C6C-B5D1-D7F1CCCC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0" y="6914029"/>
          <a:ext cx="2701178" cy="120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235323</xdr:colOff>
      <xdr:row>61</xdr:row>
      <xdr:rowOff>168088</xdr:rowOff>
    </xdr:from>
    <xdr:to>
      <xdr:col>12</xdr:col>
      <xdr:colOff>538718</xdr:colOff>
      <xdr:row>69</xdr:row>
      <xdr:rowOff>112059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4C572A-1B8E-43B8-ACEC-8A10C301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264" y="6745941"/>
          <a:ext cx="3351395" cy="146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224118</xdr:colOff>
      <xdr:row>62</xdr:row>
      <xdr:rowOff>11206</xdr:rowOff>
    </xdr:from>
    <xdr:to>
      <xdr:col>24</xdr:col>
      <xdr:colOff>549088</xdr:colOff>
      <xdr:row>71</xdr:row>
      <xdr:rowOff>103941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CB7D8-2737-4C5A-A3A2-34038091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9" y="6779559"/>
          <a:ext cx="3372970" cy="180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212912</xdr:colOff>
      <xdr:row>62</xdr:row>
      <xdr:rowOff>100853</xdr:rowOff>
    </xdr:from>
    <xdr:to>
      <xdr:col>18</xdr:col>
      <xdr:colOff>367513</xdr:colOff>
      <xdr:row>69</xdr:row>
      <xdr:rowOff>134471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A0FBE2-0946-45C4-90F1-F143B8D0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353" y="6869206"/>
          <a:ext cx="3202601" cy="136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257176</xdr:colOff>
      <xdr:row>34</xdr:row>
      <xdr:rowOff>19050</xdr:rowOff>
    </xdr:from>
    <xdr:to>
      <xdr:col>18</xdr:col>
      <xdr:colOff>512008</xdr:colOff>
      <xdr:row>39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50496C-0FCC-4198-A099-02E0DBF7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1" y="6972300"/>
          <a:ext cx="3302832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333375</xdr:colOff>
      <xdr:row>33</xdr:row>
      <xdr:rowOff>104775</xdr:rowOff>
    </xdr:from>
    <xdr:to>
      <xdr:col>24</xdr:col>
      <xdr:colOff>492962</xdr:colOff>
      <xdr:row>41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903C6F-56D9-49F0-9D99-4978CDF3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6867525"/>
          <a:ext cx="320758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33</xdr:row>
      <xdr:rowOff>171450</xdr:rowOff>
    </xdr:from>
    <xdr:to>
      <xdr:col>12</xdr:col>
      <xdr:colOff>602603</xdr:colOff>
      <xdr:row>41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FADD3F9-B41A-4C58-A475-E8EB55C0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34200"/>
          <a:ext cx="3383903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Op-Amps-Everyone-Bruce-Carter-ebook/dp/B073Y6RDYS/ref=mt_kindle" TargetMode="External"/><Relationship Id="rId1" Type="http://schemas.openxmlformats.org/officeDocument/2006/relationships/hyperlink" Target="http://www.ti.com/lit/an/sloa097/sloa097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D8-7C85-4718-8844-D6DF268777A2}">
  <dimension ref="B3:AE117"/>
  <sheetViews>
    <sheetView showGridLines="0" tabSelected="1" zoomScaleNormal="100" workbookViewId="0"/>
  </sheetViews>
  <sheetFormatPr defaultRowHeight="15" x14ac:dyDescent="0.25"/>
  <cols>
    <col min="1" max="1" width="12.28515625" customWidth="1"/>
    <col min="2" max="6" width="11.42578125" customWidth="1"/>
    <col min="8" max="8" width="2.85546875" customWidth="1"/>
    <col min="9" max="13" width="11.42578125" customWidth="1"/>
    <col min="14" max="14" width="2.85546875" customWidth="1"/>
    <col min="15" max="19" width="11.42578125" customWidth="1"/>
    <col min="20" max="20" width="2.85546875" customWidth="1"/>
    <col min="21" max="25" width="11.42578125" customWidth="1"/>
    <col min="26" max="26" width="2.85546875" customWidth="1"/>
    <col min="27" max="31" width="11.42578125" customWidth="1"/>
    <col min="32" max="32" width="2.85546875" customWidth="1"/>
  </cols>
  <sheetData>
    <row r="3" spans="2:31" ht="26.25" x14ac:dyDescent="0.4">
      <c r="B3" s="45" t="s">
        <v>44</v>
      </c>
      <c r="C3" s="45"/>
      <c r="D3" s="45"/>
      <c r="E3" s="45"/>
      <c r="F3" s="45"/>
      <c r="G3" s="45"/>
      <c r="I3" s="42" t="s">
        <v>23</v>
      </c>
      <c r="J3" s="43"/>
      <c r="K3" s="43"/>
      <c r="L3" s="43"/>
      <c r="M3" s="44"/>
      <c r="N3" s="31"/>
      <c r="O3" s="42" t="s">
        <v>22</v>
      </c>
      <c r="P3" s="43"/>
      <c r="Q3" s="43"/>
      <c r="R3" s="43"/>
      <c r="S3" s="44"/>
      <c r="U3" s="42" t="s">
        <v>34</v>
      </c>
      <c r="V3" s="43"/>
      <c r="W3" s="43"/>
      <c r="X3" s="43"/>
      <c r="Y3" s="44"/>
      <c r="AA3" s="42" t="s">
        <v>24</v>
      </c>
      <c r="AB3" s="43"/>
      <c r="AC3" s="43"/>
      <c r="AD3" s="43"/>
      <c r="AE3" s="44"/>
    </row>
    <row r="4" spans="2:31" x14ac:dyDescent="0.25">
      <c r="B4" t="s">
        <v>45</v>
      </c>
      <c r="I4" s="7"/>
      <c r="J4" s="8"/>
      <c r="K4" s="8"/>
      <c r="L4" s="8"/>
      <c r="M4" s="9"/>
      <c r="N4" s="8"/>
      <c r="O4" s="7"/>
      <c r="P4" s="8"/>
      <c r="Q4" s="8"/>
      <c r="R4" s="8"/>
      <c r="S4" s="9"/>
      <c r="U4" s="7"/>
      <c r="V4" s="8"/>
      <c r="W4" s="8"/>
      <c r="X4" s="8"/>
      <c r="Y4" s="9"/>
      <c r="AA4" s="7"/>
      <c r="AB4" s="8"/>
      <c r="AC4" s="8"/>
      <c r="AD4" s="8"/>
      <c r="AE4" s="9"/>
    </row>
    <row r="5" spans="2:31" x14ac:dyDescent="0.25">
      <c r="I5" s="7"/>
      <c r="J5" s="8"/>
      <c r="K5" s="8"/>
      <c r="L5" s="8"/>
      <c r="M5" s="9"/>
      <c r="N5" s="8"/>
      <c r="O5" s="7"/>
      <c r="P5" s="8"/>
      <c r="Q5" s="8"/>
      <c r="R5" s="8"/>
      <c r="S5" s="9"/>
      <c r="U5" s="7"/>
      <c r="V5" s="8"/>
      <c r="W5" s="8"/>
      <c r="X5" s="8"/>
      <c r="Y5" s="9"/>
      <c r="AA5" s="7"/>
      <c r="AB5" s="8"/>
      <c r="AC5" s="8"/>
      <c r="AD5" s="8"/>
      <c r="AE5" s="9"/>
    </row>
    <row r="6" spans="2:31" x14ac:dyDescent="0.25">
      <c r="I6" s="7"/>
      <c r="J6" s="8"/>
      <c r="K6" s="8"/>
      <c r="L6" s="8"/>
      <c r="M6" s="9"/>
      <c r="N6" s="8"/>
      <c r="O6" s="7"/>
      <c r="P6" s="8"/>
      <c r="Q6" s="8"/>
      <c r="R6" s="8"/>
      <c r="S6" s="9"/>
      <c r="U6" s="7"/>
      <c r="V6" s="8"/>
      <c r="W6" s="8"/>
      <c r="X6" s="8"/>
      <c r="Y6" s="9"/>
      <c r="AA6" s="7"/>
      <c r="AB6" s="8"/>
      <c r="AC6" s="8"/>
      <c r="AD6" s="8"/>
      <c r="AE6" s="9"/>
    </row>
    <row r="7" spans="2:31" x14ac:dyDescent="0.25">
      <c r="B7" t="s">
        <v>46</v>
      </c>
      <c r="E7" s="38" t="s">
        <v>49</v>
      </c>
      <c r="I7" s="7"/>
      <c r="J7" s="8"/>
      <c r="K7" s="8"/>
      <c r="L7" s="8"/>
      <c r="M7" s="9"/>
      <c r="N7" s="8"/>
      <c r="O7" s="7"/>
      <c r="P7" s="8"/>
      <c r="Q7" s="8"/>
      <c r="R7" s="8"/>
      <c r="S7" s="9"/>
      <c r="U7" s="7"/>
      <c r="V7" s="8"/>
      <c r="W7" s="8"/>
      <c r="X7" s="8"/>
      <c r="Y7" s="9"/>
      <c r="AA7" s="7"/>
      <c r="AB7" s="8"/>
      <c r="AC7" s="8"/>
      <c r="AD7" s="8"/>
      <c r="AE7" s="9"/>
    </row>
    <row r="8" spans="2:31" x14ac:dyDescent="0.25">
      <c r="I8" s="7"/>
      <c r="J8" s="8"/>
      <c r="K8" s="8"/>
      <c r="L8" s="8"/>
      <c r="M8" s="9"/>
      <c r="N8" s="8"/>
      <c r="O8" s="7"/>
      <c r="P8" s="8"/>
      <c r="Q8" s="8"/>
      <c r="R8" s="8"/>
      <c r="S8" s="9"/>
      <c r="U8" s="7"/>
      <c r="V8" s="8"/>
      <c r="W8" s="8"/>
      <c r="X8" s="8"/>
      <c r="Y8" s="9"/>
      <c r="AA8" s="7"/>
      <c r="AB8" s="8"/>
      <c r="AC8" s="8"/>
      <c r="AD8" s="8"/>
      <c r="AE8" s="9"/>
    </row>
    <row r="9" spans="2:31" x14ac:dyDescent="0.25">
      <c r="B9" t="s">
        <v>47</v>
      </c>
      <c r="I9" s="7"/>
      <c r="J9" s="8"/>
      <c r="K9" s="8"/>
      <c r="L9" s="8"/>
      <c r="M9" s="9"/>
      <c r="N9" s="8"/>
      <c r="O9" s="7"/>
      <c r="P9" s="8"/>
      <c r="Q9" s="8"/>
      <c r="R9" s="8"/>
      <c r="S9" s="9"/>
      <c r="U9" s="7"/>
      <c r="V9" s="8"/>
      <c r="W9" s="8"/>
      <c r="X9" s="8"/>
      <c r="Y9" s="9"/>
      <c r="AA9" s="7"/>
      <c r="AB9" s="8"/>
      <c r="AC9" s="8"/>
      <c r="AD9" s="8"/>
      <c r="AE9" s="9"/>
    </row>
    <row r="10" spans="2:31" x14ac:dyDescent="0.25">
      <c r="I10" s="7"/>
      <c r="J10" s="8"/>
      <c r="K10" s="8"/>
      <c r="L10" s="8"/>
      <c r="M10" s="9"/>
      <c r="N10" s="8"/>
      <c r="O10" s="7"/>
      <c r="P10" s="8"/>
      <c r="Q10" s="8"/>
      <c r="R10" s="8"/>
      <c r="S10" s="9"/>
      <c r="U10" s="7"/>
      <c r="V10" s="8"/>
      <c r="W10" s="8"/>
      <c r="X10" s="8"/>
      <c r="Y10" s="9"/>
      <c r="AA10" s="7"/>
      <c r="AB10" s="8"/>
      <c r="AC10" s="8"/>
      <c r="AD10" s="8"/>
      <c r="AE10" s="9"/>
    </row>
    <row r="11" spans="2:31" x14ac:dyDescent="0.25">
      <c r="B11" t="s">
        <v>63</v>
      </c>
      <c r="C11" s="4" t="s">
        <v>51</v>
      </c>
      <c r="I11" s="7"/>
      <c r="J11" s="8"/>
      <c r="K11" s="8"/>
      <c r="L11" s="8"/>
      <c r="M11" s="9"/>
      <c r="N11" s="8"/>
      <c r="O11" s="7"/>
      <c r="P11" s="8"/>
      <c r="Q11" s="8"/>
      <c r="R11" s="8"/>
      <c r="S11" s="9"/>
      <c r="U11" s="7"/>
      <c r="V11" s="8"/>
      <c r="W11" s="8"/>
      <c r="X11" s="8"/>
      <c r="Y11" s="9"/>
      <c r="AA11" s="7"/>
      <c r="AB11" s="8"/>
      <c r="AC11" s="8"/>
      <c r="AD11" s="8"/>
      <c r="AE11" s="9"/>
    </row>
    <row r="12" spans="2:31" x14ac:dyDescent="0.25">
      <c r="I12" s="7"/>
      <c r="J12" s="8"/>
      <c r="K12" s="8"/>
      <c r="L12" s="8"/>
      <c r="M12" s="9"/>
      <c r="N12" s="8"/>
      <c r="O12" s="7"/>
      <c r="P12" s="8"/>
      <c r="Q12" s="8"/>
      <c r="R12" s="8"/>
      <c r="S12" s="9"/>
      <c r="U12" s="7"/>
      <c r="V12" s="8"/>
      <c r="W12" s="8"/>
      <c r="X12" s="8"/>
      <c r="Y12" s="9"/>
      <c r="AA12" s="7"/>
      <c r="AB12" s="8"/>
      <c r="AC12" s="8"/>
      <c r="AD12" s="8"/>
      <c r="AE12" s="9"/>
    </row>
    <row r="13" spans="2:31" x14ac:dyDescent="0.25">
      <c r="B13" t="s">
        <v>1</v>
      </c>
      <c r="C13" s="39">
        <f>VLOOKUP(C11,examples,2,)</f>
        <v>-1</v>
      </c>
      <c r="E13" t="s">
        <v>4</v>
      </c>
      <c r="I13" s="7"/>
      <c r="J13" s="8"/>
      <c r="K13" s="8"/>
      <c r="L13" s="8"/>
      <c r="M13" s="9"/>
      <c r="N13" s="8"/>
      <c r="O13" s="7"/>
      <c r="P13" s="8"/>
      <c r="Q13" s="8"/>
      <c r="R13" s="8"/>
      <c r="S13" s="9"/>
      <c r="U13" s="7"/>
      <c r="V13" s="8"/>
      <c r="W13" s="8"/>
      <c r="X13" s="8"/>
      <c r="Y13" s="9"/>
      <c r="AA13" s="7"/>
      <c r="AB13" s="8"/>
      <c r="AC13" s="8"/>
      <c r="AD13" s="8"/>
      <c r="AE13" s="9"/>
    </row>
    <row r="14" spans="2:31" x14ac:dyDescent="0.25">
      <c r="B14" t="s">
        <v>0</v>
      </c>
      <c r="C14" s="39">
        <f>VLOOKUP(C11,examples,3,)</f>
        <v>1</v>
      </c>
      <c r="E14" t="s">
        <v>3</v>
      </c>
      <c r="I14" s="7"/>
      <c r="J14" s="8"/>
      <c r="K14" s="8"/>
      <c r="L14" s="8"/>
      <c r="M14" s="9"/>
      <c r="N14" s="8"/>
      <c r="O14" s="7"/>
      <c r="P14" s="8"/>
      <c r="Q14" s="20"/>
      <c r="R14" s="8"/>
      <c r="S14" s="9"/>
      <c r="U14" s="7"/>
      <c r="V14" s="8"/>
      <c r="W14" s="20"/>
      <c r="X14" s="8"/>
      <c r="Y14" s="9"/>
      <c r="AA14" s="7"/>
      <c r="AB14" s="8"/>
      <c r="AC14" s="8"/>
      <c r="AD14" s="8"/>
      <c r="AE14" s="9"/>
    </row>
    <row r="15" spans="2:31" x14ac:dyDescent="0.25">
      <c r="B15" t="s">
        <v>17</v>
      </c>
      <c r="C15" s="39">
        <f>VLOOKUP(C11,examples,4,)</f>
        <v>-3</v>
      </c>
      <c r="E15" t="s">
        <v>6</v>
      </c>
      <c r="I15" s="7"/>
      <c r="J15" s="5" t="s">
        <v>18</v>
      </c>
      <c r="K15" s="6" t="s">
        <v>19</v>
      </c>
      <c r="L15" s="6" t="s">
        <v>21</v>
      </c>
      <c r="M15" s="9"/>
      <c r="N15" s="8"/>
      <c r="O15" s="7"/>
      <c r="P15" s="5" t="s">
        <v>18</v>
      </c>
      <c r="Q15" s="6" t="s">
        <v>19</v>
      </c>
      <c r="R15" s="6" t="s">
        <v>21</v>
      </c>
      <c r="S15" s="9"/>
      <c r="U15" s="7"/>
      <c r="V15" s="5" t="s">
        <v>18</v>
      </c>
      <c r="W15" s="6" t="s">
        <v>19</v>
      </c>
      <c r="X15" s="6" t="s">
        <v>21</v>
      </c>
      <c r="Y15" s="9"/>
      <c r="AA15" s="7"/>
      <c r="AB15" s="5" t="s">
        <v>18</v>
      </c>
      <c r="AC15" s="6" t="s">
        <v>19</v>
      </c>
      <c r="AD15" s="6" t="s">
        <v>21</v>
      </c>
      <c r="AE15" s="9"/>
    </row>
    <row r="16" spans="2:31" x14ac:dyDescent="0.25">
      <c r="B16" t="s">
        <v>2</v>
      </c>
      <c r="C16" s="39">
        <f>VLOOKUP(C11,examples,5,)</f>
        <v>1</v>
      </c>
      <c r="E16" t="s">
        <v>5</v>
      </c>
      <c r="I16" s="7"/>
      <c r="J16" s="8" t="s">
        <v>1</v>
      </c>
      <c r="K16" s="21">
        <f>Vinzs</f>
        <v>-1</v>
      </c>
      <c r="L16" s="12"/>
      <c r="M16" s="9"/>
      <c r="N16" s="8"/>
      <c r="O16" s="7"/>
      <c r="P16" s="8" t="s">
        <v>1</v>
      </c>
      <c r="Q16" s="21">
        <f>Vinzs</f>
        <v>-1</v>
      </c>
      <c r="R16" s="12"/>
      <c r="S16" s="9"/>
      <c r="U16" s="7"/>
      <c r="V16" s="8" t="s">
        <v>1</v>
      </c>
      <c r="W16" s="21">
        <f>Vinzs</f>
        <v>-1</v>
      </c>
      <c r="X16" s="12"/>
      <c r="Y16" s="9"/>
      <c r="AA16" s="7"/>
      <c r="AB16" s="8" t="s">
        <v>1</v>
      </c>
      <c r="AC16" s="21">
        <f>Vinzs</f>
        <v>-1</v>
      </c>
      <c r="AD16" s="12"/>
      <c r="AE16" s="9"/>
    </row>
    <row r="17" spans="2:31" x14ac:dyDescent="0.25">
      <c r="C17" s="1"/>
      <c r="I17" s="7"/>
      <c r="J17" s="8" t="s">
        <v>0</v>
      </c>
      <c r="K17" s="21">
        <f>Vinfs</f>
        <v>1</v>
      </c>
      <c r="L17" s="12"/>
      <c r="M17" s="9"/>
      <c r="N17" s="8"/>
      <c r="O17" s="7"/>
      <c r="P17" s="8" t="s">
        <v>0</v>
      </c>
      <c r="Q17" s="21">
        <f>Vinfs</f>
        <v>1</v>
      </c>
      <c r="R17" s="12"/>
      <c r="S17" s="9"/>
      <c r="U17" s="7"/>
      <c r="V17" s="8" t="s">
        <v>0</v>
      </c>
      <c r="W17" s="21">
        <f>Vinfs</f>
        <v>1</v>
      </c>
      <c r="X17" s="12"/>
      <c r="Y17" s="9"/>
      <c r="AA17" s="7"/>
      <c r="AB17" s="8" t="s">
        <v>0</v>
      </c>
      <c r="AC17" s="21">
        <f>Vinfs</f>
        <v>1</v>
      </c>
      <c r="AD17" s="12"/>
      <c r="AE17" s="9"/>
    </row>
    <row r="18" spans="2:31" x14ac:dyDescent="0.25">
      <c r="B18" t="s">
        <v>7</v>
      </c>
      <c r="C18" s="34">
        <f>(C16-C15)/(C14-C13)</f>
        <v>2</v>
      </c>
      <c r="E18" t="s">
        <v>40</v>
      </c>
      <c r="I18" s="7"/>
      <c r="J18" s="8" t="s">
        <v>17</v>
      </c>
      <c r="K18" s="21">
        <f>Voutzs</f>
        <v>-3</v>
      </c>
      <c r="L18" s="10">
        <f>L21*K16+L22</f>
        <v>-10.132231404958677</v>
      </c>
      <c r="M18" s="9"/>
      <c r="N18" s="8"/>
      <c r="O18" s="7"/>
      <c r="P18" s="8" t="s">
        <v>17</v>
      </c>
      <c r="Q18" s="21">
        <f>Voutzs</f>
        <v>-3</v>
      </c>
      <c r="R18" s="10" t="e">
        <f>R21*Q16+R22</f>
        <v>#N/A</v>
      </c>
      <c r="S18" s="9"/>
      <c r="U18" s="7"/>
      <c r="V18" s="8" t="s">
        <v>17</v>
      </c>
      <c r="W18" s="21">
        <f>Voutzs</f>
        <v>-3</v>
      </c>
      <c r="X18" s="10" t="e">
        <f>X21*W16+X22</f>
        <v>#N/A</v>
      </c>
      <c r="Y18" s="9"/>
      <c r="AA18" s="7"/>
      <c r="AB18" s="8" t="s">
        <v>17</v>
      </c>
      <c r="AC18" s="21">
        <f>Voutzs</f>
        <v>-3</v>
      </c>
      <c r="AD18" s="10">
        <f>AD21*AC16+AD22</f>
        <v>-10.545454545454547</v>
      </c>
      <c r="AE18" s="9"/>
    </row>
    <row r="19" spans="2:31" x14ac:dyDescent="0.25">
      <c r="B19" t="s">
        <v>8</v>
      </c>
      <c r="C19" s="34">
        <f>C15-C18*C13</f>
        <v>-1</v>
      </c>
      <c r="E19" t="s">
        <v>39</v>
      </c>
      <c r="G19" s="2"/>
      <c r="I19" s="7"/>
      <c r="J19" s="8" t="s">
        <v>2</v>
      </c>
      <c r="K19" s="21">
        <f>Voutfs</f>
        <v>1</v>
      </c>
      <c r="L19" s="10">
        <f>L21*K17+L22</f>
        <v>0.13223140495867813</v>
      </c>
      <c r="M19" s="9"/>
      <c r="N19" s="8"/>
      <c r="O19" s="7"/>
      <c r="P19" s="8" t="s">
        <v>2</v>
      </c>
      <c r="Q19" s="21">
        <f>Voutfs</f>
        <v>1</v>
      </c>
      <c r="R19" s="10" t="e">
        <f>R21*Q17+R22</f>
        <v>#N/A</v>
      </c>
      <c r="S19" s="9"/>
      <c r="U19" s="7"/>
      <c r="V19" s="8" t="s">
        <v>2</v>
      </c>
      <c r="W19" s="21">
        <f>Voutfs</f>
        <v>1</v>
      </c>
      <c r="X19" s="10" t="e">
        <f>X21*W17+X22</f>
        <v>#N/A</v>
      </c>
      <c r="Y19" s="9"/>
      <c r="AA19" s="7"/>
      <c r="AB19" s="8" t="s">
        <v>2</v>
      </c>
      <c r="AC19" s="21">
        <f>Voutfs</f>
        <v>1</v>
      </c>
      <c r="AD19" s="10">
        <f>AD21*AC17+AD22</f>
        <v>0.54545454545454586</v>
      </c>
      <c r="AE19" s="9"/>
    </row>
    <row r="20" spans="2:31" x14ac:dyDescent="0.25">
      <c r="I20" s="7"/>
      <c r="J20" s="8" t="s">
        <v>13</v>
      </c>
      <c r="K20" s="22">
        <v>5</v>
      </c>
      <c r="L20" s="12"/>
      <c r="M20" s="9"/>
      <c r="N20" s="8"/>
      <c r="O20" s="7"/>
      <c r="P20" s="8"/>
      <c r="Q20" s="22"/>
      <c r="R20" s="12"/>
      <c r="S20" s="9"/>
      <c r="U20" s="7"/>
      <c r="V20" s="8" t="s">
        <v>13</v>
      </c>
      <c r="W20" s="22">
        <v>5</v>
      </c>
      <c r="X20" s="12"/>
      <c r="Y20" s="9"/>
      <c r="AA20" s="7"/>
      <c r="AB20" s="8" t="s">
        <v>13</v>
      </c>
      <c r="AC20" s="22">
        <v>5</v>
      </c>
      <c r="AD20" s="12"/>
      <c r="AE20" s="9"/>
    </row>
    <row r="21" spans="2:31" x14ac:dyDescent="0.25">
      <c r="B21" s="37" t="s">
        <v>48</v>
      </c>
      <c r="I21" s="7"/>
      <c r="J21" s="8" t="s">
        <v>7</v>
      </c>
      <c r="K21" s="10">
        <f>(K19-K18)/(K17-K16)</f>
        <v>2</v>
      </c>
      <c r="L21" s="29">
        <f>K23*(1+L25/L28)</f>
        <v>5.1322314049586772</v>
      </c>
      <c r="M21" s="9"/>
      <c r="N21" s="8"/>
      <c r="O21" s="7"/>
      <c r="P21" s="8" t="s">
        <v>7</v>
      </c>
      <c r="Q21" s="10">
        <f>(Q19-Q18)/(Q17-Q16)</f>
        <v>2</v>
      </c>
      <c r="R21" s="29" t="e">
        <f>Q23*IF(ISNUMBER(#REF!),(#REF!*R24/R25+#REF!)/(#REF!+#REF!),R24/R25+1)</f>
        <v>#N/A</v>
      </c>
      <c r="S21" s="9"/>
      <c r="U21" s="7"/>
      <c r="V21" s="8" t="s">
        <v>7</v>
      </c>
      <c r="W21" s="10">
        <f>(W19-W18)/(W17-W16)</f>
        <v>2</v>
      </c>
      <c r="X21" s="29" t="e">
        <f>W23*IF(ISNUMBER(X25),(X25*X26/X27+X25)/(X24+X25),X26/X27+1)</f>
        <v>#N/A</v>
      </c>
      <c r="Y21" s="9"/>
      <c r="AA21" s="7"/>
      <c r="AB21" s="8" t="s">
        <v>7</v>
      </c>
      <c r="AC21" s="10">
        <f>(AC19-AC18)/(AC17-AC16)</f>
        <v>2</v>
      </c>
      <c r="AD21" s="29">
        <f>AC23*(1+AD26/AD27)</f>
        <v>5.5454545454545459</v>
      </c>
      <c r="AE21" s="9"/>
    </row>
    <row r="22" spans="2:31" x14ac:dyDescent="0.25">
      <c r="I22" s="7"/>
      <c r="J22" s="11" t="s">
        <v>8</v>
      </c>
      <c r="K22" s="10">
        <f>K18-K21*K16</f>
        <v>-1</v>
      </c>
      <c r="L22" s="29">
        <f>-K23*L29*(L27+L25)/L27</f>
        <v>-4.9999999999999991</v>
      </c>
      <c r="M22" s="9"/>
      <c r="N22" s="8"/>
      <c r="O22" s="7"/>
      <c r="P22" s="11" t="s">
        <v>8</v>
      </c>
      <c r="Q22" s="10">
        <f>Q18-Q21*Q16</f>
        <v>-1</v>
      </c>
      <c r="R22" s="29" t="e">
        <f>Q23*0</f>
        <v>#N/A</v>
      </c>
      <c r="S22" s="9"/>
      <c r="U22" s="7"/>
      <c r="V22" s="11" t="s">
        <v>8</v>
      </c>
      <c r="W22" s="10">
        <f>W18-W21*W16</f>
        <v>-1</v>
      </c>
      <c r="X22" s="29" t="e">
        <f>W23*IF(ISNUMBER(X25),W20*X24*X21/X25,0)</f>
        <v>#N/A</v>
      </c>
      <c r="Y22" s="9"/>
      <c r="AA22" s="7"/>
      <c r="AB22" s="11" t="s">
        <v>8</v>
      </c>
      <c r="AC22" s="10">
        <f>AC18-AC21*AC16</f>
        <v>-1</v>
      </c>
      <c r="AD22" s="29">
        <f>-AD21*AD28</f>
        <v>-5</v>
      </c>
      <c r="AE22" s="9"/>
    </row>
    <row r="23" spans="2:31" x14ac:dyDescent="0.25">
      <c r="B23" s="35" t="s">
        <v>43</v>
      </c>
      <c r="C23" s="28" t="s">
        <v>42</v>
      </c>
      <c r="D23" s="2"/>
      <c r="E23" s="2"/>
      <c r="F23" s="2"/>
      <c r="I23" s="7"/>
      <c r="J23" s="8" t="s">
        <v>20</v>
      </c>
      <c r="K23" s="12">
        <f>IF(AND(K21&gt;1,K22&lt;0),1,NA())</f>
        <v>1</v>
      </c>
      <c r="L23" s="12"/>
      <c r="M23" s="9"/>
      <c r="N23" s="8"/>
      <c r="O23" s="7"/>
      <c r="P23" s="8" t="s">
        <v>20</v>
      </c>
      <c r="Q23" s="12" t="e">
        <f>IF(AND(Q21&gt;1,Q22=0),1,NA())</f>
        <v>#N/A</v>
      </c>
      <c r="R23" s="12"/>
      <c r="S23" s="9"/>
      <c r="U23" s="7"/>
      <c r="V23" s="8" t="s">
        <v>20</v>
      </c>
      <c r="W23" s="12" t="e">
        <f>IF(AND(W21&gt;=1,W22&gt;0),1,NA())</f>
        <v>#N/A</v>
      </c>
      <c r="X23" s="12"/>
      <c r="Y23" s="9"/>
      <c r="AA23" s="7"/>
      <c r="AB23" s="8" t="s">
        <v>20</v>
      </c>
      <c r="AC23" s="12">
        <f>IF(AND(AC21&gt;1,AC22&lt;0),1,NA())</f>
        <v>1</v>
      </c>
      <c r="AD23" s="12"/>
      <c r="AE23" s="9"/>
    </row>
    <row r="24" spans="2:31" x14ac:dyDescent="0.25">
      <c r="B24" s="2"/>
      <c r="C24" s="36" t="s">
        <v>41</v>
      </c>
      <c r="I24" s="7"/>
      <c r="J24" s="8" t="s">
        <v>12</v>
      </c>
      <c r="K24" s="24">
        <f>K23*K26*(K20-K29)/K29</f>
        <v>9555.5555555555566</v>
      </c>
      <c r="L24" s="14">
        <v>1000</v>
      </c>
      <c r="M24" s="9"/>
      <c r="N24" s="8"/>
      <c r="O24" s="7"/>
      <c r="P24" s="8" t="s">
        <v>9</v>
      </c>
      <c r="Q24" s="14">
        <v>100000</v>
      </c>
      <c r="R24" s="24">
        <f>Q24</f>
        <v>100000</v>
      </c>
      <c r="S24" s="9"/>
      <c r="U24" s="7"/>
      <c r="V24" s="8" t="s">
        <v>12</v>
      </c>
      <c r="W24" s="14">
        <v>10000</v>
      </c>
      <c r="X24" s="24">
        <f>W24</f>
        <v>10000</v>
      </c>
      <c r="Y24" s="9"/>
      <c r="AA24" s="7"/>
      <c r="AB24" s="8" t="s">
        <v>12</v>
      </c>
      <c r="AC24" s="14">
        <v>10000</v>
      </c>
      <c r="AD24" s="24">
        <f>AC24</f>
        <v>10000</v>
      </c>
      <c r="AE24" s="9"/>
    </row>
    <row r="25" spans="2:31" x14ac:dyDescent="0.25">
      <c r="I25" s="7"/>
      <c r="J25" s="8" t="s">
        <v>9</v>
      </c>
      <c r="K25" s="14">
        <v>10000</v>
      </c>
      <c r="L25" s="24">
        <f>K25</f>
        <v>10000</v>
      </c>
      <c r="M25" s="9"/>
      <c r="N25" s="8"/>
      <c r="O25" s="7"/>
      <c r="P25" s="8" t="s">
        <v>10</v>
      </c>
      <c r="Q25" s="16" t="e">
        <f>Q23*IF(ISNUMBER(#REF!),#REF!*Q24/(Q21*(#REF!+#REF!)-#REF!),Q24/(Q21-1))</f>
        <v>#N/A</v>
      </c>
      <c r="R25" s="14">
        <v>470000</v>
      </c>
      <c r="S25" s="9"/>
      <c r="U25" s="7"/>
      <c r="V25" s="8" t="s">
        <v>11</v>
      </c>
      <c r="W25" s="16" t="e">
        <f>W23*W20*W24*W21/W22</f>
        <v>#N/A</v>
      </c>
      <c r="X25" s="14" t="e">
        <f>W25</f>
        <v>#N/A</v>
      </c>
      <c r="Y25" s="9"/>
      <c r="AA25" s="7"/>
      <c r="AB25" s="8" t="s">
        <v>11</v>
      </c>
      <c r="AC25" s="16">
        <f>AC23*AC28*AC24/(AC20-AC28)</f>
        <v>1111.1111111111111</v>
      </c>
      <c r="AD25" s="14">
        <v>2200</v>
      </c>
      <c r="AE25" s="9"/>
    </row>
    <row r="26" spans="2:31" x14ac:dyDescent="0.25">
      <c r="I26" s="7"/>
      <c r="J26" s="8" t="s">
        <v>14</v>
      </c>
      <c r="K26" s="25">
        <f>K28/10</f>
        <v>1000</v>
      </c>
      <c r="L26" s="14">
        <v>220</v>
      </c>
      <c r="M26" s="9"/>
      <c r="N26" s="8"/>
      <c r="O26" s="7"/>
      <c r="P26" s="8"/>
      <c r="Q26" s="15"/>
      <c r="R26" s="8"/>
      <c r="S26" s="9"/>
      <c r="U26" s="7"/>
      <c r="V26" s="8" t="s">
        <v>9</v>
      </c>
      <c r="W26" s="14">
        <v>100000</v>
      </c>
      <c r="X26" s="24">
        <f>W26</f>
        <v>100000</v>
      </c>
      <c r="Y26" s="9"/>
      <c r="AA26" s="7"/>
      <c r="AB26" s="8" t="s">
        <v>9</v>
      </c>
      <c r="AC26" s="14">
        <v>10000</v>
      </c>
      <c r="AD26" s="24">
        <v>10000</v>
      </c>
      <c r="AE26" s="9"/>
    </row>
    <row r="27" spans="2:31" x14ac:dyDescent="0.25">
      <c r="I27" s="7"/>
      <c r="J27" s="8" t="s">
        <v>15</v>
      </c>
      <c r="K27" s="16">
        <f>K28-K26</f>
        <v>9000</v>
      </c>
      <c r="L27" s="14">
        <v>2200</v>
      </c>
      <c r="M27" s="9"/>
      <c r="N27" s="8"/>
      <c r="O27" s="7"/>
      <c r="P27" s="8"/>
      <c r="Q27" s="8"/>
      <c r="R27" s="8"/>
      <c r="S27" s="9"/>
      <c r="U27" s="7"/>
      <c r="V27" s="8" t="s">
        <v>10</v>
      </c>
      <c r="W27" s="16" t="e">
        <f>W23*IF(ISNUMBER(W25),W25*W26/(W21*(W24+W25)-W25),W26/(W21-1))</f>
        <v>#N/A</v>
      </c>
      <c r="X27" s="14" t="e">
        <f>W27</f>
        <v>#N/A</v>
      </c>
      <c r="Y27" s="9"/>
      <c r="AA27" s="7"/>
      <c r="AB27" s="8" t="s">
        <v>10</v>
      </c>
      <c r="AC27" s="16">
        <f>AC23*AC26/(AC21-1)</f>
        <v>10000</v>
      </c>
      <c r="AD27" s="14">
        <v>2200</v>
      </c>
      <c r="AE27" s="9"/>
    </row>
    <row r="28" spans="2:31" x14ac:dyDescent="0.25">
      <c r="I28" s="7"/>
      <c r="J28" s="19" t="s">
        <v>10</v>
      </c>
      <c r="K28" s="26">
        <f>K23*K25/(K21-1)</f>
        <v>10000</v>
      </c>
      <c r="L28" s="26">
        <f>L27+L26</f>
        <v>2420</v>
      </c>
      <c r="M28" s="9"/>
      <c r="N28" s="8"/>
      <c r="O28" s="7"/>
      <c r="P28" s="8"/>
      <c r="Q28" s="15"/>
      <c r="R28" s="8"/>
      <c r="S28" s="9"/>
      <c r="U28" s="7"/>
      <c r="V28" s="8"/>
      <c r="W28" s="15"/>
      <c r="X28" s="8"/>
      <c r="Y28" s="9"/>
      <c r="AA28" s="7"/>
      <c r="AB28" s="19" t="s">
        <v>16</v>
      </c>
      <c r="AC28" s="30">
        <f>AC23*ABS(AC22)/AC21</f>
        <v>0.5</v>
      </c>
      <c r="AD28" s="30">
        <f>AC20/(1+AD24/AD25)</f>
        <v>0.90163934426229497</v>
      </c>
      <c r="AE28" s="9"/>
    </row>
    <row r="29" spans="2:31" x14ac:dyDescent="0.25">
      <c r="I29" s="7"/>
      <c r="J29" s="19" t="s">
        <v>16</v>
      </c>
      <c r="K29" s="30">
        <f>K23*ABS(K22)*K27/(K27+K25)</f>
        <v>0.47368421052631576</v>
      </c>
      <c r="L29" s="30">
        <f>K20/(1+L24/L26)</f>
        <v>0.90163934426229497</v>
      </c>
      <c r="M29" s="9"/>
      <c r="N29" s="8"/>
      <c r="O29" s="7"/>
      <c r="P29" s="8"/>
      <c r="Q29" s="8"/>
      <c r="R29" s="8"/>
      <c r="S29" s="9"/>
      <c r="U29" s="7"/>
      <c r="V29" s="8"/>
      <c r="W29" s="8"/>
      <c r="X29" s="8"/>
      <c r="Y29" s="9"/>
      <c r="AA29" s="7"/>
      <c r="AB29" s="8"/>
      <c r="AC29" s="8"/>
      <c r="AD29" s="8"/>
      <c r="AE29" s="9"/>
    </row>
    <row r="30" spans="2:31" x14ac:dyDescent="0.25">
      <c r="I30" s="17"/>
      <c r="J30" s="5"/>
      <c r="K30" s="5"/>
      <c r="L30" s="5"/>
      <c r="M30" s="18"/>
      <c r="N30" s="8"/>
      <c r="O30" s="17"/>
      <c r="P30" s="5"/>
      <c r="Q30" s="5"/>
      <c r="R30" s="5"/>
      <c r="S30" s="18"/>
      <c r="U30" s="17"/>
      <c r="V30" s="5"/>
      <c r="W30" s="5"/>
      <c r="X30" s="5"/>
      <c r="Y30" s="18"/>
      <c r="AA30" s="17"/>
      <c r="AB30" s="5"/>
      <c r="AC30" s="5"/>
      <c r="AD30" s="5"/>
      <c r="AE30" s="18"/>
    </row>
    <row r="32" spans="2:31" ht="26.25" x14ac:dyDescent="0.4">
      <c r="I32" s="42" t="s">
        <v>33</v>
      </c>
      <c r="J32" s="43"/>
      <c r="K32" s="43"/>
      <c r="L32" s="43"/>
      <c r="M32" s="44"/>
      <c r="N32" s="31"/>
      <c r="O32" s="42" t="s">
        <v>32</v>
      </c>
      <c r="P32" s="43"/>
      <c r="Q32" s="43"/>
      <c r="R32" s="43"/>
      <c r="S32" s="44"/>
      <c r="U32" s="42" t="s">
        <v>31</v>
      </c>
      <c r="V32" s="43"/>
      <c r="W32" s="43"/>
      <c r="X32" s="43"/>
      <c r="Y32" s="44"/>
    </row>
    <row r="33" spans="2:25" x14ac:dyDescent="0.25">
      <c r="B33" s="5" t="s">
        <v>50</v>
      </c>
      <c r="C33" s="6" t="s">
        <v>1</v>
      </c>
      <c r="D33" s="6" t="s">
        <v>0</v>
      </c>
      <c r="E33" s="6" t="s">
        <v>17</v>
      </c>
      <c r="F33" s="6" t="s">
        <v>2</v>
      </c>
      <c r="I33" s="7"/>
      <c r="J33" s="8"/>
      <c r="K33" s="8"/>
      <c r="L33" s="8"/>
      <c r="M33" s="9"/>
      <c r="O33" s="7"/>
      <c r="P33" s="8"/>
      <c r="Q33" s="8"/>
      <c r="R33" s="8"/>
      <c r="S33" s="9"/>
      <c r="U33" s="7"/>
      <c r="V33" s="8"/>
      <c r="W33" s="8"/>
      <c r="X33" s="8"/>
      <c r="Y33" s="9"/>
    </row>
    <row r="34" spans="2:25" x14ac:dyDescent="0.25">
      <c r="B34" t="s">
        <v>51</v>
      </c>
      <c r="C34" s="40">
        <v>-1</v>
      </c>
      <c r="D34" s="41">
        <v>1</v>
      </c>
      <c r="E34" s="41">
        <v>-3</v>
      </c>
      <c r="F34" s="41">
        <v>1</v>
      </c>
      <c r="I34" s="7"/>
      <c r="J34" s="8"/>
      <c r="K34" s="8"/>
      <c r="L34" s="8"/>
      <c r="M34" s="9"/>
      <c r="O34" s="7"/>
      <c r="P34" s="8"/>
      <c r="Q34" s="8"/>
      <c r="R34" s="8"/>
      <c r="S34" s="9"/>
      <c r="U34" s="7"/>
      <c r="V34" s="8"/>
      <c r="W34" s="8"/>
      <c r="X34" s="8"/>
      <c r="Y34" s="9"/>
    </row>
    <row r="35" spans="2:25" x14ac:dyDescent="0.25">
      <c r="B35" t="s">
        <v>52</v>
      </c>
      <c r="C35" s="40">
        <v>-1</v>
      </c>
      <c r="D35" s="41">
        <v>1</v>
      </c>
      <c r="E35" s="41">
        <v>-2</v>
      </c>
      <c r="F35" s="41">
        <v>2</v>
      </c>
      <c r="I35" s="7"/>
      <c r="J35" s="8"/>
      <c r="K35" s="8"/>
      <c r="L35" s="8"/>
      <c r="M35" s="9"/>
      <c r="O35" s="7"/>
      <c r="P35" s="8"/>
      <c r="Q35" s="8"/>
      <c r="R35" s="8"/>
      <c r="S35" s="9"/>
      <c r="U35" s="7"/>
      <c r="V35" s="8"/>
      <c r="W35" s="8"/>
      <c r="X35" s="8"/>
      <c r="Y35" s="9"/>
    </row>
    <row r="36" spans="2:25" x14ac:dyDescent="0.25">
      <c r="B36" t="s">
        <v>56</v>
      </c>
      <c r="C36" s="40">
        <v>-1</v>
      </c>
      <c r="D36" s="41">
        <v>1</v>
      </c>
      <c r="E36" s="41">
        <v>-1</v>
      </c>
      <c r="F36" s="41">
        <v>3</v>
      </c>
      <c r="I36" s="7"/>
      <c r="J36" s="8"/>
      <c r="K36" s="8"/>
      <c r="L36" s="8"/>
      <c r="M36" s="9"/>
      <c r="O36" s="7"/>
      <c r="P36" s="8"/>
      <c r="Q36" s="8"/>
      <c r="R36" s="8"/>
      <c r="S36" s="9"/>
      <c r="U36" s="7"/>
      <c r="V36" s="8"/>
      <c r="W36" s="8"/>
      <c r="X36" s="8"/>
      <c r="Y36" s="9"/>
    </row>
    <row r="37" spans="2:25" x14ac:dyDescent="0.25">
      <c r="B37" t="s">
        <v>53</v>
      </c>
      <c r="C37" s="40">
        <v>-1</v>
      </c>
      <c r="D37" s="41">
        <v>1</v>
      </c>
      <c r="E37" s="41">
        <v>-0.6</v>
      </c>
      <c r="F37" s="41">
        <v>0.4</v>
      </c>
      <c r="I37" s="7"/>
      <c r="J37" s="8"/>
      <c r="K37" s="8"/>
      <c r="L37" s="8"/>
      <c r="M37" s="9"/>
      <c r="O37" s="7"/>
      <c r="P37" s="8"/>
      <c r="Q37" s="8"/>
      <c r="R37" s="8"/>
      <c r="S37" s="9"/>
      <c r="U37" s="7"/>
      <c r="V37" s="8"/>
      <c r="W37" s="8"/>
      <c r="X37" s="8"/>
      <c r="Y37" s="9"/>
    </row>
    <row r="38" spans="2:25" x14ac:dyDescent="0.25">
      <c r="B38" t="s">
        <v>54</v>
      </c>
      <c r="C38" s="40">
        <v>-1</v>
      </c>
      <c r="D38" s="41">
        <v>1</v>
      </c>
      <c r="E38" s="41">
        <v>-0.5</v>
      </c>
      <c r="F38" s="41">
        <v>0.5</v>
      </c>
      <c r="I38" s="7"/>
      <c r="J38" s="8"/>
      <c r="K38" s="8"/>
      <c r="L38" s="8"/>
      <c r="M38" s="9"/>
      <c r="O38" s="7"/>
      <c r="P38" s="8"/>
      <c r="Q38" s="8"/>
      <c r="R38" s="8"/>
      <c r="S38" s="9"/>
      <c r="U38" s="7"/>
      <c r="V38" s="8"/>
      <c r="W38" s="8"/>
      <c r="X38" s="8"/>
      <c r="Y38" s="9"/>
    </row>
    <row r="39" spans="2:25" x14ac:dyDescent="0.25">
      <c r="B39" t="s">
        <v>55</v>
      </c>
      <c r="C39" s="40">
        <v>-1</v>
      </c>
      <c r="D39" s="41">
        <v>1</v>
      </c>
      <c r="E39" s="41">
        <v>-0.4</v>
      </c>
      <c r="F39" s="41">
        <v>0.6</v>
      </c>
      <c r="I39" s="7"/>
      <c r="J39" s="8"/>
      <c r="K39" s="8"/>
      <c r="L39" s="8"/>
      <c r="M39" s="9"/>
      <c r="O39" s="7"/>
      <c r="P39" s="8"/>
      <c r="Q39" s="8"/>
      <c r="R39" s="8"/>
      <c r="S39" s="9"/>
      <c r="U39" s="7"/>
      <c r="V39" s="8"/>
      <c r="W39" s="8"/>
      <c r="X39" s="8"/>
      <c r="Y39" s="9"/>
    </row>
    <row r="40" spans="2:25" x14ac:dyDescent="0.25">
      <c r="B40" t="s">
        <v>57</v>
      </c>
      <c r="C40" s="40">
        <v>-1</v>
      </c>
      <c r="D40" s="41">
        <v>1</v>
      </c>
      <c r="E40" s="41">
        <v>0.4</v>
      </c>
      <c r="F40" s="41">
        <v>-0.6</v>
      </c>
      <c r="I40" s="7"/>
      <c r="J40" s="8"/>
      <c r="K40" s="8"/>
      <c r="L40" s="8"/>
      <c r="M40" s="9"/>
      <c r="O40" s="7"/>
      <c r="P40" s="8"/>
      <c r="Q40" s="8"/>
      <c r="R40" s="8"/>
      <c r="S40" s="9"/>
      <c r="U40" s="7"/>
      <c r="V40" s="8"/>
      <c r="W40" s="8"/>
      <c r="X40" s="8"/>
      <c r="Y40" s="9"/>
    </row>
    <row r="41" spans="2:25" x14ac:dyDescent="0.25">
      <c r="B41" t="s">
        <v>58</v>
      </c>
      <c r="C41" s="40">
        <v>-1</v>
      </c>
      <c r="D41" s="41">
        <v>1</v>
      </c>
      <c r="E41" s="41">
        <v>0.5</v>
      </c>
      <c r="F41" s="41">
        <v>-0.5</v>
      </c>
      <c r="I41" s="7"/>
      <c r="J41" s="8"/>
      <c r="K41" s="8"/>
      <c r="L41" s="8"/>
      <c r="M41" s="9"/>
      <c r="O41" s="7"/>
      <c r="P41" s="8"/>
      <c r="Q41" s="8"/>
      <c r="R41" s="8"/>
      <c r="S41" s="9"/>
      <c r="U41" s="7"/>
      <c r="V41" s="8"/>
      <c r="W41" s="8"/>
      <c r="X41" s="8"/>
      <c r="Y41" s="9"/>
    </row>
    <row r="42" spans="2:25" x14ac:dyDescent="0.25">
      <c r="B42" t="s">
        <v>59</v>
      </c>
      <c r="C42" s="40">
        <v>-1</v>
      </c>
      <c r="D42" s="41">
        <v>1</v>
      </c>
      <c r="E42" s="41">
        <v>0.6</v>
      </c>
      <c r="F42" s="41">
        <v>-0.4</v>
      </c>
      <c r="I42" s="7"/>
      <c r="J42" s="8"/>
      <c r="K42" s="8"/>
      <c r="L42" s="8"/>
      <c r="M42" s="9"/>
      <c r="O42" s="7"/>
      <c r="P42" s="8"/>
      <c r="Q42" s="8"/>
      <c r="R42" s="8"/>
      <c r="S42" s="9"/>
      <c r="U42" s="7"/>
      <c r="V42" s="8"/>
      <c r="W42" s="8"/>
      <c r="X42" s="8"/>
      <c r="Y42" s="9"/>
    </row>
    <row r="43" spans="2:25" x14ac:dyDescent="0.25">
      <c r="B43" t="s">
        <v>60</v>
      </c>
      <c r="C43" s="40">
        <v>-1</v>
      </c>
      <c r="D43" s="41">
        <v>1</v>
      </c>
      <c r="E43" s="41">
        <v>1</v>
      </c>
      <c r="F43" s="41">
        <v>-3</v>
      </c>
      <c r="I43" s="7"/>
      <c r="J43" s="8"/>
      <c r="K43" s="8"/>
      <c r="L43" s="8"/>
      <c r="M43" s="9"/>
      <c r="O43" s="7"/>
      <c r="P43" s="8"/>
      <c r="Q43" s="8"/>
      <c r="R43" s="8"/>
      <c r="S43" s="9"/>
      <c r="U43" s="7"/>
      <c r="V43" s="8"/>
      <c r="W43" s="8"/>
      <c r="X43" s="8"/>
      <c r="Y43" s="9"/>
    </row>
    <row r="44" spans="2:25" x14ac:dyDescent="0.25">
      <c r="B44" t="s">
        <v>61</v>
      </c>
      <c r="C44" s="40">
        <v>-1</v>
      </c>
      <c r="D44" s="41">
        <v>1</v>
      </c>
      <c r="E44" s="41">
        <v>2</v>
      </c>
      <c r="F44" s="41">
        <v>-2</v>
      </c>
      <c r="I44" s="7"/>
      <c r="J44" s="5" t="s">
        <v>18</v>
      </c>
      <c r="K44" s="6" t="s">
        <v>19</v>
      </c>
      <c r="L44" s="6" t="s">
        <v>21</v>
      </c>
      <c r="M44" s="9"/>
      <c r="O44" s="7"/>
      <c r="P44" s="5" t="s">
        <v>18</v>
      </c>
      <c r="Q44" s="6" t="s">
        <v>19</v>
      </c>
      <c r="R44" s="6" t="s">
        <v>21</v>
      </c>
      <c r="S44" s="9"/>
      <c r="U44" s="7"/>
      <c r="V44" s="5" t="s">
        <v>18</v>
      </c>
      <c r="W44" s="6" t="s">
        <v>19</v>
      </c>
      <c r="X44" s="6" t="s">
        <v>21</v>
      </c>
      <c r="Y44" s="9"/>
    </row>
    <row r="45" spans="2:25" x14ac:dyDescent="0.25">
      <c r="B45" t="s">
        <v>62</v>
      </c>
      <c r="C45" s="40">
        <v>-1</v>
      </c>
      <c r="D45" s="41">
        <v>1</v>
      </c>
      <c r="E45" s="41">
        <v>3</v>
      </c>
      <c r="F45" s="41">
        <v>-1</v>
      </c>
      <c r="I45" s="7"/>
      <c r="J45" s="8" t="s">
        <v>1</v>
      </c>
      <c r="K45" s="21">
        <f>Vinzs</f>
        <v>-1</v>
      </c>
      <c r="L45" s="12"/>
      <c r="M45" s="9"/>
      <c r="O45" s="7"/>
      <c r="P45" s="8" t="s">
        <v>1</v>
      </c>
      <c r="Q45" s="21">
        <f>Vinzs</f>
        <v>-1</v>
      </c>
      <c r="R45" s="12"/>
      <c r="S45" s="9"/>
      <c r="U45" s="7"/>
      <c r="V45" s="8" t="s">
        <v>1</v>
      </c>
      <c r="W45" s="21">
        <f>Vinzs</f>
        <v>-1</v>
      </c>
      <c r="X45" s="12"/>
      <c r="Y45" s="9"/>
    </row>
    <row r="46" spans="2:25" x14ac:dyDescent="0.25">
      <c r="I46" s="7"/>
      <c r="J46" s="8" t="s">
        <v>0</v>
      </c>
      <c r="K46" s="21">
        <f>Vinfs</f>
        <v>1</v>
      </c>
      <c r="L46" s="12"/>
      <c r="M46" s="9"/>
      <c r="O46" s="7"/>
      <c r="P46" s="8" t="s">
        <v>0</v>
      </c>
      <c r="Q46" s="21">
        <f>Vinfs</f>
        <v>1</v>
      </c>
      <c r="R46" s="12"/>
      <c r="S46" s="9"/>
      <c r="U46" s="7"/>
      <c r="V46" s="8" t="s">
        <v>0</v>
      </c>
      <c r="W46" s="21">
        <f>Vinfs</f>
        <v>1</v>
      </c>
      <c r="X46" s="12"/>
      <c r="Y46" s="9"/>
    </row>
    <row r="47" spans="2:25" x14ac:dyDescent="0.25">
      <c r="I47" s="7"/>
      <c r="J47" s="8" t="s">
        <v>17</v>
      </c>
      <c r="K47" s="21">
        <f>Voutzs</f>
        <v>-3</v>
      </c>
      <c r="L47" s="10" t="e">
        <f>L50*K45+L51</f>
        <v>#N/A</v>
      </c>
      <c r="M47" s="9"/>
      <c r="O47" s="7"/>
      <c r="P47" s="8" t="s">
        <v>17</v>
      </c>
      <c r="Q47" s="21">
        <f>Voutzs</f>
        <v>-3</v>
      </c>
      <c r="R47" s="10" t="e">
        <f>R50*Q45+R51</f>
        <v>#N/A</v>
      </c>
      <c r="S47" s="9"/>
      <c r="U47" s="7"/>
      <c r="V47" s="8" t="s">
        <v>17</v>
      </c>
      <c r="W47" s="21">
        <f>Voutzs</f>
        <v>-3</v>
      </c>
      <c r="X47" s="10" t="e">
        <f>X50*W45+X51</f>
        <v>#N/A</v>
      </c>
      <c r="Y47" s="9"/>
    </row>
    <row r="48" spans="2:25" x14ac:dyDescent="0.25">
      <c r="I48" s="7"/>
      <c r="J48" s="8" t="s">
        <v>2</v>
      </c>
      <c r="K48" s="21">
        <f>Voutfs</f>
        <v>1</v>
      </c>
      <c r="L48" s="10" t="e">
        <f>L50*K46+L51</f>
        <v>#N/A</v>
      </c>
      <c r="M48" s="9"/>
      <c r="O48" s="7"/>
      <c r="P48" s="8" t="s">
        <v>2</v>
      </c>
      <c r="Q48" s="21">
        <f>Voutfs</f>
        <v>1</v>
      </c>
      <c r="R48" s="10" t="e">
        <f>R50*Q46+R51</f>
        <v>#N/A</v>
      </c>
      <c r="S48" s="9"/>
      <c r="U48" s="7"/>
      <c r="V48" s="8" t="s">
        <v>2</v>
      </c>
      <c r="W48" s="21">
        <f>Voutfs</f>
        <v>1</v>
      </c>
      <c r="X48" s="10" t="e">
        <f>X50*W46+X51</f>
        <v>#N/A</v>
      </c>
      <c r="Y48" s="9"/>
    </row>
    <row r="49" spans="3:25" x14ac:dyDescent="0.25">
      <c r="I49" s="7"/>
      <c r="J49" s="8" t="s">
        <v>13</v>
      </c>
      <c r="K49" s="22">
        <v>5</v>
      </c>
      <c r="L49" s="12"/>
      <c r="M49" s="9"/>
      <c r="O49" s="7"/>
      <c r="P49" s="8"/>
      <c r="Q49" s="22"/>
      <c r="R49" s="12"/>
      <c r="S49" s="9"/>
      <c r="U49" s="7"/>
      <c r="V49" s="8" t="s">
        <v>13</v>
      </c>
      <c r="W49" s="22">
        <v>5</v>
      </c>
      <c r="X49" s="12"/>
      <c r="Y49" s="9"/>
    </row>
    <row r="50" spans="3:25" x14ac:dyDescent="0.25">
      <c r="I50" s="7"/>
      <c r="J50" s="8" t="s">
        <v>7</v>
      </c>
      <c r="K50" s="10">
        <f>(K48-K47)/(K46-K45)</f>
        <v>2</v>
      </c>
      <c r="L50" s="10" t="e">
        <f>apbn*L54/(L53+L54)*(1+L55/L56)</f>
        <v>#N/A</v>
      </c>
      <c r="M50" s="9"/>
      <c r="O50" s="7"/>
      <c r="P50" s="8" t="s">
        <v>7</v>
      </c>
      <c r="Q50" s="10">
        <f>(Q48-Q47)/(Q46-Q45)</f>
        <v>2</v>
      </c>
      <c r="R50" s="10" t="e">
        <f>apbz*R54/(R53+R54)</f>
        <v>#N/A</v>
      </c>
      <c r="S50" s="9"/>
      <c r="U50" s="7"/>
      <c r="V50" s="8" t="s">
        <v>7</v>
      </c>
      <c r="W50" s="10">
        <f>(W48-W47)/(W46-W45)</f>
        <v>2</v>
      </c>
      <c r="X50" s="23" t="e">
        <f>(apbp/X53)/(1/X53+1/X54+1/X55)</f>
        <v>#N/A</v>
      </c>
      <c r="Y50" s="9"/>
    </row>
    <row r="51" spans="3:25" x14ac:dyDescent="0.25">
      <c r="C51" s="3"/>
      <c r="I51" s="7"/>
      <c r="J51" s="11" t="s">
        <v>8</v>
      </c>
      <c r="K51" s="10">
        <f>K47-K50*K45</f>
        <v>-1</v>
      </c>
      <c r="L51" s="10" t="e">
        <f>-apbn*K49*L55/L56</f>
        <v>#N/A</v>
      </c>
      <c r="M51" s="9"/>
      <c r="O51" s="7"/>
      <c r="P51" s="11" t="s">
        <v>8</v>
      </c>
      <c r="Q51" s="10">
        <f>Q47-Q50*Q45</f>
        <v>-1</v>
      </c>
      <c r="R51" s="10" t="e">
        <f>Q52*0</f>
        <v>#N/A</v>
      </c>
      <c r="S51" s="9"/>
      <c r="U51" s="7"/>
      <c r="V51" s="11" t="s">
        <v>8</v>
      </c>
      <c r="W51" s="10">
        <f>W47-W50*W45</f>
        <v>-1</v>
      </c>
      <c r="X51" s="23" t="e">
        <f>apbp*(W49/X55)/(1/X53+1/X54+1/X55)</f>
        <v>#N/A</v>
      </c>
      <c r="Y51" s="9"/>
    </row>
    <row r="52" spans="3:25" x14ac:dyDescent="0.25">
      <c r="C52" s="3"/>
      <c r="I52" s="7"/>
      <c r="J52" s="8" t="s">
        <v>20</v>
      </c>
      <c r="K52" s="12" t="e">
        <f>IF(AND(0&lt;K50,K50&lt;1,K51&lt;0),1,NA())</f>
        <v>#N/A</v>
      </c>
      <c r="L52" s="12"/>
      <c r="M52" s="9"/>
      <c r="O52" s="7"/>
      <c r="P52" s="8" t="s">
        <v>20</v>
      </c>
      <c r="Q52" s="12" t="e">
        <f>IF(AND(1&gt;Q50,Q50&gt;0,Q51=0),1,NA())</f>
        <v>#N/A</v>
      </c>
      <c r="R52" s="12"/>
      <c r="S52" s="9"/>
      <c r="U52" s="7"/>
      <c r="V52" s="8" t="s">
        <v>20</v>
      </c>
      <c r="W52" s="12" t="e">
        <f>IF(AND(0&lt;W50,W50&lt;1,W51&gt;0),1,NA())</f>
        <v>#N/A</v>
      </c>
      <c r="X52" s="12"/>
      <c r="Y52" s="9"/>
    </row>
    <row r="53" spans="3:25" x14ac:dyDescent="0.25">
      <c r="I53" s="7"/>
      <c r="J53" s="8" t="s">
        <v>12</v>
      </c>
      <c r="K53" s="14">
        <v>10000</v>
      </c>
      <c r="L53" s="24">
        <f>K53</f>
        <v>10000</v>
      </c>
      <c r="M53" s="9"/>
      <c r="O53" s="7"/>
      <c r="P53" s="8" t="s">
        <v>12</v>
      </c>
      <c r="Q53" s="14">
        <v>10000</v>
      </c>
      <c r="R53" s="24">
        <f>Q53</f>
        <v>10000</v>
      </c>
      <c r="S53" s="9"/>
      <c r="U53" s="7"/>
      <c r="V53" s="8" t="s">
        <v>12</v>
      </c>
      <c r="W53" s="14">
        <v>10000</v>
      </c>
      <c r="X53" s="24">
        <f>W53</f>
        <v>10000</v>
      </c>
      <c r="Y53" s="9"/>
    </row>
    <row r="54" spans="3:25" x14ac:dyDescent="0.25">
      <c r="I54" s="7"/>
      <c r="J54" s="8" t="s">
        <v>11</v>
      </c>
      <c r="K54" s="16" t="e">
        <f>apbn*K53/((1+K55/K56)/K50-1)</f>
        <v>#N/A</v>
      </c>
      <c r="L54" s="14" t="e">
        <f>K54</f>
        <v>#N/A</v>
      </c>
      <c r="M54" s="9"/>
      <c r="O54" s="7"/>
      <c r="P54" s="8" t="s">
        <v>11</v>
      </c>
      <c r="Q54" s="16" t="e">
        <f>apbz*Q53*Q50/(1-Q50)</f>
        <v>#N/A</v>
      </c>
      <c r="R54" s="14" t="e">
        <f>Q54</f>
        <v>#N/A</v>
      </c>
      <c r="S54" s="9"/>
      <c r="U54" s="7"/>
      <c r="V54" s="8" t="s">
        <v>11</v>
      </c>
      <c r="W54" s="16" t="e">
        <f>1/(1/(W50*W53)-1/W53-1/W55)</f>
        <v>#N/A</v>
      </c>
      <c r="X54" s="14" t="e">
        <f>W54</f>
        <v>#N/A</v>
      </c>
      <c r="Y54" s="9"/>
    </row>
    <row r="55" spans="3:25" x14ac:dyDescent="0.25">
      <c r="I55" s="7"/>
      <c r="J55" s="8" t="s">
        <v>9</v>
      </c>
      <c r="K55" s="14">
        <v>100000</v>
      </c>
      <c r="L55" s="24">
        <f>K55</f>
        <v>100000</v>
      </c>
      <c r="M55" s="9"/>
      <c r="O55" s="7"/>
      <c r="P55" s="8"/>
      <c r="Q55" s="24"/>
      <c r="R55" s="27"/>
      <c r="S55" s="9"/>
      <c r="U55" s="7"/>
      <c r="V55" s="8" t="s">
        <v>38</v>
      </c>
      <c r="W55" s="16" t="e">
        <f>apbp*W50*W49/W51*W53</f>
        <v>#N/A</v>
      </c>
      <c r="X55" s="16" t="e">
        <f>W55</f>
        <v>#N/A</v>
      </c>
      <c r="Y55" s="9"/>
    </row>
    <row r="56" spans="3:25" x14ac:dyDescent="0.25">
      <c r="I56" s="7"/>
      <c r="J56" s="8" t="s">
        <v>10</v>
      </c>
      <c r="K56" s="16" t="e">
        <f>-apbn*K55*K49/K51</f>
        <v>#N/A</v>
      </c>
      <c r="L56" s="14" t="e">
        <f>K56</f>
        <v>#N/A</v>
      </c>
      <c r="M56" s="9"/>
      <c r="O56" s="7"/>
      <c r="P56" s="8"/>
      <c r="Q56" s="12"/>
      <c r="R56" s="12"/>
      <c r="S56" s="9"/>
      <c r="U56" s="7"/>
      <c r="V56" s="8"/>
      <c r="W56" s="16"/>
      <c r="X56" s="27"/>
      <c r="Y56" s="9"/>
    </row>
    <row r="57" spans="3:25" x14ac:dyDescent="0.25">
      <c r="I57" s="7"/>
      <c r="J57" s="33"/>
      <c r="K57" s="8"/>
      <c r="L57" s="8"/>
      <c r="M57" s="9"/>
      <c r="O57" s="7"/>
      <c r="P57" s="8"/>
      <c r="Q57" s="8"/>
      <c r="R57" s="8"/>
      <c r="S57" s="9"/>
      <c r="U57" s="7"/>
      <c r="V57" s="8"/>
      <c r="W57" s="12"/>
      <c r="X57" s="8"/>
      <c r="Y57" s="9"/>
    </row>
    <row r="58" spans="3:25" x14ac:dyDescent="0.25">
      <c r="I58" s="7"/>
      <c r="J58" s="8"/>
      <c r="K58" s="8"/>
      <c r="L58" s="8"/>
      <c r="M58" s="9"/>
      <c r="O58" s="7"/>
      <c r="P58" s="8"/>
      <c r="Q58" s="8"/>
      <c r="R58" s="8"/>
      <c r="S58" s="9"/>
      <c r="U58" s="7"/>
      <c r="V58" s="8"/>
      <c r="W58" s="12"/>
      <c r="X58" s="8"/>
      <c r="Y58" s="9"/>
    </row>
    <row r="59" spans="3:25" x14ac:dyDescent="0.25">
      <c r="I59" s="17"/>
      <c r="J59" s="5"/>
      <c r="K59" s="5"/>
      <c r="L59" s="5"/>
      <c r="M59" s="18"/>
      <c r="O59" s="17"/>
      <c r="P59" s="5"/>
      <c r="Q59" s="6"/>
      <c r="R59" s="5"/>
      <c r="S59" s="18"/>
      <c r="U59" s="17"/>
      <c r="V59" s="5"/>
      <c r="W59" s="6"/>
      <c r="X59" s="5"/>
      <c r="Y59" s="18"/>
    </row>
    <row r="61" spans="3:25" ht="26.25" x14ac:dyDescent="0.4">
      <c r="I61" s="42" t="s">
        <v>30</v>
      </c>
      <c r="J61" s="43"/>
      <c r="K61" s="43"/>
      <c r="L61" s="43"/>
      <c r="M61" s="44"/>
      <c r="O61" s="42" t="s">
        <v>29</v>
      </c>
      <c r="P61" s="43"/>
      <c r="Q61" s="43"/>
      <c r="R61" s="43"/>
      <c r="S61" s="44"/>
      <c r="T61" s="8"/>
      <c r="U61" s="42" t="s">
        <v>28</v>
      </c>
      <c r="V61" s="43"/>
      <c r="W61" s="43"/>
      <c r="X61" s="43"/>
      <c r="Y61" s="44"/>
    </row>
    <row r="62" spans="3:25" x14ac:dyDescent="0.25">
      <c r="I62" s="7"/>
      <c r="J62" s="8"/>
      <c r="K62" s="8"/>
      <c r="L62" s="8"/>
      <c r="M62" s="9"/>
      <c r="N62" s="8"/>
      <c r="O62" s="7"/>
      <c r="P62" s="8"/>
      <c r="Q62" s="8"/>
      <c r="R62" s="8"/>
      <c r="S62" s="9"/>
      <c r="U62" s="7"/>
      <c r="V62" s="8"/>
      <c r="W62" s="8"/>
      <c r="X62" s="8"/>
      <c r="Y62" s="9"/>
    </row>
    <row r="63" spans="3:25" x14ac:dyDescent="0.25">
      <c r="I63" s="7"/>
      <c r="J63" s="8"/>
      <c r="K63" s="8"/>
      <c r="L63" s="8"/>
      <c r="M63" s="9"/>
      <c r="N63" s="8"/>
      <c r="O63" s="7"/>
      <c r="P63" s="8"/>
      <c r="Q63" s="8"/>
      <c r="R63" s="8"/>
      <c r="S63" s="9"/>
      <c r="U63" s="7"/>
      <c r="V63" s="8"/>
      <c r="W63" s="8"/>
      <c r="X63" s="8"/>
      <c r="Y63" s="9"/>
    </row>
    <row r="64" spans="3:25" x14ac:dyDescent="0.25">
      <c r="I64" s="7"/>
      <c r="J64" s="8"/>
      <c r="K64" s="8"/>
      <c r="L64" s="8"/>
      <c r="M64" s="9"/>
      <c r="N64" s="8"/>
      <c r="O64" s="7"/>
      <c r="P64" s="8"/>
      <c r="Q64" s="8"/>
      <c r="R64" s="8"/>
      <c r="S64" s="9"/>
      <c r="U64" s="7"/>
      <c r="V64" s="8"/>
      <c r="W64" s="8"/>
      <c r="X64" s="8"/>
      <c r="Y64" s="9"/>
    </row>
    <row r="65" spans="9:25" x14ac:dyDescent="0.25">
      <c r="I65" s="7"/>
      <c r="J65" s="8"/>
      <c r="K65" s="8"/>
      <c r="L65" s="8"/>
      <c r="M65" s="9"/>
      <c r="N65" s="8"/>
      <c r="O65" s="7"/>
      <c r="P65" s="8"/>
      <c r="Q65" s="8"/>
      <c r="R65" s="8"/>
      <c r="S65" s="9"/>
      <c r="U65" s="7"/>
      <c r="V65" s="8"/>
      <c r="W65" s="8"/>
      <c r="X65" s="8"/>
      <c r="Y65" s="9"/>
    </row>
    <row r="66" spans="9:25" x14ac:dyDescent="0.25">
      <c r="I66" s="7"/>
      <c r="J66" s="8"/>
      <c r="K66" s="8"/>
      <c r="L66" s="8"/>
      <c r="M66" s="9"/>
      <c r="N66" s="8"/>
      <c r="O66" s="7"/>
      <c r="P66" s="8"/>
      <c r="Q66" s="8"/>
      <c r="R66" s="8"/>
      <c r="S66" s="9"/>
      <c r="U66" s="7"/>
      <c r="V66" s="8"/>
      <c r="W66" s="8"/>
      <c r="X66" s="8"/>
      <c r="Y66" s="9"/>
    </row>
    <row r="67" spans="9:25" x14ac:dyDescent="0.25">
      <c r="I67" s="7"/>
      <c r="J67" s="8"/>
      <c r="K67" s="8"/>
      <c r="L67" s="8"/>
      <c r="M67" s="9"/>
      <c r="N67" s="8"/>
      <c r="O67" s="7"/>
      <c r="P67" s="8"/>
      <c r="Q67" s="8"/>
      <c r="R67" s="8"/>
      <c r="S67" s="9"/>
      <c r="U67" s="7"/>
      <c r="V67" s="8"/>
      <c r="W67" s="8"/>
      <c r="X67" s="8"/>
      <c r="Y67" s="9"/>
    </row>
    <row r="68" spans="9:25" x14ac:dyDescent="0.25">
      <c r="I68" s="7"/>
      <c r="J68" s="8"/>
      <c r="K68" s="8"/>
      <c r="L68" s="8"/>
      <c r="M68" s="9"/>
      <c r="N68" s="8"/>
      <c r="O68" s="7"/>
      <c r="P68" s="8"/>
      <c r="Q68" s="8"/>
      <c r="R68" s="8"/>
      <c r="S68" s="9"/>
      <c r="U68" s="7"/>
      <c r="V68" s="8"/>
      <c r="W68" s="8"/>
      <c r="X68" s="8"/>
      <c r="Y68" s="9"/>
    </row>
    <row r="69" spans="9:25" x14ac:dyDescent="0.25">
      <c r="I69" s="7"/>
      <c r="J69" s="8"/>
      <c r="K69" s="8"/>
      <c r="L69" s="8"/>
      <c r="M69" s="9"/>
      <c r="N69" s="8"/>
      <c r="O69" s="7"/>
      <c r="P69" s="8"/>
      <c r="Q69" s="8"/>
      <c r="R69" s="8"/>
      <c r="S69" s="9"/>
      <c r="U69" s="7"/>
      <c r="V69" s="8"/>
      <c r="W69" s="8"/>
      <c r="X69" s="8"/>
      <c r="Y69" s="9"/>
    </row>
    <row r="70" spans="9:25" x14ac:dyDescent="0.25">
      <c r="I70" s="7"/>
      <c r="J70" s="8"/>
      <c r="K70" s="8"/>
      <c r="L70" s="8"/>
      <c r="M70" s="9"/>
      <c r="N70" s="8"/>
      <c r="O70" s="7"/>
      <c r="P70" s="8"/>
      <c r="Q70" s="8"/>
      <c r="R70" s="8"/>
      <c r="S70" s="9"/>
      <c r="U70" s="7"/>
      <c r="V70" s="8"/>
      <c r="W70" s="8"/>
      <c r="X70" s="8"/>
      <c r="Y70" s="9"/>
    </row>
    <row r="71" spans="9:25" x14ac:dyDescent="0.25">
      <c r="I71" s="7"/>
      <c r="J71" s="8"/>
      <c r="K71" s="8"/>
      <c r="L71" s="8"/>
      <c r="M71" s="9"/>
      <c r="N71" s="8"/>
      <c r="O71" s="7"/>
      <c r="P71" s="8"/>
      <c r="Q71" s="8"/>
      <c r="R71" s="8"/>
      <c r="S71" s="9"/>
      <c r="U71" s="7"/>
      <c r="V71" s="8"/>
      <c r="W71" s="8"/>
      <c r="X71" s="8"/>
      <c r="Y71" s="9"/>
    </row>
    <row r="72" spans="9:25" x14ac:dyDescent="0.25">
      <c r="I72" s="7"/>
      <c r="J72" s="8"/>
      <c r="K72" s="8"/>
      <c r="L72" s="8"/>
      <c r="M72" s="9"/>
      <c r="N72" s="8"/>
      <c r="O72" s="7"/>
      <c r="P72" s="8"/>
      <c r="Q72" s="20"/>
      <c r="R72" s="8"/>
      <c r="S72" s="9"/>
      <c r="U72" s="7"/>
      <c r="V72" s="8"/>
      <c r="W72" s="20"/>
      <c r="X72" s="8"/>
      <c r="Y72" s="9"/>
    </row>
    <row r="73" spans="9:25" x14ac:dyDescent="0.25">
      <c r="I73" s="7"/>
      <c r="J73" s="5" t="s">
        <v>18</v>
      </c>
      <c r="K73" s="6" t="s">
        <v>19</v>
      </c>
      <c r="L73" s="6" t="s">
        <v>21</v>
      </c>
      <c r="M73" s="9"/>
      <c r="N73" s="8"/>
      <c r="O73" s="7"/>
      <c r="P73" s="5" t="s">
        <v>18</v>
      </c>
      <c r="Q73" s="6" t="s">
        <v>19</v>
      </c>
      <c r="R73" s="6" t="s">
        <v>21</v>
      </c>
      <c r="S73" s="9"/>
      <c r="U73" s="7"/>
      <c r="V73" s="5" t="s">
        <v>18</v>
      </c>
      <c r="W73" s="6" t="s">
        <v>19</v>
      </c>
      <c r="X73" s="6" t="s">
        <v>21</v>
      </c>
      <c r="Y73" s="9"/>
    </row>
    <row r="74" spans="9:25" x14ac:dyDescent="0.25">
      <c r="I74" s="7"/>
      <c r="J74" s="8" t="s">
        <v>1</v>
      </c>
      <c r="K74" s="21">
        <f>Vinzs</f>
        <v>-1</v>
      </c>
      <c r="L74" s="12"/>
      <c r="M74" s="9"/>
      <c r="N74" s="8"/>
      <c r="O74" s="7"/>
      <c r="P74" s="8" t="s">
        <v>1</v>
      </c>
      <c r="Q74" s="21">
        <f>Vinzs</f>
        <v>-1</v>
      </c>
      <c r="R74" s="12"/>
      <c r="S74" s="9"/>
      <c r="U74" s="7"/>
      <c r="V74" s="8" t="s">
        <v>1</v>
      </c>
      <c r="W74" s="21">
        <f>Vinzs</f>
        <v>-1</v>
      </c>
      <c r="X74" s="12"/>
      <c r="Y74" s="9"/>
    </row>
    <row r="75" spans="9:25" x14ac:dyDescent="0.25">
      <c r="I75" s="7"/>
      <c r="J75" s="8" t="s">
        <v>0</v>
      </c>
      <c r="K75" s="21">
        <f>Vinfs</f>
        <v>1</v>
      </c>
      <c r="L75" s="12"/>
      <c r="M75" s="9"/>
      <c r="N75" s="8"/>
      <c r="O75" s="7"/>
      <c r="P75" s="8" t="s">
        <v>0</v>
      </c>
      <c r="Q75" s="21">
        <f>Vinfs</f>
        <v>1</v>
      </c>
      <c r="R75" s="12"/>
      <c r="S75" s="9"/>
      <c r="U75" s="7"/>
      <c r="V75" s="8" t="s">
        <v>0</v>
      </c>
      <c r="W75" s="21">
        <f>Vinfs</f>
        <v>1</v>
      </c>
      <c r="X75" s="12"/>
      <c r="Y75" s="9"/>
    </row>
    <row r="76" spans="9:25" x14ac:dyDescent="0.25">
      <c r="I76" s="7"/>
      <c r="J76" s="8" t="s">
        <v>17</v>
      </c>
      <c r="K76" s="21">
        <f>Voutzs</f>
        <v>-3</v>
      </c>
      <c r="L76" s="10" t="e">
        <f>L79*K74+L80</f>
        <v>#N/A</v>
      </c>
      <c r="M76" s="9"/>
      <c r="N76" s="8"/>
      <c r="O76" s="7"/>
      <c r="P76" s="8" t="s">
        <v>17</v>
      </c>
      <c r="Q76" s="21">
        <f>Voutzs</f>
        <v>-3</v>
      </c>
      <c r="R76" s="10" t="e">
        <f>R79*Q74+R80</f>
        <v>#N/A</v>
      </c>
      <c r="S76" s="9"/>
      <c r="U76" s="7"/>
      <c r="V76" s="8" t="s">
        <v>17</v>
      </c>
      <c r="W76" s="21">
        <f>Voutzs</f>
        <v>-3</v>
      </c>
      <c r="X76" s="10" t="e">
        <f>X79*W74+X80</f>
        <v>#N/A</v>
      </c>
      <c r="Y76" s="9"/>
    </row>
    <row r="77" spans="9:25" x14ac:dyDescent="0.25">
      <c r="I77" s="7"/>
      <c r="J77" s="8" t="s">
        <v>2</v>
      </c>
      <c r="K77" s="21">
        <f>Voutfs</f>
        <v>1</v>
      </c>
      <c r="L77" s="10" t="e">
        <f>L79*K75+L80</f>
        <v>#N/A</v>
      </c>
      <c r="M77" s="9"/>
      <c r="N77" s="8"/>
      <c r="O77" s="7"/>
      <c r="P77" s="8" t="s">
        <v>2</v>
      </c>
      <c r="Q77" s="21">
        <f>Voutfs</f>
        <v>1</v>
      </c>
      <c r="R77" s="10" t="e">
        <f>R79*Q75+R80</f>
        <v>#N/A</v>
      </c>
      <c r="S77" s="9"/>
      <c r="U77" s="7"/>
      <c r="V77" s="8" t="s">
        <v>2</v>
      </c>
      <c r="W77" s="21">
        <f>Voutfs</f>
        <v>1</v>
      </c>
      <c r="X77" s="10" t="e">
        <f>X79*W75+X80</f>
        <v>#N/A</v>
      </c>
      <c r="Y77" s="9"/>
    </row>
    <row r="78" spans="9:25" x14ac:dyDescent="0.25">
      <c r="I78" s="7"/>
      <c r="J78" s="8" t="s">
        <v>13</v>
      </c>
      <c r="K78" s="22">
        <v>5</v>
      </c>
      <c r="L78" s="12"/>
      <c r="M78" s="9"/>
      <c r="N78" s="8"/>
      <c r="O78" s="7"/>
      <c r="P78" s="8"/>
      <c r="Q78" s="22"/>
      <c r="R78" s="12"/>
      <c r="S78" s="9"/>
      <c r="U78" s="7"/>
      <c r="V78" s="8" t="s">
        <v>13</v>
      </c>
      <c r="W78" s="22">
        <v>5</v>
      </c>
      <c r="X78" s="12"/>
      <c r="Y78" s="9"/>
    </row>
    <row r="79" spans="9:25" x14ac:dyDescent="0.25">
      <c r="I79" s="7"/>
      <c r="J79" s="8" t="s">
        <v>7</v>
      </c>
      <c r="K79" s="10">
        <f>(K77-K76)/(K75-K74)</f>
        <v>2</v>
      </c>
      <c r="L79" s="29" t="e">
        <f>-apbn*IF(ISNUMBER(L85),L82*L85/(L84*(L84+2*L85)),1)</f>
        <v>#N/A</v>
      </c>
      <c r="M79" s="9"/>
      <c r="N79" s="8"/>
      <c r="O79" s="7"/>
      <c r="P79" s="8" t="s">
        <v>7</v>
      </c>
      <c r="Q79" s="10">
        <f>(Q77-Q76)/(Q75-Q74)</f>
        <v>2</v>
      </c>
      <c r="R79" s="29" t="e">
        <f>-apbz*R82*R84/(R83*(R83+2*R84))</f>
        <v>#N/A</v>
      </c>
      <c r="S79" s="9"/>
      <c r="U79" s="7"/>
      <c r="V79" s="8" t="s">
        <v>7</v>
      </c>
      <c r="W79" s="10">
        <f>(W77-W76)/(W75-W74)</f>
        <v>2</v>
      </c>
      <c r="X79" s="29" t="e">
        <f>-apbp*X82*X84/(X83*(X83+2*X84))</f>
        <v>#N/A</v>
      </c>
      <c r="Y79" s="9"/>
    </row>
    <row r="80" spans="9:25" x14ac:dyDescent="0.25">
      <c r="I80" s="7"/>
      <c r="J80" s="11" t="s">
        <v>8</v>
      </c>
      <c r="K80" s="10">
        <f>K76-K79*K74</f>
        <v>-1</v>
      </c>
      <c r="L80" s="10" t="e">
        <f>-K81*K78*L82/L83</f>
        <v>#N/A</v>
      </c>
      <c r="M80" s="9"/>
      <c r="N80" s="8"/>
      <c r="O80" s="7"/>
      <c r="P80" s="11" t="s">
        <v>8</v>
      </c>
      <c r="Q80" s="10">
        <f>Q76-Q79*Q74</f>
        <v>-1</v>
      </c>
      <c r="R80" s="29" t="e">
        <f>Q81*0</f>
        <v>#N/A</v>
      </c>
      <c r="S80" s="9"/>
      <c r="U80" s="7"/>
      <c r="V80" s="11" t="s">
        <v>8</v>
      </c>
      <c r="W80" s="10">
        <f>W76-W79*W74</f>
        <v>-1</v>
      </c>
      <c r="X80" s="29" t="e">
        <f>apbp*W78*(X86/(X85+X86))*(1+X82/(X83+X87))</f>
        <v>#N/A</v>
      </c>
      <c r="Y80" s="9"/>
    </row>
    <row r="81" spans="9:25" x14ac:dyDescent="0.25">
      <c r="I81" s="7"/>
      <c r="J81" s="8" t="s">
        <v>20</v>
      </c>
      <c r="K81" s="12" t="e">
        <f>IF(AND(-1&lt;K79,K79&lt;0,K80&lt;0),1,NA())</f>
        <v>#N/A</v>
      </c>
      <c r="L81" s="12"/>
      <c r="M81" s="9"/>
      <c r="N81" s="8"/>
      <c r="O81" s="7"/>
      <c r="P81" s="8" t="s">
        <v>20</v>
      </c>
      <c r="Q81" s="12" t="e">
        <f>IF(AND(-1&lt;Q79,Q79&lt;0,Q80=0),1,NA())</f>
        <v>#N/A</v>
      </c>
      <c r="R81" s="12"/>
      <c r="S81" s="9"/>
      <c r="U81" s="7"/>
      <c r="V81" s="8" t="s">
        <v>20</v>
      </c>
      <c r="W81" s="12" t="e">
        <f>IF(AND(-1&lt;W79,W79&lt;0,W80&gt;0),1,NA())</f>
        <v>#N/A</v>
      </c>
      <c r="X81" s="12"/>
      <c r="Y81" s="9"/>
    </row>
    <row r="82" spans="9:25" x14ac:dyDescent="0.25">
      <c r="I82" s="7"/>
      <c r="J82" s="8" t="s">
        <v>9</v>
      </c>
      <c r="K82" s="14">
        <v>100000</v>
      </c>
      <c r="L82" s="24">
        <f>K82</f>
        <v>100000</v>
      </c>
      <c r="M82" s="9"/>
      <c r="N82" s="8"/>
      <c r="O82" s="7"/>
      <c r="P82" s="8" t="s">
        <v>9</v>
      </c>
      <c r="Q82" s="14">
        <v>100000</v>
      </c>
      <c r="R82" s="24">
        <f>Q82</f>
        <v>100000</v>
      </c>
      <c r="S82" s="9"/>
      <c r="U82" s="7"/>
      <c r="V82" s="8" t="s">
        <v>9</v>
      </c>
      <c r="W82" s="14">
        <v>100000</v>
      </c>
      <c r="X82" s="24">
        <f>W82</f>
        <v>100000</v>
      </c>
      <c r="Y82" s="9"/>
    </row>
    <row r="83" spans="9:25" x14ac:dyDescent="0.25">
      <c r="I83" s="7"/>
      <c r="J83" s="8" t="s">
        <v>10</v>
      </c>
      <c r="K83" s="24" t="e">
        <f>-K81*K82*K78/K80</f>
        <v>#N/A</v>
      </c>
      <c r="L83" s="14" t="e">
        <f>K83</f>
        <v>#N/A</v>
      </c>
      <c r="M83" s="9"/>
      <c r="N83" s="8"/>
      <c r="O83" s="7"/>
      <c r="P83" s="8" t="s">
        <v>35</v>
      </c>
      <c r="Q83" s="25">
        <f>Q82/2</f>
        <v>50000</v>
      </c>
      <c r="R83" s="14">
        <f>Q83</f>
        <v>50000</v>
      </c>
      <c r="S83" s="9"/>
      <c r="U83" s="7"/>
      <c r="V83" s="8" t="s">
        <v>35</v>
      </c>
      <c r="W83" s="25">
        <f>W82/2</f>
        <v>50000</v>
      </c>
      <c r="X83" s="14">
        <f>W83</f>
        <v>50000</v>
      </c>
      <c r="Y83" s="9"/>
    </row>
    <row r="84" spans="9:25" x14ac:dyDescent="0.25">
      <c r="I84" s="7"/>
      <c r="J84" s="8" t="s">
        <v>35</v>
      </c>
      <c r="K84" s="25">
        <f>K82/2</f>
        <v>50000</v>
      </c>
      <c r="L84" s="14">
        <f>K84</f>
        <v>50000</v>
      </c>
      <c r="M84" s="9"/>
      <c r="N84" s="8"/>
      <c r="O84" s="7"/>
      <c r="P84" s="8" t="s">
        <v>36</v>
      </c>
      <c r="Q84" s="32" t="e">
        <f>-Q81*Q79*Q83*Q83/(Q82+2*Q79*Q83)</f>
        <v>#N/A</v>
      </c>
      <c r="R84" s="14" t="e">
        <f>Q84</f>
        <v>#N/A</v>
      </c>
      <c r="S84" s="9"/>
      <c r="U84" s="7"/>
      <c r="V84" s="8" t="s">
        <v>36</v>
      </c>
      <c r="W84" s="32" t="e">
        <f>-W81*W79*W83*W83/(W82+2*W79*W83)</f>
        <v>#N/A</v>
      </c>
      <c r="X84" s="14" t="e">
        <f>W84</f>
        <v>#N/A</v>
      </c>
      <c r="Y84" s="9"/>
    </row>
    <row r="85" spans="9:25" x14ac:dyDescent="0.25">
      <c r="I85" s="7"/>
      <c r="J85" s="8" t="s">
        <v>36</v>
      </c>
      <c r="K85" s="32" t="e">
        <f>-K81*K79*K84*K84/(K82+2*K79*K84)</f>
        <v>#N/A</v>
      </c>
      <c r="L85" s="14" t="e">
        <f>K85</f>
        <v>#N/A</v>
      </c>
      <c r="M85" s="9"/>
      <c r="N85" s="8"/>
      <c r="O85" s="7"/>
      <c r="P85" s="8"/>
      <c r="Q85" s="15"/>
      <c r="R85" s="8"/>
      <c r="S85" s="9"/>
      <c r="U85" s="7"/>
      <c r="V85" s="8" t="s">
        <v>12</v>
      </c>
      <c r="W85" s="14">
        <f>W82</f>
        <v>100000</v>
      </c>
      <c r="X85" s="24">
        <f>W85</f>
        <v>100000</v>
      </c>
      <c r="Y85" s="9"/>
    </row>
    <row r="86" spans="9:25" x14ac:dyDescent="0.25">
      <c r="I86" s="7"/>
      <c r="J86" s="19"/>
      <c r="K86" s="26"/>
      <c r="L86" s="26"/>
      <c r="M86" s="9"/>
      <c r="N86" s="8"/>
      <c r="O86" s="7"/>
      <c r="P86" s="8"/>
      <c r="Q86" s="15"/>
      <c r="R86" s="8"/>
      <c r="S86" s="9"/>
      <c r="U86" s="7"/>
      <c r="V86" s="8" t="s">
        <v>11</v>
      </c>
      <c r="W86" s="16" t="e">
        <f>apbp*W85/(W78*(1+W82/(W83+W87))/W80-1)</f>
        <v>#N/A</v>
      </c>
      <c r="X86" s="14" t="e">
        <f>W86</f>
        <v>#N/A</v>
      </c>
      <c r="Y86" s="9"/>
    </row>
    <row r="87" spans="9:25" x14ac:dyDescent="0.25">
      <c r="I87" s="7"/>
      <c r="J87" s="19"/>
      <c r="K87" s="30"/>
      <c r="L87" s="30"/>
      <c r="M87" s="9"/>
      <c r="N87" s="8"/>
      <c r="O87" s="7"/>
      <c r="P87" s="8"/>
      <c r="Q87" s="8"/>
      <c r="R87" s="8"/>
      <c r="S87" s="9"/>
      <c r="U87" s="7"/>
      <c r="V87" s="19" t="s">
        <v>37</v>
      </c>
      <c r="W87" s="26" t="e">
        <f>apbp/(1/W83+1/W84)</f>
        <v>#N/A</v>
      </c>
      <c r="X87" s="26" t="e">
        <f>apbp/(1/X83+1/X84)</f>
        <v>#N/A</v>
      </c>
      <c r="Y87" s="9"/>
    </row>
    <row r="88" spans="9:25" x14ac:dyDescent="0.25">
      <c r="I88" s="17"/>
      <c r="J88" s="5"/>
      <c r="K88" s="5"/>
      <c r="L88" s="5"/>
      <c r="M88" s="18"/>
      <c r="N88" s="8"/>
      <c r="O88" s="17"/>
      <c r="P88" s="5"/>
      <c r="Q88" s="5"/>
      <c r="R88" s="5"/>
      <c r="S88" s="18"/>
      <c r="U88" s="17"/>
      <c r="V88" s="5"/>
      <c r="W88" s="5"/>
      <c r="X88" s="5"/>
      <c r="Y88" s="18"/>
    </row>
    <row r="90" spans="9:25" ht="26.25" x14ac:dyDescent="0.4">
      <c r="I90" s="42" t="s">
        <v>27</v>
      </c>
      <c r="J90" s="43"/>
      <c r="K90" s="43"/>
      <c r="L90" s="43"/>
      <c r="M90" s="44"/>
      <c r="O90" s="42" t="s">
        <v>26</v>
      </c>
      <c r="P90" s="43"/>
      <c r="Q90" s="43"/>
      <c r="R90" s="43"/>
      <c r="S90" s="44"/>
      <c r="T90" s="8"/>
      <c r="U90" s="42" t="s">
        <v>25</v>
      </c>
      <c r="V90" s="43"/>
      <c r="W90" s="43"/>
      <c r="X90" s="43"/>
      <c r="Y90" s="44"/>
    </row>
    <row r="91" spans="9:25" x14ac:dyDescent="0.25">
      <c r="I91" s="7"/>
      <c r="J91" s="8"/>
      <c r="K91" s="8"/>
      <c r="L91" s="8"/>
      <c r="M91" s="9"/>
      <c r="O91" s="7"/>
      <c r="P91" s="8"/>
      <c r="Q91" s="8"/>
      <c r="R91" s="8"/>
      <c r="S91" s="9"/>
      <c r="U91" s="7"/>
      <c r="V91" s="8"/>
      <c r="W91" s="8"/>
      <c r="X91" s="8"/>
      <c r="Y91" s="9"/>
    </row>
    <row r="92" spans="9:25" x14ac:dyDescent="0.25">
      <c r="I92" s="7"/>
      <c r="J92" s="8"/>
      <c r="K92" s="8"/>
      <c r="L92" s="8"/>
      <c r="M92" s="9"/>
      <c r="O92" s="7"/>
      <c r="P92" s="8"/>
      <c r="Q92" s="8"/>
      <c r="R92" s="8"/>
      <c r="S92" s="9"/>
      <c r="U92" s="7"/>
      <c r="V92" s="8"/>
      <c r="W92" s="8"/>
      <c r="X92" s="8"/>
      <c r="Y92" s="9"/>
    </row>
    <row r="93" spans="9:25" x14ac:dyDescent="0.25">
      <c r="I93" s="7"/>
      <c r="J93" s="8"/>
      <c r="K93" s="8"/>
      <c r="L93" s="8"/>
      <c r="M93" s="9"/>
      <c r="O93" s="7"/>
      <c r="P93" s="8"/>
      <c r="Q93" s="8"/>
      <c r="R93" s="8"/>
      <c r="S93" s="9"/>
      <c r="U93" s="7"/>
      <c r="V93" s="8"/>
      <c r="W93" s="8"/>
      <c r="X93" s="8"/>
      <c r="Y93" s="9"/>
    </row>
    <row r="94" spans="9:25" x14ac:dyDescent="0.25">
      <c r="I94" s="7"/>
      <c r="J94" s="8"/>
      <c r="K94" s="8"/>
      <c r="L94" s="8"/>
      <c r="M94" s="9"/>
      <c r="O94" s="7"/>
      <c r="P94" s="8"/>
      <c r="Q94" s="8"/>
      <c r="R94" s="8"/>
      <c r="S94" s="9"/>
      <c r="U94" s="7"/>
      <c r="V94" s="8"/>
      <c r="W94" s="8"/>
      <c r="X94" s="8"/>
      <c r="Y94" s="9"/>
    </row>
    <row r="95" spans="9:25" x14ac:dyDescent="0.25">
      <c r="I95" s="7"/>
      <c r="J95" s="8"/>
      <c r="K95" s="8"/>
      <c r="L95" s="8"/>
      <c r="M95" s="9"/>
      <c r="O95" s="7"/>
      <c r="P95" s="8"/>
      <c r="Q95" s="8"/>
      <c r="R95" s="8"/>
      <c r="S95" s="9"/>
      <c r="U95" s="7"/>
      <c r="V95" s="8"/>
      <c r="W95" s="8"/>
      <c r="X95" s="8"/>
      <c r="Y95" s="9"/>
    </row>
    <row r="96" spans="9:25" x14ac:dyDescent="0.25">
      <c r="I96" s="7"/>
      <c r="J96" s="8"/>
      <c r="K96" s="8"/>
      <c r="L96" s="8"/>
      <c r="M96" s="9"/>
      <c r="O96" s="7"/>
      <c r="P96" s="8"/>
      <c r="Q96" s="8"/>
      <c r="R96" s="8"/>
      <c r="S96" s="9"/>
      <c r="U96" s="7"/>
      <c r="V96" s="8"/>
      <c r="W96" s="8"/>
      <c r="X96" s="8"/>
      <c r="Y96" s="9"/>
    </row>
    <row r="97" spans="9:25" x14ac:dyDescent="0.25">
      <c r="I97" s="7"/>
      <c r="J97" s="8"/>
      <c r="K97" s="8"/>
      <c r="L97" s="8"/>
      <c r="M97" s="9"/>
      <c r="O97" s="7"/>
      <c r="P97" s="8"/>
      <c r="Q97" s="8"/>
      <c r="R97" s="8"/>
      <c r="S97" s="9"/>
      <c r="U97" s="7"/>
      <c r="V97" s="8"/>
      <c r="W97" s="8"/>
      <c r="X97" s="8"/>
      <c r="Y97" s="9"/>
    </row>
    <row r="98" spans="9:25" x14ac:dyDescent="0.25">
      <c r="I98" s="7"/>
      <c r="J98" s="8"/>
      <c r="K98" s="8"/>
      <c r="L98" s="8"/>
      <c r="M98" s="9"/>
      <c r="O98" s="7"/>
      <c r="P98" s="8"/>
      <c r="Q98" s="8"/>
      <c r="R98" s="8"/>
      <c r="S98" s="9"/>
      <c r="U98" s="7"/>
      <c r="V98" s="8"/>
      <c r="W98" s="8"/>
      <c r="X98" s="8"/>
      <c r="Y98" s="9"/>
    </row>
    <row r="99" spans="9:25" x14ac:dyDescent="0.25">
      <c r="I99" s="7"/>
      <c r="J99" s="8"/>
      <c r="K99" s="8"/>
      <c r="L99" s="8"/>
      <c r="M99" s="9"/>
      <c r="O99" s="7"/>
      <c r="P99" s="8"/>
      <c r="Q99" s="8"/>
      <c r="R99" s="8"/>
      <c r="S99" s="9"/>
      <c r="U99" s="7"/>
      <c r="V99" s="8"/>
      <c r="W99" s="8"/>
      <c r="X99" s="8"/>
      <c r="Y99" s="9"/>
    </row>
    <row r="100" spans="9:25" x14ac:dyDescent="0.25">
      <c r="I100" s="7"/>
      <c r="J100" s="8"/>
      <c r="K100" s="8"/>
      <c r="L100" s="8"/>
      <c r="M100" s="9"/>
      <c r="O100" s="7"/>
      <c r="P100" s="8"/>
      <c r="Q100" s="8"/>
      <c r="R100" s="8"/>
      <c r="S100" s="9"/>
      <c r="U100" s="7"/>
      <c r="V100" s="8"/>
      <c r="W100" s="8"/>
      <c r="X100" s="8"/>
      <c r="Y100" s="9"/>
    </row>
    <row r="101" spans="9:25" x14ac:dyDescent="0.25">
      <c r="I101" s="7"/>
      <c r="J101" s="8"/>
      <c r="K101" s="8"/>
      <c r="L101" s="8"/>
      <c r="M101" s="9"/>
      <c r="O101" s="7"/>
      <c r="P101" s="8"/>
      <c r="Q101" s="8"/>
      <c r="R101" s="8"/>
      <c r="S101" s="9"/>
      <c r="U101" s="7"/>
      <c r="V101" s="8"/>
      <c r="W101" s="8"/>
      <c r="X101" s="8"/>
      <c r="Y101" s="9"/>
    </row>
    <row r="102" spans="9:25" x14ac:dyDescent="0.25">
      <c r="I102" s="7"/>
      <c r="J102" s="5" t="s">
        <v>18</v>
      </c>
      <c r="K102" s="6" t="s">
        <v>19</v>
      </c>
      <c r="L102" s="6" t="s">
        <v>21</v>
      </c>
      <c r="M102" s="9"/>
      <c r="O102" s="7"/>
      <c r="P102" s="5" t="s">
        <v>18</v>
      </c>
      <c r="Q102" s="6" t="s">
        <v>19</v>
      </c>
      <c r="R102" s="6" t="s">
        <v>21</v>
      </c>
      <c r="S102" s="9"/>
      <c r="U102" s="7"/>
      <c r="V102" s="5" t="s">
        <v>18</v>
      </c>
      <c r="W102" s="6" t="s">
        <v>19</v>
      </c>
      <c r="X102" s="6" t="s">
        <v>21</v>
      </c>
      <c r="Y102" s="9"/>
    </row>
    <row r="103" spans="9:25" x14ac:dyDescent="0.25">
      <c r="I103" s="7"/>
      <c r="J103" s="8" t="s">
        <v>1</v>
      </c>
      <c r="K103" s="21">
        <f>Vinzs</f>
        <v>-1</v>
      </c>
      <c r="L103" s="12"/>
      <c r="M103" s="9"/>
      <c r="O103" s="7"/>
      <c r="P103" s="8" t="s">
        <v>1</v>
      </c>
      <c r="Q103" s="21">
        <f>Vinzs</f>
        <v>-1</v>
      </c>
      <c r="R103" s="12"/>
      <c r="S103" s="9"/>
      <c r="U103" s="7"/>
      <c r="V103" s="8" t="s">
        <v>1</v>
      </c>
      <c r="W103" s="21">
        <f>Vinzs</f>
        <v>-1</v>
      </c>
      <c r="X103" s="12"/>
      <c r="Y103" s="9"/>
    </row>
    <row r="104" spans="9:25" x14ac:dyDescent="0.25">
      <c r="I104" s="7"/>
      <c r="J104" s="8" t="s">
        <v>0</v>
      </c>
      <c r="K104" s="21">
        <f>Vinfs</f>
        <v>1</v>
      </c>
      <c r="L104" s="12"/>
      <c r="M104" s="9"/>
      <c r="O104" s="7"/>
      <c r="P104" s="8" t="s">
        <v>0</v>
      </c>
      <c r="Q104" s="21">
        <f>Vinfs</f>
        <v>1</v>
      </c>
      <c r="R104" s="12"/>
      <c r="S104" s="9"/>
      <c r="U104" s="7"/>
      <c r="V104" s="8" t="s">
        <v>0</v>
      </c>
      <c r="W104" s="21">
        <f>Vinfs</f>
        <v>1</v>
      </c>
      <c r="X104" s="12"/>
      <c r="Y104" s="9"/>
    </row>
    <row r="105" spans="9:25" x14ac:dyDescent="0.25">
      <c r="I105" s="7"/>
      <c r="J105" s="8" t="s">
        <v>17</v>
      </c>
      <c r="K105" s="21">
        <f>Voutzs</f>
        <v>-3</v>
      </c>
      <c r="L105" s="10" t="e">
        <f>L108*K103+L109</f>
        <v>#N/A</v>
      </c>
      <c r="M105" s="9"/>
      <c r="O105" s="7"/>
      <c r="P105" s="8" t="s">
        <v>17</v>
      </c>
      <c r="Q105" s="21">
        <f>Voutzs</f>
        <v>-3</v>
      </c>
      <c r="R105" s="10" t="e">
        <f>R108*Q103+R109</f>
        <v>#N/A</v>
      </c>
      <c r="S105" s="9"/>
      <c r="U105" s="7"/>
      <c r="V105" s="8" t="s">
        <v>17</v>
      </c>
      <c r="W105" s="21">
        <f>Voutzs</f>
        <v>-3</v>
      </c>
      <c r="X105" s="10" t="e">
        <f>X108*W103+X109</f>
        <v>#N/A</v>
      </c>
      <c r="Y105" s="9"/>
    </row>
    <row r="106" spans="9:25" x14ac:dyDescent="0.25">
      <c r="I106" s="7"/>
      <c r="J106" s="8" t="s">
        <v>2</v>
      </c>
      <c r="K106" s="21">
        <f>Voutfs</f>
        <v>1</v>
      </c>
      <c r="L106" s="10" t="e">
        <f>L108*K104+L109</f>
        <v>#N/A</v>
      </c>
      <c r="M106" s="9"/>
      <c r="O106" s="7"/>
      <c r="P106" s="8" t="s">
        <v>2</v>
      </c>
      <c r="Q106" s="21">
        <f>Voutfs</f>
        <v>1</v>
      </c>
      <c r="R106" s="10" t="e">
        <f>R108*Q104+R109</f>
        <v>#N/A</v>
      </c>
      <c r="S106" s="9"/>
      <c r="U106" s="7"/>
      <c r="V106" s="8" t="s">
        <v>2</v>
      </c>
      <c r="W106" s="21">
        <f>Voutfs</f>
        <v>1</v>
      </c>
      <c r="X106" s="10" t="e">
        <f>X108*W104+X109</f>
        <v>#N/A</v>
      </c>
      <c r="Y106" s="9"/>
    </row>
    <row r="107" spans="9:25" x14ac:dyDescent="0.25">
      <c r="I107" s="7"/>
      <c r="J107" s="8" t="s">
        <v>13</v>
      </c>
      <c r="K107" s="22">
        <v>5</v>
      </c>
      <c r="L107" s="12"/>
      <c r="M107" s="9"/>
      <c r="O107" s="7"/>
      <c r="P107" s="8"/>
      <c r="Q107" s="22"/>
      <c r="R107" s="12"/>
      <c r="S107" s="9"/>
      <c r="U107" s="7"/>
      <c r="V107" s="8" t="s">
        <v>13</v>
      </c>
      <c r="W107" s="22">
        <v>5</v>
      </c>
      <c r="X107" s="12"/>
      <c r="Y107" s="9"/>
    </row>
    <row r="108" spans="9:25" x14ac:dyDescent="0.25">
      <c r="I108" s="7"/>
      <c r="J108" s="8" t="s">
        <v>7</v>
      </c>
      <c r="K108" s="10">
        <f>(K106-K105)/(K104-K103)</f>
        <v>2</v>
      </c>
      <c r="L108" s="10" t="e">
        <f>K110*(-L111/L112)</f>
        <v>#N/A</v>
      </c>
      <c r="M108" s="9"/>
      <c r="O108" s="7"/>
      <c r="P108" s="8" t="s">
        <v>7</v>
      </c>
      <c r="Q108" s="10">
        <f>(Q106-Q105)/(Q104-Q103)</f>
        <v>2</v>
      </c>
      <c r="R108" s="10" t="e">
        <f>Q110*(-R111/R112)</f>
        <v>#N/A</v>
      </c>
      <c r="S108" s="9"/>
      <c r="U108" s="7"/>
      <c r="V108" s="8" t="s">
        <v>7</v>
      </c>
      <c r="W108" s="10">
        <f>(W106-W105)/(W104-W103)</f>
        <v>2</v>
      </c>
      <c r="X108" s="23" t="e">
        <f>-W110*X113/X114</f>
        <v>#N/A</v>
      </c>
      <c r="Y108" s="9"/>
    </row>
    <row r="109" spans="9:25" x14ac:dyDescent="0.25">
      <c r="I109" s="7"/>
      <c r="J109" s="11" t="s">
        <v>8</v>
      </c>
      <c r="K109" s="10">
        <f>K105-K108*K103</f>
        <v>-1</v>
      </c>
      <c r="L109" s="10" t="e">
        <f>-K110*K107*L111/L113</f>
        <v>#N/A</v>
      </c>
      <c r="M109" s="9"/>
      <c r="O109" s="7"/>
      <c r="P109" s="11" t="s">
        <v>8</v>
      </c>
      <c r="Q109" s="10">
        <f>Q105-Q108*Q103</f>
        <v>-1</v>
      </c>
      <c r="R109" s="10" t="e">
        <f>Q110*0</f>
        <v>#N/A</v>
      </c>
      <c r="S109" s="9"/>
      <c r="U109" s="7"/>
      <c r="V109" s="11" t="s">
        <v>8</v>
      </c>
      <c r="W109" s="10">
        <f>W105-W108*W103</f>
        <v>-1</v>
      </c>
      <c r="X109" s="23" t="e">
        <f>W110*X111*W107*(X113+X114)/(X114*(X111+X112))</f>
        <v>#N/A</v>
      </c>
      <c r="Y109" s="9"/>
    </row>
    <row r="110" spans="9:25" x14ac:dyDescent="0.25">
      <c r="I110" s="7"/>
      <c r="J110" s="8" t="s">
        <v>20</v>
      </c>
      <c r="K110" s="12" t="e">
        <f>IF(AND(K108&lt;=-1,K109&lt;0),1,NA())</f>
        <v>#N/A</v>
      </c>
      <c r="L110" s="12"/>
      <c r="M110" s="9"/>
      <c r="O110" s="7"/>
      <c r="P110" s="8" t="s">
        <v>20</v>
      </c>
      <c r="Q110" s="12" t="e">
        <f>IF(AND(Q108&lt;=-1,Q109=0),1,NA())</f>
        <v>#N/A</v>
      </c>
      <c r="R110" s="12"/>
      <c r="S110" s="9"/>
      <c r="U110" s="7"/>
      <c r="V110" s="8" t="s">
        <v>20</v>
      </c>
      <c r="W110" s="12" t="e">
        <f>IF(AND(W108&lt;=-1,W109&gt;0),1,NA())</f>
        <v>#N/A</v>
      </c>
      <c r="X110" s="12"/>
      <c r="Y110" s="9"/>
    </row>
    <row r="111" spans="9:25" x14ac:dyDescent="0.25">
      <c r="I111" s="7"/>
      <c r="J111" s="8" t="s">
        <v>9</v>
      </c>
      <c r="K111" s="14">
        <v>33000</v>
      </c>
      <c r="L111" s="16">
        <f>K111</f>
        <v>33000</v>
      </c>
      <c r="M111" s="9"/>
      <c r="O111" s="7"/>
      <c r="P111" s="8" t="s">
        <v>9</v>
      </c>
      <c r="Q111" s="14">
        <v>33000</v>
      </c>
      <c r="R111" s="16">
        <f>Q111</f>
        <v>33000</v>
      </c>
      <c r="S111" s="9"/>
      <c r="U111" s="7"/>
      <c r="V111" s="8" t="s">
        <v>12</v>
      </c>
      <c r="W111" s="13" t="e">
        <f>W110*W109*W112*W114/(W107*(W113+W114)-W109*W114)</f>
        <v>#N/A</v>
      </c>
      <c r="X111" s="27" t="e">
        <f>W111</f>
        <v>#N/A</v>
      </c>
      <c r="Y111" s="9"/>
    </row>
    <row r="112" spans="9:25" x14ac:dyDescent="0.25">
      <c r="I112" s="7"/>
      <c r="J112" s="8" t="s">
        <v>15</v>
      </c>
      <c r="K112" s="24" t="e">
        <f>K110*K111/ABS(K108)</f>
        <v>#N/A</v>
      </c>
      <c r="L112" s="27">
        <v>15000</v>
      </c>
      <c r="M112" s="9"/>
      <c r="O112" s="7"/>
      <c r="P112" s="8" t="s">
        <v>10</v>
      </c>
      <c r="Q112" s="24" t="e">
        <f>Q110*Q111/ABS(Q108)</f>
        <v>#N/A</v>
      </c>
      <c r="R112" s="27">
        <v>15000</v>
      </c>
      <c r="S112" s="9"/>
      <c r="U112" s="7"/>
      <c r="V112" s="8" t="s">
        <v>11</v>
      </c>
      <c r="W112" s="14">
        <v>47000</v>
      </c>
      <c r="X112" s="16">
        <f>W112</f>
        <v>47000</v>
      </c>
      <c r="Y112" s="9"/>
    </row>
    <row r="113" spans="9:25" x14ac:dyDescent="0.25">
      <c r="I113" s="7"/>
      <c r="J113" s="8" t="s">
        <v>14</v>
      </c>
      <c r="K113" s="24" t="e">
        <f>K110*K107*K111/ABS(K109)</f>
        <v>#N/A</v>
      </c>
      <c r="L113" s="27" t="e">
        <f>K113</f>
        <v>#N/A</v>
      </c>
      <c r="M113" s="9"/>
      <c r="O113" s="7"/>
      <c r="P113" s="8"/>
      <c r="Q113" s="24"/>
      <c r="R113" s="27"/>
      <c r="S113" s="9"/>
      <c r="U113" s="7"/>
      <c r="V113" s="8" t="s">
        <v>9</v>
      </c>
      <c r="W113" s="14">
        <v>22000</v>
      </c>
      <c r="X113" s="16">
        <f>W113</f>
        <v>22000</v>
      </c>
      <c r="Y113" s="9"/>
    </row>
    <row r="114" spans="9:25" x14ac:dyDescent="0.25">
      <c r="I114" s="7"/>
      <c r="J114" s="8"/>
      <c r="K114" s="12"/>
      <c r="L114" s="12"/>
      <c r="M114" s="9"/>
      <c r="O114" s="7"/>
      <c r="P114" s="8"/>
      <c r="Q114" s="12"/>
      <c r="R114" s="12"/>
      <c r="S114" s="9"/>
      <c r="U114" s="7"/>
      <c r="V114" s="8" t="s">
        <v>10</v>
      </c>
      <c r="W114" s="16" t="e">
        <f>W110*W113/ABS(W108)</f>
        <v>#N/A</v>
      </c>
      <c r="X114" s="27" t="e">
        <f>W114</f>
        <v>#N/A</v>
      </c>
      <c r="Y114" s="9"/>
    </row>
    <row r="115" spans="9:25" x14ac:dyDescent="0.25">
      <c r="I115" s="7"/>
      <c r="J115" s="8"/>
      <c r="K115" s="8"/>
      <c r="L115" s="8"/>
      <c r="M115" s="9"/>
      <c r="O115" s="7"/>
      <c r="P115" s="8"/>
      <c r="Q115" s="8"/>
      <c r="R115" s="8"/>
      <c r="S115" s="9"/>
      <c r="U115" s="7"/>
      <c r="V115" s="8"/>
      <c r="W115" s="12"/>
      <c r="X115" s="8"/>
      <c r="Y115" s="9"/>
    </row>
    <row r="116" spans="9:25" x14ac:dyDescent="0.25">
      <c r="I116" s="7"/>
      <c r="J116" s="8"/>
      <c r="K116" s="8"/>
      <c r="L116" s="8"/>
      <c r="M116" s="9"/>
      <c r="O116" s="7"/>
      <c r="P116" s="8"/>
      <c r="Q116" s="8"/>
      <c r="R116" s="8"/>
      <c r="S116" s="9"/>
      <c r="U116" s="7"/>
      <c r="V116" s="8"/>
      <c r="W116" s="12"/>
      <c r="X116" s="8"/>
      <c r="Y116" s="9"/>
    </row>
    <row r="117" spans="9:25" x14ac:dyDescent="0.25">
      <c r="I117" s="17"/>
      <c r="J117" s="5"/>
      <c r="K117" s="5"/>
      <c r="L117" s="5"/>
      <c r="M117" s="18"/>
      <c r="O117" s="17"/>
      <c r="P117" s="5"/>
      <c r="Q117" s="6"/>
      <c r="R117" s="5"/>
      <c r="S117" s="18"/>
      <c r="U117" s="17"/>
      <c r="V117" s="5"/>
      <c r="W117" s="6"/>
      <c r="X117" s="5"/>
      <c r="Y117" s="18"/>
    </row>
  </sheetData>
  <mergeCells count="14">
    <mergeCell ref="AA3:AE3"/>
    <mergeCell ref="I90:M90"/>
    <mergeCell ref="B3:G3"/>
    <mergeCell ref="U90:Y90"/>
    <mergeCell ref="O90:S90"/>
    <mergeCell ref="U61:Y61"/>
    <mergeCell ref="O61:S61"/>
    <mergeCell ref="U3:Y3"/>
    <mergeCell ref="I61:M61"/>
    <mergeCell ref="U32:Y32"/>
    <mergeCell ref="O32:S32"/>
    <mergeCell ref="I32:M32"/>
    <mergeCell ref="O3:S3"/>
    <mergeCell ref="I3:M3"/>
  </mergeCells>
  <conditionalFormatting sqref="J16:L29">
    <cfRule type="expression" dxfId="13" priority="35">
      <formula>mpbn=1</formula>
    </cfRule>
  </conditionalFormatting>
  <conditionalFormatting sqref="V16:X29">
    <cfRule type="expression" dxfId="12" priority="34">
      <formula>mpbp=1</formula>
    </cfRule>
  </conditionalFormatting>
  <conditionalFormatting sqref="P28:R29 P16:R25">
    <cfRule type="expression" dxfId="11" priority="30">
      <formula>mpbz=1</formula>
    </cfRule>
  </conditionalFormatting>
  <conditionalFormatting sqref="V103:X116">
    <cfRule type="expression" dxfId="10" priority="29">
      <formula>mnbp=1</formula>
    </cfRule>
  </conditionalFormatting>
  <conditionalFormatting sqref="AB16:AD29">
    <cfRule type="expression" dxfId="9" priority="28">
      <formula>mpbne=1</formula>
    </cfRule>
  </conditionalFormatting>
  <conditionalFormatting sqref="J103:L116">
    <cfRule type="expression" dxfId="8" priority="36">
      <formula>mnbn=1</formula>
    </cfRule>
  </conditionalFormatting>
  <conditionalFormatting sqref="P103:R116">
    <cfRule type="expression" dxfId="7" priority="25">
      <formula>mnbz=1</formula>
    </cfRule>
  </conditionalFormatting>
  <conditionalFormatting sqref="P26:R27">
    <cfRule type="expression" dxfId="6" priority="24">
      <formula>mpbz=1</formula>
    </cfRule>
  </conditionalFormatting>
  <conditionalFormatting sqref="J74:L87">
    <cfRule type="expression" dxfId="5" priority="20">
      <formula>anbn=1</formula>
    </cfRule>
  </conditionalFormatting>
  <conditionalFormatting sqref="V74:X87">
    <cfRule type="expression" dxfId="4" priority="12">
      <formula>anbp=1</formula>
    </cfRule>
  </conditionalFormatting>
  <conditionalFormatting sqref="P74:R87">
    <cfRule type="expression" dxfId="3" priority="8">
      <formula>anbz=1</formula>
    </cfRule>
  </conditionalFormatting>
  <conditionalFormatting sqref="P45:R58">
    <cfRule type="expression" dxfId="2" priority="6">
      <formula>apbz=1</formula>
    </cfRule>
  </conditionalFormatting>
  <conditionalFormatting sqref="V45:X58">
    <cfRule type="expression" dxfId="1" priority="3">
      <formula>apbp=1</formula>
    </cfRule>
  </conditionalFormatting>
  <conditionalFormatting sqref="J45:L58">
    <cfRule type="expression" dxfId="0" priority="1">
      <formula>apbn=1</formula>
    </cfRule>
  </conditionalFormatting>
  <dataValidations count="1">
    <dataValidation type="list" allowBlank="1" showInputMessage="1" showErrorMessage="1" sqref="C11" xr:uid="{2FDBDC6C-E86F-458F-B9F2-A7D36482A9A8}">
      <formula1>$B$34:$B$45</formula1>
    </dataValidation>
  </dataValidations>
  <hyperlinks>
    <hyperlink ref="C23" r:id="rId1" xr:uid="{1FEA2F9C-EB2A-43A6-8C93-9F240A121C71}"/>
    <hyperlink ref="C24" r:id="rId2" xr:uid="{001073D1-ED44-418C-9FB3-568CF78EC093}"/>
  </hyperlinks>
  <pageMargins left="0.7" right="0.7" top="0.75" bottom="0.75" header="0.3" footer="0.3"/>
  <pageSetup orientation="portrait" horizontalDpi="4294967293" verticalDpi="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OpAmp</vt:lpstr>
      <vt:lpstr>anbn</vt:lpstr>
      <vt:lpstr>anbp</vt:lpstr>
      <vt:lpstr>anbz</vt:lpstr>
      <vt:lpstr>apbn</vt:lpstr>
      <vt:lpstr>apbp</vt:lpstr>
      <vt:lpstr>apbz</vt:lpstr>
      <vt:lpstr>b</vt:lpstr>
      <vt:lpstr>eqn</vt:lpstr>
      <vt:lpstr>examples</vt:lpstr>
      <vt:lpstr>m</vt:lpstr>
      <vt:lpstr>mnbn</vt:lpstr>
      <vt:lpstr>mnbp</vt:lpstr>
      <vt:lpstr>mnbz</vt:lpstr>
      <vt:lpstr>mpbn</vt:lpstr>
      <vt:lpstr>mpbne</vt:lpstr>
      <vt:lpstr>mpbp</vt:lpstr>
      <vt:lpstr>mpbz</vt:lpstr>
      <vt:lpstr>Vinfs</vt:lpstr>
      <vt:lpstr>Vinzs</vt:lpstr>
      <vt:lpstr>Voutfs</vt:lpstr>
      <vt:lpstr>Voutzs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2018-01-07T11:05:02Z</dcterms:created>
  <dcterms:modified xsi:type="dcterms:W3CDTF">2018-06-09T11:44:39Z</dcterms:modified>
</cp:coreProperties>
</file>