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za danych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l.p</t>
        </is>
      </c>
      <c r="B1" s="1" t="inlineStr">
        <is>
          <t>Data dodania</t>
        </is>
      </c>
      <c r="C1" s="1" t="inlineStr">
        <is>
          <t>Data wygaśnięcia</t>
        </is>
      </c>
      <c r="D1" s="1" t="inlineStr">
        <is>
          <t>Link</t>
        </is>
      </c>
      <c r="E1" s="1" t="inlineStr">
        <is>
          <t>Link2</t>
        </is>
      </c>
      <c r="F1" s="1" t="inlineStr">
        <is>
          <t>Adres</t>
        </is>
      </c>
      <c r="G1" s="1" t="inlineStr">
        <is>
          <t>Dzielnica</t>
        </is>
      </c>
      <c r="H1" s="1" t="inlineStr">
        <is>
          <t>podzielnica</t>
        </is>
      </c>
      <c r="I1" s="1" t="inlineStr">
        <is>
          <t>Sprzedane?</t>
        </is>
      </c>
      <c r="J1" s="1" t="inlineStr">
        <is>
          <t>Pośrednik?</t>
        </is>
      </c>
      <c r="K1" s="1" t="inlineStr">
        <is>
          <t>Telefon</t>
        </is>
      </c>
      <c r="L1" s="1" t="inlineStr">
        <is>
          <t>Cena</t>
        </is>
      </c>
      <c r="M1" s="1" t="inlineStr">
        <is>
          <t>Cena/m2</t>
        </is>
      </c>
      <c r="N1" s="1" t="inlineStr">
        <is>
          <t>m2</t>
        </is>
      </c>
      <c r="O1" s="1" t="inlineStr">
        <is>
          <t>Pokoje</t>
        </is>
      </c>
      <c r="P1" s="1" t="inlineStr">
        <is>
          <t>Piętro</t>
        </is>
      </c>
      <c r="Q1" s="1" t="inlineStr">
        <is>
          <t>Rodzaj mieszkania</t>
        </is>
      </c>
      <c r="R1" s="1" t="inlineStr">
        <is>
          <t>Notatka</t>
        </is>
      </c>
      <c r="S1" s="1" t="inlineStr">
        <is>
          <t>Tabela dzwonienie</t>
        </is>
      </c>
      <c r="T1" s="1" t="inlineStr">
        <is>
          <t>Duplicate</t>
        </is>
      </c>
    </row>
    <row r="2">
      <c r="A2" t="n">
        <v>1</v>
      </c>
      <c r="B2" s="3" t="n">
        <v>45383</v>
      </c>
      <c r="E2">
        <f>HYPERLINK("nan", "nan")</f>
        <v/>
      </c>
      <c r="F2" t="inlineStr">
        <is>
          <t xml:space="preserve"> UI. Michała Bałuckiego</t>
        </is>
      </c>
      <c r="G2" t="inlineStr">
        <is>
          <t>Dąbrowa</t>
        </is>
      </c>
      <c r="H2" t="inlineStr">
        <is>
          <t>Dąbrowa</t>
        </is>
      </c>
      <c r="I2" t="inlineStr">
        <is>
          <t>NIE</t>
        </is>
      </c>
      <c r="J2" t="inlineStr">
        <is>
          <t>NIE</t>
        </is>
      </c>
      <c r="L2" t="n">
        <v>250000</v>
      </c>
      <c r="M2" t="n">
        <v>6345.17766497462</v>
      </c>
      <c r="N2" t="n">
        <v>39.4</v>
      </c>
      <c r="O2" t="inlineStr">
        <is>
          <t>2+k</t>
        </is>
      </c>
      <c r="P2" t="n">
        <v>2</v>
      </c>
      <c r="Q2" t="inlineStr">
        <is>
          <t>Nie da się zamieszkać</t>
        </is>
      </c>
      <c r="R2" t="inlineStr">
        <is>
          <t>dziala hehehehe</t>
        </is>
      </c>
    </row>
    <row r="3">
      <c r="A3" t="n">
        <v>2</v>
      </c>
      <c r="B3" s="3" t="n">
        <v>45383</v>
      </c>
      <c r="C3" s="3" t="n">
        <v>45414</v>
      </c>
      <c r="E3">
        <f>HYPERLINK("nan", "nan")</f>
        <v/>
      </c>
      <c r="F3" t="inlineStr">
        <is>
          <t>Rondo Lotników</t>
        </is>
      </c>
      <c r="G3" t="inlineStr">
        <is>
          <t>Górna</t>
        </is>
      </c>
      <c r="H3" t="inlineStr">
        <is>
          <t>Górna</t>
        </is>
      </c>
      <c r="I3" t="inlineStr">
        <is>
          <t>TAK</t>
        </is>
      </c>
      <c r="J3" t="inlineStr">
        <is>
          <t>TAK</t>
        </is>
      </c>
      <c r="K3" t="n">
        <v>511000217</v>
      </c>
      <c r="L3" t="n">
        <v>360000</v>
      </c>
      <c r="M3" t="n">
        <v>7500</v>
      </c>
      <c r="N3" t="n">
        <v>48</v>
      </c>
      <c r="O3" t="inlineStr">
        <is>
          <t>2+k</t>
        </is>
      </c>
      <c r="P3" t="n">
        <v>5</v>
      </c>
      <c r="Q3" t="inlineStr">
        <is>
          <t>Nie da się zamieszkać</t>
        </is>
      </c>
      <c r="R3" t="inlineStr">
        <is>
          <t>Pani nie pamięta kiedy sprzedane</t>
        </is>
      </c>
    </row>
    <row r="4">
      <c r="A4" t="n">
        <v>3</v>
      </c>
      <c r="B4" s="3" t="n">
        <v>45383</v>
      </c>
      <c r="C4" s="3" t="n">
        <v>45414</v>
      </c>
      <c r="E4">
        <f>HYPERLINK("nan", "nan")</f>
        <v/>
      </c>
      <c r="F4" t="inlineStr">
        <is>
          <t>Zbaraska</t>
        </is>
      </c>
      <c r="G4" t="inlineStr">
        <is>
          <t>Dąbrowa</t>
        </is>
      </c>
      <c r="H4" t="inlineStr">
        <is>
          <t>Dąbrowa</t>
        </is>
      </c>
      <c r="I4" t="inlineStr">
        <is>
          <t>TAK</t>
        </is>
      </c>
      <c r="J4" t="inlineStr">
        <is>
          <t>NIE</t>
        </is>
      </c>
      <c r="K4" t="n">
        <v>501613612</v>
      </c>
      <c r="L4" t="n">
        <v>205000</v>
      </c>
      <c r="M4" t="n">
        <v>7192.982456140351</v>
      </c>
      <c r="N4" t="n">
        <v>28.5</v>
      </c>
      <c r="O4" t="inlineStr">
        <is>
          <t>1+k</t>
        </is>
      </c>
      <c r="P4" t="n">
        <v>2</v>
      </c>
      <c r="Q4" t="inlineStr">
        <is>
          <t>Da się zamieszkać</t>
        </is>
      </c>
    </row>
    <row r="5">
      <c r="A5" t="n">
        <v>4</v>
      </c>
      <c r="B5" s="3" t="n">
        <v>45383</v>
      </c>
      <c r="C5" s="3" t="n">
        <v>45414</v>
      </c>
      <c r="E5">
        <f>HYPERLINK("nan", "nan")</f>
        <v/>
      </c>
      <c r="F5" t="inlineStr">
        <is>
          <t>blisko dworca łódź żabieniec</t>
        </is>
      </c>
      <c r="G5" t="inlineStr">
        <is>
          <t>Teofilów</t>
        </is>
      </c>
      <c r="H5" t="inlineStr">
        <is>
          <t>Teofilów</t>
        </is>
      </c>
      <c r="I5" t="inlineStr">
        <is>
          <t>TAK</t>
        </is>
      </c>
      <c r="J5" t="inlineStr">
        <is>
          <t>TAK</t>
        </is>
      </c>
      <c r="K5" t="n">
        <v>527418750</v>
      </c>
      <c r="L5" t="n">
        <v>305000</v>
      </c>
      <c r="M5" t="n">
        <v>6823.266219239373</v>
      </c>
      <c r="N5" t="n">
        <v>44.7</v>
      </c>
      <c r="O5" t="inlineStr">
        <is>
          <t>2+k</t>
        </is>
      </c>
      <c r="P5" t="n">
        <v>0</v>
      </c>
      <c r="Q5" t="inlineStr">
        <is>
          <t>Nie da się zamieszkać</t>
        </is>
      </c>
    </row>
    <row r="6">
      <c r="A6" t="n">
        <v>5</v>
      </c>
      <c r="B6" s="3" t="n">
        <v>45383</v>
      </c>
      <c r="C6" s="3" t="n">
        <v>45414</v>
      </c>
      <c r="E6">
        <f>HYPERLINK("nan", "nan")</f>
        <v/>
      </c>
      <c r="F6" t="inlineStr">
        <is>
          <t>tadeusza mostowskiego</t>
        </is>
      </c>
      <c r="G6" t="inlineStr">
        <is>
          <t>Bałuty</t>
        </is>
      </c>
      <c r="H6" t="inlineStr">
        <is>
          <t>Bałuty blisko centrum</t>
        </is>
      </c>
      <c r="I6" t="inlineStr">
        <is>
          <t>TAK</t>
        </is>
      </c>
      <c r="J6" t="inlineStr">
        <is>
          <t>TAK</t>
        </is>
      </c>
      <c r="K6" t="n">
        <v>500844149</v>
      </c>
      <c r="L6" t="n">
        <v>310000</v>
      </c>
      <c r="M6" t="n">
        <v>7165.973185390661</v>
      </c>
      <c r="N6" t="n">
        <v>43.26</v>
      </c>
      <c r="O6" t="inlineStr">
        <is>
          <t>2+k</t>
        </is>
      </c>
      <c r="P6" t="n">
        <v>3</v>
      </c>
      <c r="Q6" t="inlineStr">
        <is>
          <t>Nie da się zamieszkać</t>
        </is>
      </c>
    </row>
    <row r="7">
      <c r="A7" t="n">
        <v>6</v>
      </c>
      <c r="B7" s="3" t="n">
        <v>45383</v>
      </c>
      <c r="C7" s="3" t="n">
        <v>45414</v>
      </c>
      <c r="E7">
        <f>HYPERLINK("nan", "nan")</f>
        <v/>
      </c>
      <c r="F7" t="inlineStr">
        <is>
          <t>Antoniego Mackiewicza</t>
        </is>
      </c>
      <c r="G7" t="inlineStr">
        <is>
          <t>Bałuty</t>
        </is>
      </c>
      <c r="H7" t="inlineStr">
        <is>
          <t>Bałuty</t>
        </is>
      </c>
      <c r="I7" t="inlineStr">
        <is>
          <t>TAK</t>
        </is>
      </c>
      <c r="J7" t="inlineStr">
        <is>
          <t>TAK</t>
        </is>
      </c>
      <c r="K7" t="n">
        <v>698658988</v>
      </c>
      <c r="L7" t="n">
        <v>295000</v>
      </c>
      <c r="M7" t="n">
        <v>6555.555555555556</v>
      </c>
      <c r="N7" t="n">
        <v>45</v>
      </c>
      <c r="O7" t="inlineStr">
        <is>
          <t>2+k</t>
        </is>
      </c>
      <c r="Q7" t="inlineStr">
        <is>
          <t>Da się zamieszkać</t>
        </is>
      </c>
      <c r="R7" t="inlineStr">
        <is>
          <t xml:space="preserve">sprzedane za 290000 kontakt 08.07 </t>
        </is>
      </c>
    </row>
    <row r="8">
      <c r="A8" t="n">
        <v>7</v>
      </c>
      <c r="B8" s="3" t="n">
        <v>45383</v>
      </c>
      <c r="C8" s="3" t="n">
        <v>45467</v>
      </c>
      <c r="D8" t="inlineStr">
        <is>
          <t>https://www.olx.pl/d/oferta/mieszkanie-na-sprzedaz-CID3-ID10iWIZ.html</t>
        </is>
      </c>
      <c r="E8">
        <f>HYPERLINK("https://www.olx.pl/d/oferta/mieszkanie-na-sprzedaz-CID3-ID10iWIZ.html", "https://www.olx.pl/d/oferta/mieszkanie-na-sprzedaz-CID3-ID10iWIZ.html")</f>
        <v/>
      </c>
      <c r="F8" t="inlineStr">
        <is>
          <t>Aleksandrowska</t>
        </is>
      </c>
      <c r="G8" t="inlineStr">
        <is>
          <t>Teofilów</t>
        </is>
      </c>
      <c r="H8" t="inlineStr">
        <is>
          <t>Teofilów</t>
        </is>
      </c>
      <c r="I8" t="inlineStr">
        <is>
          <t>TAK</t>
        </is>
      </c>
      <c r="J8" t="inlineStr">
        <is>
          <t>TAK</t>
        </is>
      </c>
      <c r="K8" t="n">
        <v>500025041</v>
      </c>
      <c r="L8" t="n">
        <v>315000</v>
      </c>
      <c r="M8" t="n">
        <v>6923.076923076923</v>
      </c>
      <c r="N8" t="n">
        <v>45.5</v>
      </c>
      <c r="O8" t="inlineStr">
        <is>
          <t>2+k</t>
        </is>
      </c>
      <c r="P8" t="n">
        <v>0</v>
      </c>
      <c r="Q8" t="inlineStr">
        <is>
          <t>Nie da się zamieszkać</t>
        </is>
      </c>
    </row>
    <row r="9">
      <c r="A9" t="n">
        <v>8</v>
      </c>
      <c r="B9" s="3" t="n">
        <v>45383</v>
      </c>
      <c r="C9" s="3" t="n">
        <v>45414</v>
      </c>
      <c r="E9">
        <f>HYPERLINK("nan", "nan")</f>
        <v/>
      </c>
      <c r="F9" t="inlineStr">
        <is>
          <t>Rojna</t>
        </is>
      </c>
      <c r="G9" t="inlineStr">
        <is>
          <t>Teofilów</t>
        </is>
      </c>
      <c r="H9" t="inlineStr">
        <is>
          <t>Teofilów</t>
        </is>
      </c>
      <c r="I9" t="inlineStr">
        <is>
          <t>TAK</t>
        </is>
      </c>
      <c r="J9" t="inlineStr">
        <is>
          <t>TAK</t>
        </is>
      </c>
      <c r="K9" t="n">
        <v>883334773</v>
      </c>
      <c r="L9" t="n">
        <v>275000</v>
      </c>
      <c r="M9" t="n">
        <v>7432.432432432433</v>
      </c>
      <c r="N9" t="n">
        <v>37</v>
      </c>
      <c r="O9" t="inlineStr">
        <is>
          <t>2+k</t>
        </is>
      </c>
      <c r="P9" t="n">
        <v>1</v>
      </c>
      <c r="Q9" t="inlineStr">
        <is>
          <t>Nie da się zamieszkać</t>
        </is>
      </c>
    </row>
    <row r="10">
      <c r="A10" t="n">
        <v>9</v>
      </c>
      <c r="B10" s="3" t="n">
        <v>45384</v>
      </c>
      <c r="C10" s="3" t="n">
        <v>45467</v>
      </c>
      <c r="D10" t="inlineStr">
        <is>
          <t>https://www.olx.pl/d/oferta/2-pokojowe-mieszkanie-do-remontu-CID3-IDZVYi5.html</t>
        </is>
      </c>
      <c r="E10">
        <f>HYPERLINK("https://www.olx.pl/d/oferta/2-pokojowe-mieszkanie-do-remontu-CID3-IDZVYi5.html", "https://www.olx.pl/d/oferta/2-pokojowe-mieszkanie-do-remontu-CID3-IDZVYi5.html")</f>
        <v/>
      </c>
      <c r="F10" t="inlineStr">
        <is>
          <t>śląska</t>
        </is>
      </c>
      <c r="G10" t="inlineStr">
        <is>
          <t>Górna</t>
        </is>
      </c>
      <c r="H10" t="inlineStr">
        <is>
          <t>Daleka górna</t>
        </is>
      </c>
      <c r="I10" t="inlineStr">
        <is>
          <t>TAK</t>
        </is>
      </c>
      <c r="J10" t="inlineStr">
        <is>
          <t>TAK</t>
        </is>
      </c>
      <c r="K10" t="n">
        <v>695738465</v>
      </c>
      <c r="L10" t="n">
        <v>335000</v>
      </c>
      <c r="M10" t="n">
        <v>7380.480282000441</v>
      </c>
      <c r="N10" t="n">
        <v>45.39</v>
      </c>
      <c r="O10" t="inlineStr">
        <is>
          <t>2+k</t>
        </is>
      </c>
      <c r="P10" t="n">
        <v>3</v>
      </c>
      <c r="Q10" t="inlineStr">
        <is>
          <t>Nie da się zamieszkać</t>
        </is>
      </c>
      <c r="R10" t="inlineStr">
        <is>
          <t>nie sprzedaje się, zeszli z ceny do 320k</t>
        </is>
      </c>
    </row>
    <row r="11">
      <c r="A11" t="n">
        <v>10</v>
      </c>
      <c r="B11" s="3" t="n">
        <v>45384</v>
      </c>
      <c r="C11" s="3" t="n">
        <v>45414</v>
      </c>
      <c r="E11">
        <f>HYPERLINK("nan", "nan")</f>
        <v/>
      </c>
      <c r="F11" t="inlineStr">
        <is>
          <t>tęczowa</t>
        </is>
      </c>
      <c r="G11" t="inlineStr">
        <is>
          <t>Bałuty</t>
        </is>
      </c>
      <c r="H11" t="inlineStr">
        <is>
          <t>Bałuty</t>
        </is>
      </c>
      <c r="I11" t="inlineStr">
        <is>
          <t>TAK</t>
        </is>
      </c>
      <c r="J11" t="inlineStr">
        <is>
          <t>TAK</t>
        </is>
      </c>
      <c r="K11" t="n">
        <v>881229067</v>
      </c>
      <c r="L11" t="n">
        <v>329000</v>
      </c>
      <c r="M11" t="n">
        <v>6854.166666666667</v>
      </c>
      <c r="N11" t="n">
        <v>48</v>
      </c>
      <c r="O11" t="inlineStr">
        <is>
          <t>3+k</t>
        </is>
      </c>
      <c r="P11" t="n">
        <v>9</v>
      </c>
      <c r="Q11" t="inlineStr">
        <is>
          <t>Da się zamieszkać</t>
        </is>
      </c>
    </row>
    <row r="12">
      <c r="A12" t="n">
        <v>11</v>
      </c>
      <c r="B12" s="3" t="n">
        <v>45384</v>
      </c>
      <c r="C12" s="3" t="n">
        <v>45414</v>
      </c>
      <c r="E12">
        <f>HYPERLINK("nan", "nan")</f>
        <v/>
      </c>
      <c r="F12" t="inlineStr">
        <is>
          <t>Kaszyńskiego</t>
        </is>
      </c>
      <c r="G12" t="inlineStr">
        <is>
          <t>Dąbrowa</t>
        </is>
      </c>
      <c r="H12" t="inlineStr">
        <is>
          <t>Dąbrowa</t>
        </is>
      </c>
      <c r="I12" t="inlineStr">
        <is>
          <t>TAK</t>
        </is>
      </c>
      <c r="J12" t="inlineStr">
        <is>
          <t>TAK</t>
        </is>
      </c>
      <c r="K12" t="n">
        <v>725111011</v>
      </c>
      <c r="L12" t="n">
        <v>229000</v>
      </c>
      <c r="M12" t="n">
        <v>5871.794871794872</v>
      </c>
      <c r="N12" t="n">
        <v>39</v>
      </c>
      <c r="O12" t="inlineStr">
        <is>
          <t>2+k</t>
        </is>
      </c>
      <c r="Q12" t="inlineStr">
        <is>
          <t>Nie da się zamieszkać</t>
        </is>
      </c>
    </row>
    <row r="13">
      <c r="A13" t="n">
        <v>12</v>
      </c>
      <c r="B13" s="3" t="n">
        <v>45384</v>
      </c>
      <c r="C13" s="3" t="n">
        <v>45532</v>
      </c>
      <c r="D13" t="inlineStr">
        <is>
          <t>https://www.olx.pl/d/oferta/m-3-koziny-z-balkonem-bezposrednio-CID3-IDZNbEo.html?isPreviewActive=0&amp;sliderIndex=7</t>
        </is>
      </c>
      <c r="E13">
        <f>HYPERLINK("https://www.olx.pl/d/oferta/m-3-koziny-z-balkonem-bezposrednio-CID3-IDZNbEo.html?isPreviewActive=0&amp;sliderIndex=7", "https://www.olx.pl/d/oferta/m-3-koziny-z-balkonem-bezposrednio-CID3-IDZNbEo.html?isPreviewActive=0&amp;sliderIndex=7")</f>
        <v/>
      </c>
      <c r="F13" t="inlineStr">
        <is>
          <t>Waryńskiego</t>
        </is>
      </c>
      <c r="G13" t="inlineStr">
        <is>
          <t>Polesie</t>
        </is>
      </c>
      <c r="H13" t="inlineStr">
        <is>
          <t>Polesie</t>
        </is>
      </c>
      <c r="I13" t="inlineStr">
        <is>
          <t>TAK</t>
        </is>
      </c>
      <c r="J13" t="inlineStr">
        <is>
          <t>NIE</t>
        </is>
      </c>
      <c r="K13" t="n">
        <v>660780313</v>
      </c>
      <c r="L13" t="n">
        <v>255000</v>
      </c>
      <c r="M13" t="n">
        <v>6860.371267150927</v>
      </c>
      <c r="N13" t="n">
        <v>37.17</v>
      </c>
      <c r="O13" t="inlineStr">
        <is>
          <t>2+k</t>
        </is>
      </c>
      <c r="P13" t="n">
        <v>3</v>
      </c>
      <c r="Q13" t="inlineStr">
        <is>
          <t>Puste posprzątane</t>
        </is>
      </c>
      <c r="R13" t="inlineStr">
        <is>
          <t>25.06 było 265</t>
        </is>
      </c>
    </row>
    <row r="14">
      <c r="A14" t="n">
        <v>13</v>
      </c>
      <c r="B14" s="3" t="n">
        <v>45384</v>
      </c>
      <c r="C14" s="3" t="n">
        <v>45414</v>
      </c>
      <c r="E14">
        <f>HYPERLINK("nan", "nan")</f>
        <v/>
      </c>
      <c r="F14" t="inlineStr">
        <is>
          <t>socjalna</t>
        </is>
      </c>
      <c r="G14" t="inlineStr">
        <is>
          <t>Górna</t>
        </is>
      </c>
      <c r="H14" t="inlineStr">
        <is>
          <t>Daleka górna</t>
        </is>
      </c>
      <c r="I14" t="inlineStr">
        <is>
          <t>TAK</t>
        </is>
      </c>
      <c r="J14" t="inlineStr">
        <is>
          <t>TAK</t>
        </is>
      </c>
      <c r="K14" t="n">
        <v>501078049</v>
      </c>
      <c r="L14" t="n">
        <v>360000</v>
      </c>
      <c r="M14" t="n">
        <v>7200</v>
      </c>
      <c r="N14" t="n">
        <v>50</v>
      </c>
      <c r="O14" t="inlineStr">
        <is>
          <t>2+k</t>
        </is>
      </c>
      <c r="P14" t="n">
        <v>3</v>
      </c>
      <c r="Q14" t="inlineStr">
        <is>
          <t>Puste</t>
        </is>
      </c>
    </row>
    <row r="15">
      <c r="A15" t="n">
        <v>14</v>
      </c>
      <c r="B15" s="3" t="n">
        <v>45384</v>
      </c>
      <c r="C15" s="3" t="n">
        <v>45522</v>
      </c>
      <c r="D15" t="inlineStr">
        <is>
          <t>https://nieruchomosci.gratka.pl/nieruchomosci/mieszkanie-lodz-gorna-leopolda-staffa/ob/35283497</t>
        </is>
      </c>
      <c r="E15">
        <f>HYPERLINK("https://nieruchomosci.gratka.pl/nieruchomosci/mieszkanie-lodz-gorna-leopolda-staffa/ob/35283497", "https://nieruchomosci.gratka.pl/nieruchomosci/mieszkanie-lodz-gorna-leopolda-staffa/ob/35283497")</f>
        <v/>
      </c>
      <c r="F15" t="inlineStr">
        <is>
          <t>staffa</t>
        </is>
      </c>
      <c r="G15" t="inlineStr">
        <is>
          <t>Dąbrowa</t>
        </is>
      </c>
      <c r="H15" t="inlineStr">
        <is>
          <t>Dąbrowa</t>
        </is>
      </c>
      <c r="I15" t="inlineStr">
        <is>
          <t>TAK</t>
        </is>
      </c>
      <c r="J15" t="inlineStr">
        <is>
          <t>TAK</t>
        </is>
      </c>
      <c r="K15" t="n">
        <v>668699393</v>
      </c>
      <c r="L15" t="n">
        <v>220000</v>
      </c>
      <c r="M15" t="n">
        <v>5590.851334180432</v>
      </c>
      <c r="N15" t="n">
        <v>39.35</v>
      </c>
      <c r="O15" t="inlineStr">
        <is>
          <t>2+k</t>
        </is>
      </c>
      <c r="P15" t="n">
        <v>4</v>
      </c>
      <c r="Q15" t="inlineStr">
        <is>
          <t>Nie da się zamieszkać</t>
        </is>
      </c>
      <c r="R15" t="inlineStr">
        <is>
          <t>aktualne,  było 265000</t>
        </is>
      </c>
    </row>
    <row r="16">
      <c r="A16" t="n">
        <v>15</v>
      </c>
      <c r="B16" s="3" t="n">
        <v>45384</v>
      </c>
      <c r="C16" s="3" t="n">
        <v>45414</v>
      </c>
      <c r="E16">
        <f>HYPERLINK("nan", "nan")</f>
        <v/>
      </c>
      <c r="F16" t="inlineStr">
        <is>
          <t>rydzowa</t>
        </is>
      </c>
      <c r="G16" t="inlineStr">
        <is>
          <t>Teofilów</t>
        </is>
      </c>
      <c r="H16" t="inlineStr">
        <is>
          <t>Teofilów</t>
        </is>
      </c>
      <c r="I16" t="inlineStr">
        <is>
          <t>TAK</t>
        </is>
      </c>
      <c r="J16" t="inlineStr">
        <is>
          <t>TAK</t>
        </is>
      </c>
      <c r="K16" t="n">
        <v>798735886</v>
      </c>
      <c r="L16" t="n">
        <v>335000</v>
      </c>
      <c r="M16" t="n">
        <v>7196.56283566058</v>
      </c>
      <c r="N16" t="n">
        <v>46.55</v>
      </c>
      <c r="O16" t="inlineStr">
        <is>
          <t>2+k</t>
        </is>
      </c>
      <c r="P16" t="n">
        <v>9</v>
      </c>
      <c r="Q16" t="inlineStr">
        <is>
          <t>Puste</t>
        </is>
      </c>
    </row>
    <row r="17">
      <c r="A17" t="n">
        <v>16</v>
      </c>
      <c r="B17" s="3" t="n">
        <v>45385</v>
      </c>
      <c r="C17" s="3" t="n">
        <v>45414</v>
      </c>
      <c r="E17">
        <f>HYPERLINK("nan", "nan")</f>
        <v/>
      </c>
      <c r="F17" t="inlineStr">
        <is>
          <t>Lutomierska</t>
        </is>
      </c>
      <c r="G17" t="inlineStr">
        <is>
          <t>Bałuty</t>
        </is>
      </c>
      <c r="H17" t="inlineStr">
        <is>
          <t>Bałuty blisko centrum</t>
        </is>
      </c>
      <c r="I17" t="inlineStr">
        <is>
          <t>TAK</t>
        </is>
      </c>
      <c r="J17" t="inlineStr">
        <is>
          <t>TAK</t>
        </is>
      </c>
      <c r="K17" t="n">
        <v>502181201</v>
      </c>
      <c r="L17" t="n">
        <v>305000</v>
      </c>
      <c r="M17" t="n">
        <v>7061.819865709655</v>
      </c>
      <c r="N17" t="n">
        <v>43.19</v>
      </c>
      <c r="O17" t="inlineStr">
        <is>
          <t>2+k</t>
        </is>
      </c>
      <c r="P17" t="n">
        <v>3</v>
      </c>
      <c r="Q17" t="inlineStr">
        <is>
          <t>Nie da się zamieszkać</t>
        </is>
      </c>
    </row>
    <row r="18">
      <c r="A18" t="n">
        <v>17</v>
      </c>
      <c r="B18" s="3" t="n">
        <v>45385</v>
      </c>
      <c r="C18" s="3" t="n">
        <v>45414</v>
      </c>
      <c r="E18">
        <f>HYPERLINK("nan", "nan")</f>
        <v/>
      </c>
      <c r="G18" t="inlineStr">
        <is>
          <t>Bałuty</t>
        </is>
      </c>
      <c r="H18" t="inlineStr">
        <is>
          <t>Bałuty</t>
        </is>
      </c>
      <c r="I18" t="inlineStr">
        <is>
          <t>TAK</t>
        </is>
      </c>
      <c r="J18" t="inlineStr">
        <is>
          <t>TAK</t>
        </is>
      </c>
      <c r="K18" t="n">
        <v>798448397</v>
      </c>
      <c r="L18" t="n">
        <v>328000</v>
      </c>
      <c r="M18" t="n">
        <v>7028.069423612599</v>
      </c>
      <c r="N18" t="n">
        <v>46.67</v>
      </c>
      <c r="O18" t="inlineStr">
        <is>
          <t>2+k</t>
        </is>
      </c>
      <c r="P18" t="n">
        <v>10</v>
      </c>
      <c r="Q18" t="inlineStr">
        <is>
          <t>Puste posprzątane</t>
        </is>
      </c>
    </row>
    <row r="19">
      <c r="A19" t="n">
        <v>18</v>
      </c>
      <c r="B19" s="3" t="n">
        <v>45385</v>
      </c>
      <c r="C19" s="3" t="n">
        <v>45414</v>
      </c>
      <c r="E19">
        <f>HYPERLINK("nan", "nan")</f>
        <v/>
      </c>
      <c r="F19" t="inlineStr">
        <is>
          <t>Broniewskiego</t>
        </is>
      </c>
      <c r="G19" t="inlineStr">
        <is>
          <t>Górna</t>
        </is>
      </c>
      <c r="H19" t="inlineStr">
        <is>
          <t>Górna</t>
        </is>
      </c>
      <c r="I19" t="inlineStr">
        <is>
          <t>TAK</t>
        </is>
      </c>
      <c r="J19" t="inlineStr">
        <is>
          <t>TAK</t>
        </is>
      </c>
      <c r="K19" t="n">
        <v>729887550</v>
      </c>
      <c r="L19" t="n">
        <v>260000</v>
      </c>
      <c r="M19" t="n">
        <v>7186.290768380321</v>
      </c>
      <c r="N19" t="n">
        <v>36.18</v>
      </c>
      <c r="O19" t="inlineStr">
        <is>
          <t>2+k</t>
        </is>
      </c>
      <c r="P19" t="n">
        <v>2</v>
      </c>
      <c r="Q19" t="inlineStr">
        <is>
          <t>Da się zamieszkać</t>
        </is>
      </c>
    </row>
    <row r="20">
      <c r="A20" t="n">
        <v>19</v>
      </c>
      <c r="B20" s="3" t="n">
        <v>45385</v>
      </c>
      <c r="C20" s="3" t="n">
        <v>45467</v>
      </c>
      <c r="D20" t="inlineStr">
        <is>
          <t>https://www.otodom.pl/pl/oferta/dwustronne-dwupokojowe-na-i-pietrze-ID4qf32.html</t>
        </is>
      </c>
      <c r="E20">
        <f>HYPERLINK("https://www.otodom.pl/pl/oferta/dwustronne-dwupokojowe-na-i-pietrze-ID4qf32.html", "https://www.otodom.pl/pl/oferta/dwustronne-dwupokojowe-na-i-pietrze-ID4qf32.html")</f>
        <v/>
      </c>
      <c r="F20" t="inlineStr">
        <is>
          <t>niciarniana</t>
        </is>
      </c>
      <c r="G20" t="inlineStr">
        <is>
          <t>Widzew</t>
        </is>
      </c>
      <c r="H20" t="inlineStr">
        <is>
          <t>Widzew blisko centrum</t>
        </is>
      </c>
      <c r="I20" t="inlineStr">
        <is>
          <t>TAK</t>
        </is>
      </c>
      <c r="J20" t="inlineStr">
        <is>
          <t>TAK</t>
        </is>
      </c>
      <c r="K20" t="n">
        <v>797992957</v>
      </c>
      <c r="L20" t="n">
        <v>320000</v>
      </c>
      <c r="M20" t="n">
        <v>7085.9167404783</v>
      </c>
      <c r="N20" t="n">
        <v>45.16</v>
      </c>
      <c r="O20" t="inlineStr">
        <is>
          <t>2+k</t>
        </is>
      </c>
      <c r="P20" t="n">
        <v>1</v>
      </c>
      <c r="Q20" t="inlineStr">
        <is>
          <t>Puste posprzątane</t>
        </is>
      </c>
      <c r="R20" t="inlineStr">
        <is>
          <t>nie sprzedaje im się, schodzą z ceny teraz 310k</t>
        </is>
      </c>
    </row>
    <row r="21">
      <c r="A21" t="n">
        <v>20</v>
      </c>
      <c r="B21" s="3" t="n">
        <v>45385</v>
      </c>
      <c r="C21" s="3" t="n">
        <v>45414</v>
      </c>
      <c r="E21">
        <f>HYPERLINK("nan", "nan")</f>
        <v/>
      </c>
      <c r="F21" t="inlineStr">
        <is>
          <t>pietrusińskiego</t>
        </is>
      </c>
      <c r="G21" t="inlineStr">
        <is>
          <t>Polesie</t>
        </is>
      </c>
      <c r="H21" t="inlineStr">
        <is>
          <t>Polesie</t>
        </is>
      </c>
      <c r="I21" t="inlineStr">
        <is>
          <t>TAK</t>
        </is>
      </c>
      <c r="J21" t="inlineStr">
        <is>
          <t>TAK</t>
        </is>
      </c>
      <c r="K21" t="n">
        <v>609091211</v>
      </c>
      <c r="L21" t="n">
        <v>315000</v>
      </c>
      <c r="M21" t="n">
        <v>7000</v>
      </c>
      <c r="N21" t="n">
        <v>45</v>
      </c>
      <c r="O21" t="inlineStr">
        <is>
          <t>2+k</t>
        </is>
      </c>
      <c r="P21" t="n">
        <v>4</v>
      </c>
      <c r="Q21" t="inlineStr">
        <is>
          <t>Nie da się zamieszkać</t>
        </is>
      </c>
    </row>
    <row r="22">
      <c r="A22" t="n">
        <v>21</v>
      </c>
      <c r="B22" s="3" t="n">
        <v>45385</v>
      </c>
      <c r="D22" t="inlineStr">
        <is>
          <t>https://szybko.pl/o/na-sprzedaz/lokal-mieszkalny+mieszkanie/Łódź+Bałuty/oferta-15328462</t>
        </is>
      </c>
      <c r="E22">
        <f>HYPERLINK("https://szybko.pl/o/na-sprzedaz/lokal-mieszkalny+mieszkanie/Łódź+Bałuty/oferta-15328462", "https://szybko.pl/o/na-sprzedaz/lokal-mieszkalny+mieszkanie/Łódź+Bałuty/oferta-15328462")</f>
        <v/>
      </c>
      <c r="G22" t="inlineStr">
        <is>
          <t>Bałuty</t>
        </is>
      </c>
      <c r="H22" t="inlineStr">
        <is>
          <t>Bałuty</t>
        </is>
      </c>
      <c r="I22" t="inlineStr">
        <is>
          <t>NIE</t>
        </is>
      </c>
      <c r="J22" t="inlineStr">
        <is>
          <t>TAK</t>
        </is>
      </c>
      <c r="K22" t="n">
        <v>889875599</v>
      </c>
      <c r="L22" t="n">
        <v>269000</v>
      </c>
      <c r="M22" t="n">
        <v>7315.746532499319</v>
      </c>
      <c r="N22" t="n">
        <v>36.77</v>
      </c>
      <c r="O22" t="inlineStr">
        <is>
          <t>1+k</t>
        </is>
      </c>
      <c r="P22" t="n">
        <v>2</v>
      </c>
      <c r="Q22" t="inlineStr">
        <is>
          <t>Nie da się zamieszkać</t>
        </is>
      </c>
    </row>
    <row r="23">
      <c r="A23" t="n">
        <v>22</v>
      </c>
      <c r="B23" s="3" t="n">
        <v>45385</v>
      </c>
      <c r="C23" s="3" t="n">
        <v>45414</v>
      </c>
      <c r="E23">
        <f>HYPERLINK("nan", "nan")</f>
        <v/>
      </c>
      <c r="F23" t="inlineStr">
        <is>
          <t>obrońców warszawy</t>
        </is>
      </c>
      <c r="G23" t="inlineStr">
        <is>
          <t>Bałuty</t>
        </is>
      </c>
      <c r="H23" t="inlineStr">
        <is>
          <t>Bałuty blisko centrum</t>
        </is>
      </c>
      <c r="I23" t="inlineStr">
        <is>
          <t>TAK</t>
        </is>
      </c>
      <c r="J23" t="inlineStr">
        <is>
          <t>TAK</t>
        </is>
      </c>
      <c r="K23" t="n">
        <v>539313200</v>
      </c>
      <c r="L23" t="n">
        <v>256000</v>
      </c>
      <c r="M23" t="n">
        <v>7314.285714285715</v>
      </c>
      <c r="N23" t="n">
        <v>35</v>
      </c>
      <c r="O23" t="inlineStr">
        <is>
          <t>1+k</t>
        </is>
      </c>
      <c r="P23" t="n">
        <v>3</v>
      </c>
      <c r="Q23" t="inlineStr">
        <is>
          <t>Da się zamieszkać</t>
        </is>
      </c>
    </row>
    <row r="24">
      <c r="A24" t="n">
        <v>23</v>
      </c>
      <c r="B24" s="3" t="n">
        <v>45386</v>
      </c>
      <c r="C24" s="3" t="n">
        <v>45414</v>
      </c>
      <c r="E24">
        <f>HYPERLINK("nan", "nan")</f>
        <v/>
      </c>
      <c r="F24" t="inlineStr">
        <is>
          <t>Zbaraska</t>
        </is>
      </c>
      <c r="G24" t="inlineStr">
        <is>
          <t>Dąbrowa</t>
        </is>
      </c>
      <c r="H24" t="inlineStr">
        <is>
          <t>Dąbrowa</t>
        </is>
      </c>
      <c r="I24" t="inlineStr">
        <is>
          <t>TAK</t>
        </is>
      </c>
      <c r="J24" t="inlineStr">
        <is>
          <t>TAK</t>
        </is>
      </c>
      <c r="L24" t="n">
        <v>245000</v>
      </c>
      <c r="M24" t="n">
        <v>6621.621621621622</v>
      </c>
      <c r="N24" t="n">
        <v>37</v>
      </c>
      <c r="O24" t="inlineStr">
        <is>
          <t>2+k</t>
        </is>
      </c>
      <c r="P24" t="n">
        <v>2</v>
      </c>
      <c r="Q24" t="inlineStr">
        <is>
          <t>Puste posprzątane</t>
        </is>
      </c>
    </row>
    <row r="25">
      <c r="A25" t="n">
        <v>24</v>
      </c>
      <c r="B25" s="3" t="n">
        <v>45386</v>
      </c>
      <c r="C25" s="3" t="n">
        <v>45497</v>
      </c>
      <c r="D25" t="inlineStr">
        <is>
          <t>https://www.olx.pl/d/oferta/kawalerka-z-potencjalem-duza-kuchnia-parter-niski-blok-CID3-ID10FWuZ.html?isPreviewActive=0&amp;sliderIndex=5</t>
        </is>
      </c>
      <c r="E25">
        <f>HYPERLINK("https://www.olx.pl/d/oferta/kawalerka-z-potencjalem-duza-kuchnia-parter-niski-blok-CID3-ID10FWuZ.html?isPreviewActive=0&amp;sliderIndex=5", "https://www.olx.pl/d/oferta/kawalerka-z-potencjalem-duza-kuchnia-parter-niski-blok-CID3-ID10FWuZ.html?isPreviewActive=0&amp;sliderIndex=5")</f>
        <v/>
      </c>
      <c r="F25" t="inlineStr">
        <is>
          <t>bydgoska</t>
        </is>
      </c>
      <c r="G25" t="inlineStr">
        <is>
          <t>Bałuty</t>
        </is>
      </c>
      <c r="H25" t="inlineStr">
        <is>
          <t>Bałuty blisko centrum</t>
        </is>
      </c>
      <c r="I25" t="inlineStr">
        <is>
          <t>TAK</t>
        </is>
      </c>
      <c r="J25" t="inlineStr">
        <is>
          <t>NIE</t>
        </is>
      </c>
      <c r="K25" t="n">
        <v>536306686</v>
      </c>
      <c r="L25" t="n">
        <v>230000</v>
      </c>
      <c r="M25" t="n">
        <v>7098.765432098766</v>
      </c>
      <c r="N25" t="n">
        <v>32.4</v>
      </c>
      <c r="O25" t="inlineStr">
        <is>
          <t>1+k</t>
        </is>
      </c>
      <c r="P25" t="n">
        <v>0</v>
      </c>
      <c r="Q25" t="inlineStr">
        <is>
          <t>Puste posprzątane</t>
        </is>
      </c>
      <c r="R25" t="inlineStr">
        <is>
          <t>było 240000 poźniej 235000</t>
        </is>
      </c>
    </row>
    <row r="26">
      <c r="A26" t="n">
        <v>25</v>
      </c>
      <c r="B26" s="3" t="n">
        <v>45386</v>
      </c>
      <c r="C26" s="3" t="n">
        <v>45414</v>
      </c>
      <c r="E26">
        <f>HYPERLINK("nan", "nan")</f>
        <v/>
      </c>
      <c r="F26" t="inlineStr">
        <is>
          <t>Zbaraska</t>
        </is>
      </c>
      <c r="G26" t="inlineStr">
        <is>
          <t>Dąbrowa</t>
        </is>
      </c>
      <c r="H26" t="inlineStr">
        <is>
          <t>Dąbrowa</t>
        </is>
      </c>
      <c r="I26" t="inlineStr">
        <is>
          <t>TAK</t>
        </is>
      </c>
      <c r="J26" t="inlineStr">
        <is>
          <t>TAK</t>
        </is>
      </c>
      <c r="K26" t="n">
        <v>534365700</v>
      </c>
      <c r="L26" t="n">
        <v>328000</v>
      </c>
      <c r="M26" t="n">
        <v>7288.888888888889</v>
      </c>
      <c r="N26" t="n">
        <v>45</v>
      </c>
      <c r="O26" t="inlineStr">
        <is>
          <t>2+k</t>
        </is>
      </c>
      <c r="P26" t="n">
        <v>2</v>
      </c>
      <c r="Q26" t="inlineStr">
        <is>
          <t>Da się zamieszkać</t>
        </is>
      </c>
    </row>
    <row r="27">
      <c r="A27" t="n">
        <v>26</v>
      </c>
      <c r="B27" s="3" t="n">
        <v>45386</v>
      </c>
      <c r="C27" s="3" t="n">
        <v>45414</v>
      </c>
      <c r="E27">
        <f>HYPERLINK("nan", "nan")</f>
        <v/>
      </c>
      <c r="F27" t="inlineStr">
        <is>
          <t>obornicka</t>
        </is>
      </c>
      <c r="G27" t="inlineStr">
        <is>
          <t>Bałuty</t>
        </is>
      </c>
      <c r="H27" t="inlineStr">
        <is>
          <t>Bałuty</t>
        </is>
      </c>
      <c r="I27" t="inlineStr">
        <is>
          <t>TAK</t>
        </is>
      </c>
      <c r="J27" t="inlineStr">
        <is>
          <t>TAK</t>
        </is>
      </c>
      <c r="K27" t="n">
        <v>500844149</v>
      </c>
      <c r="L27" t="n">
        <v>324000</v>
      </c>
      <c r="M27" t="n">
        <v>7168.141592920353</v>
      </c>
      <c r="N27" t="n">
        <v>45.2</v>
      </c>
      <c r="O27" t="inlineStr">
        <is>
          <t>2+k</t>
        </is>
      </c>
      <c r="P27" t="n">
        <v>3</v>
      </c>
      <c r="Q27" t="inlineStr">
        <is>
          <t>Da się zamieszkać</t>
        </is>
      </c>
    </row>
    <row r="28">
      <c r="A28" t="n">
        <v>27</v>
      </c>
      <c r="B28" s="3" t="n">
        <v>45386</v>
      </c>
      <c r="C28" s="3" t="n">
        <v>45414</v>
      </c>
      <c r="E28">
        <f>HYPERLINK("nan", "nan")</f>
        <v/>
      </c>
      <c r="F28" t="inlineStr">
        <is>
          <t>wspólna</t>
        </is>
      </c>
      <c r="G28" t="inlineStr">
        <is>
          <t>Bałuty</t>
        </is>
      </c>
      <c r="H28" t="inlineStr">
        <is>
          <t>Bałuty</t>
        </is>
      </c>
      <c r="I28" t="inlineStr">
        <is>
          <t>TAK</t>
        </is>
      </c>
      <c r="J28" t="inlineStr">
        <is>
          <t>TAK</t>
        </is>
      </c>
      <c r="K28" t="n">
        <v>788295920</v>
      </c>
      <c r="L28" t="n">
        <v>320000</v>
      </c>
      <c r="M28" t="n">
        <v>6956.521739130435</v>
      </c>
      <c r="N28" t="n">
        <v>46</v>
      </c>
      <c r="O28" t="inlineStr">
        <is>
          <t>2+k</t>
        </is>
      </c>
      <c r="P28" t="n">
        <v>2</v>
      </c>
      <c r="Q28" t="inlineStr">
        <is>
          <t>Puste posprzątane</t>
        </is>
      </c>
    </row>
    <row r="29">
      <c r="A29" t="n">
        <v>28</v>
      </c>
      <c r="B29" s="3" t="n">
        <v>45386</v>
      </c>
      <c r="C29" s="3" t="n">
        <v>45414</v>
      </c>
      <c r="E29">
        <f>HYPERLINK("nan", "nan")</f>
        <v/>
      </c>
      <c r="F29" t="inlineStr">
        <is>
          <t>podchalanska</t>
        </is>
      </c>
      <c r="G29" t="inlineStr">
        <is>
          <t>Dąbrowa</t>
        </is>
      </c>
      <c r="H29" t="inlineStr">
        <is>
          <t>Dąbrowa</t>
        </is>
      </c>
      <c r="I29" t="inlineStr">
        <is>
          <t>TAK</t>
        </is>
      </c>
      <c r="J29" t="inlineStr">
        <is>
          <t>TAK</t>
        </is>
      </c>
      <c r="K29" t="n">
        <v>605230414</v>
      </c>
      <c r="L29" t="n">
        <v>267000</v>
      </c>
      <c r="M29" t="n">
        <v>7093.517534537726</v>
      </c>
      <c r="N29" t="n">
        <v>37.64</v>
      </c>
      <c r="O29" t="inlineStr">
        <is>
          <t>2+k</t>
        </is>
      </c>
      <c r="P29" t="n">
        <v>1</v>
      </c>
      <c r="Q29" t="inlineStr">
        <is>
          <t>Puste posprzątane</t>
        </is>
      </c>
    </row>
    <row r="30">
      <c r="A30" t="n">
        <v>29</v>
      </c>
      <c r="B30" s="3" t="n">
        <v>45387</v>
      </c>
      <c r="C30" s="3" t="n">
        <v>45414</v>
      </c>
      <c r="E30">
        <f>HYPERLINK("nan", "nan")</f>
        <v/>
      </c>
      <c r="F30" t="inlineStr">
        <is>
          <t>lenartowicza</t>
        </is>
      </c>
      <c r="G30" t="inlineStr">
        <is>
          <t>Górna</t>
        </is>
      </c>
      <c r="H30" t="inlineStr">
        <is>
          <t>Górna</t>
        </is>
      </c>
      <c r="I30" t="inlineStr">
        <is>
          <t>TAK</t>
        </is>
      </c>
      <c r="J30" t="inlineStr">
        <is>
          <t>TAK</t>
        </is>
      </c>
      <c r="K30" t="n">
        <v>511719920</v>
      </c>
      <c r="L30" t="n">
        <v>270000</v>
      </c>
      <c r="M30" t="n">
        <v>7500</v>
      </c>
      <c r="N30" t="n">
        <v>36</v>
      </c>
      <c r="O30" t="inlineStr">
        <is>
          <t>2+k</t>
        </is>
      </c>
      <c r="P30" t="n">
        <v>2</v>
      </c>
      <c r="Q30" t="inlineStr">
        <is>
          <t>Puste posprzątane</t>
        </is>
      </c>
    </row>
    <row r="31">
      <c r="A31" t="n">
        <v>30</v>
      </c>
      <c r="B31" s="3" t="n">
        <v>45387</v>
      </c>
      <c r="C31" s="3" t="n">
        <v>45414</v>
      </c>
      <c r="E31">
        <f>HYPERLINK("nan", "nan")</f>
        <v/>
      </c>
      <c r="F31" t="inlineStr">
        <is>
          <t xml:space="preserve">sacharowa </t>
        </is>
      </c>
      <c r="G31" t="inlineStr">
        <is>
          <t>Widzew</t>
        </is>
      </c>
      <c r="H31" t="inlineStr">
        <is>
          <t>Widzew</t>
        </is>
      </c>
      <c r="I31" t="inlineStr">
        <is>
          <t>TAK</t>
        </is>
      </c>
      <c r="J31" t="inlineStr">
        <is>
          <t>TAK</t>
        </is>
      </c>
      <c r="K31" t="n">
        <v>607093612</v>
      </c>
      <c r="L31" t="n">
        <v>335000</v>
      </c>
      <c r="M31" t="n">
        <v>7401.679186920018</v>
      </c>
      <c r="N31" t="n">
        <v>45.26</v>
      </c>
      <c r="O31" t="inlineStr">
        <is>
          <t>2+k</t>
        </is>
      </c>
      <c r="P31" t="n">
        <v>3</v>
      </c>
      <c r="Q31" t="inlineStr">
        <is>
          <t>Nie da się zamieszkać</t>
        </is>
      </c>
    </row>
    <row r="32">
      <c r="A32" t="n">
        <v>31</v>
      </c>
      <c r="B32" s="3" t="n">
        <v>45387</v>
      </c>
      <c r="D32" t="inlineStr">
        <is>
          <t>https://szybko.pl/o/na-sprzedaz/lokal-mieszkalny+mieszkanie/Łódź+Górna/oferta-15357194</t>
        </is>
      </c>
      <c r="E32">
        <f>HYPERLINK("https://szybko.pl/o/na-sprzedaz/lokal-mieszkalny+mieszkanie/Łódź+Górna/oferta-15357194", "https://szybko.pl/o/na-sprzedaz/lokal-mieszkalny+mieszkanie/Łódź+Górna/oferta-15357194")</f>
        <v/>
      </c>
      <c r="F32" t="inlineStr">
        <is>
          <t xml:space="preserve">dąbrowskiego </t>
        </is>
      </c>
      <c r="G32" t="inlineStr">
        <is>
          <t>Dąbrowa</t>
        </is>
      </c>
      <c r="H32" t="inlineStr">
        <is>
          <t>Dąbrowa</t>
        </is>
      </c>
      <c r="I32" t="inlineStr">
        <is>
          <t>NIE</t>
        </is>
      </c>
      <c r="J32" t="inlineStr">
        <is>
          <t>TAK</t>
        </is>
      </c>
      <c r="K32" t="n">
        <v>668586615</v>
      </c>
      <c r="L32" t="n">
        <v>229000</v>
      </c>
      <c r="M32" t="n">
        <v>6361.111111111111</v>
      </c>
      <c r="N32" t="n">
        <v>36</v>
      </c>
      <c r="O32" t="inlineStr">
        <is>
          <t>2+k</t>
        </is>
      </c>
      <c r="P32" t="n">
        <v>4</v>
      </c>
      <c r="Q32" t="inlineStr">
        <is>
          <t>Nie da się zamieszkać</t>
        </is>
      </c>
      <c r="R32" t="inlineStr">
        <is>
          <t>było  259000 dupa dupa</t>
        </is>
      </c>
      <c r="S32" t="inlineStr">
        <is>
          <t>NIE</t>
        </is>
      </c>
    </row>
    <row r="33">
      <c r="A33" t="n">
        <v>32</v>
      </c>
      <c r="B33" s="3" t="n">
        <v>45387</v>
      </c>
      <c r="C33" s="3" t="n">
        <v>45414</v>
      </c>
      <c r="E33">
        <f>HYPERLINK("nan", "nan")</f>
        <v/>
      </c>
      <c r="F33" t="inlineStr">
        <is>
          <t>traktorowa</t>
        </is>
      </c>
      <c r="G33" t="inlineStr">
        <is>
          <t>Teofilów</t>
        </is>
      </c>
      <c r="H33" t="inlineStr">
        <is>
          <t>Teofilów</t>
        </is>
      </c>
      <c r="I33" t="inlineStr">
        <is>
          <t>TAK</t>
        </is>
      </c>
      <c r="J33" t="inlineStr">
        <is>
          <t>NIE</t>
        </is>
      </c>
      <c r="K33" t="n">
        <v>536230493</v>
      </c>
      <c r="L33" t="n">
        <v>269000</v>
      </c>
      <c r="M33" t="n">
        <v>7270.27027027027</v>
      </c>
      <c r="N33" t="n">
        <v>37</v>
      </c>
      <c r="O33" t="inlineStr">
        <is>
          <t>2+k</t>
        </is>
      </c>
      <c r="P33" t="n">
        <v>1</v>
      </c>
      <c r="Q33" t="inlineStr">
        <is>
          <t>Puste posprzątane</t>
        </is>
      </c>
    </row>
    <row r="34">
      <c r="A34" t="n">
        <v>33</v>
      </c>
      <c r="B34" s="3" t="n">
        <v>45388</v>
      </c>
      <c r="C34" s="3" t="n">
        <v>45414</v>
      </c>
      <c r="E34">
        <f>HYPERLINK("nan", "nan")</f>
        <v/>
      </c>
      <c r="F34" t="inlineStr">
        <is>
          <t>.</t>
        </is>
      </c>
      <c r="G34" t="inlineStr">
        <is>
          <t>Bałuty</t>
        </is>
      </c>
      <c r="H34" t="inlineStr">
        <is>
          <t>Bałuty</t>
        </is>
      </c>
      <c r="I34" t="inlineStr">
        <is>
          <t>TAK</t>
        </is>
      </c>
      <c r="J34" t="inlineStr">
        <is>
          <t>NIE</t>
        </is>
      </c>
      <c r="L34" t="n">
        <v>210000</v>
      </c>
      <c r="M34" t="n">
        <v>7130.730050933787</v>
      </c>
      <c r="N34" t="n">
        <v>29.45</v>
      </c>
      <c r="O34" t="inlineStr">
        <is>
          <t>1+k</t>
        </is>
      </c>
      <c r="P34" t="n">
        <v>5</v>
      </c>
      <c r="Q34" t="inlineStr">
        <is>
          <t>Nie da się zamieszkać</t>
        </is>
      </c>
    </row>
    <row r="35">
      <c r="A35" t="n">
        <v>34</v>
      </c>
      <c r="B35" s="3" t="n">
        <v>45388</v>
      </c>
      <c r="C35" s="3" t="n">
        <v>45414</v>
      </c>
      <c r="E35">
        <f>HYPERLINK("nan", "nan")</f>
        <v/>
      </c>
      <c r="F35" t="inlineStr">
        <is>
          <t>hipoteczna</t>
        </is>
      </c>
      <c r="G35" t="inlineStr">
        <is>
          <t>Bałuty</t>
        </is>
      </c>
      <c r="H35" t="inlineStr">
        <is>
          <t>Bałuty</t>
        </is>
      </c>
      <c r="I35" t="inlineStr">
        <is>
          <t>TAK</t>
        </is>
      </c>
      <c r="J35" t="inlineStr">
        <is>
          <t>TAK</t>
        </is>
      </c>
      <c r="K35" t="n">
        <v>453415809</v>
      </c>
      <c r="L35" t="n">
        <v>300000</v>
      </c>
      <c r="M35" t="n">
        <v>6637.16814159292</v>
      </c>
      <c r="N35" t="n">
        <v>45.2</v>
      </c>
      <c r="O35" t="inlineStr">
        <is>
          <t>2+k</t>
        </is>
      </c>
      <c r="P35" t="n">
        <v>0</v>
      </c>
      <c r="Q35" t="inlineStr">
        <is>
          <t>Puste posprzątane</t>
        </is>
      </c>
    </row>
    <row r="36">
      <c r="A36" t="n">
        <v>35</v>
      </c>
      <c r="B36" s="3" t="n">
        <v>45388</v>
      </c>
      <c r="C36" s="3" t="n">
        <v>45414</v>
      </c>
      <c r="E36">
        <f>HYPERLINK("nan", "nan")</f>
        <v/>
      </c>
      <c r="F36" t="inlineStr">
        <is>
          <t>batory rynek</t>
        </is>
      </c>
      <c r="G36" t="inlineStr">
        <is>
          <t>Widzew</t>
        </is>
      </c>
      <c r="H36" t="inlineStr">
        <is>
          <t>Widzew</t>
        </is>
      </c>
      <c r="I36" t="inlineStr">
        <is>
          <t>TAK</t>
        </is>
      </c>
      <c r="J36" t="inlineStr">
        <is>
          <t>TAK</t>
        </is>
      </c>
      <c r="K36" t="n">
        <v>798735886</v>
      </c>
      <c r="L36" t="n">
        <v>338000</v>
      </c>
      <c r="M36" t="n">
        <v>7347.826086956522</v>
      </c>
      <c r="N36" t="n">
        <v>46</v>
      </c>
      <c r="O36" t="inlineStr">
        <is>
          <t>2+k</t>
        </is>
      </c>
      <c r="P36" t="n">
        <v>9</v>
      </c>
      <c r="Q36" t="inlineStr">
        <is>
          <t>Puste posprzątane</t>
        </is>
      </c>
    </row>
    <row r="37">
      <c r="A37" t="n">
        <v>36</v>
      </c>
      <c r="B37" s="3" t="n">
        <v>45388</v>
      </c>
      <c r="C37" s="3" t="n">
        <v>45414</v>
      </c>
      <c r="E37">
        <f>HYPERLINK("nan", "nan")</f>
        <v/>
      </c>
      <c r="F37" t="inlineStr">
        <is>
          <t>Paderewskiego</t>
        </is>
      </c>
      <c r="G37" t="inlineStr">
        <is>
          <t>Górna</t>
        </is>
      </c>
      <c r="H37" t="inlineStr">
        <is>
          <t>Górna</t>
        </is>
      </c>
      <c r="I37" t="inlineStr">
        <is>
          <t>TAK</t>
        </is>
      </c>
      <c r="J37" t="inlineStr">
        <is>
          <t>NIE</t>
        </is>
      </c>
      <c r="K37" t="n">
        <v>695830833</v>
      </c>
      <c r="L37" t="n">
        <v>360000</v>
      </c>
      <c r="M37" t="n">
        <v>7500</v>
      </c>
      <c r="N37" t="n">
        <v>48</v>
      </c>
      <c r="O37" t="inlineStr">
        <is>
          <t>2+k</t>
        </is>
      </c>
      <c r="P37" t="n">
        <v>5</v>
      </c>
      <c r="Q37" t="inlineStr">
        <is>
          <t>Puste posprzątane</t>
        </is>
      </c>
    </row>
    <row r="38">
      <c r="A38" t="n">
        <v>37</v>
      </c>
      <c r="B38" s="3" t="n">
        <v>45389</v>
      </c>
      <c r="E38">
        <f>HYPERLINK("nan", "nan")</f>
        <v/>
      </c>
      <c r="F38" t="inlineStr">
        <is>
          <t>kossaka</t>
        </is>
      </c>
      <c r="G38" t="inlineStr">
        <is>
          <t>Dąbrowa</t>
        </is>
      </c>
      <c r="H38" t="inlineStr">
        <is>
          <t>Dąbrowa</t>
        </is>
      </c>
      <c r="I38" t="inlineStr">
        <is>
          <t>NIE</t>
        </is>
      </c>
      <c r="J38" t="inlineStr">
        <is>
          <t>TAK</t>
        </is>
      </c>
      <c r="K38" t="n">
        <v>698545474</v>
      </c>
      <c r="L38" t="n">
        <v>327000</v>
      </c>
      <c r="M38" t="n">
        <v>6957.446808510638</v>
      </c>
      <c r="N38" t="n">
        <v>47</v>
      </c>
      <c r="O38" t="inlineStr">
        <is>
          <t>2+k</t>
        </is>
      </c>
      <c r="P38" t="n">
        <v>8</v>
      </c>
      <c r="Q38" t="inlineStr">
        <is>
          <t>Nie da się zamieszkać</t>
        </is>
      </c>
      <c r="R38" t="inlineStr">
        <is>
          <t>próba kontaktu 08.07</t>
        </is>
      </c>
    </row>
    <row r="39">
      <c r="A39" t="n">
        <v>38</v>
      </c>
      <c r="B39" s="3" t="n">
        <v>45389</v>
      </c>
      <c r="C39" s="3" t="n">
        <v>45432</v>
      </c>
      <c r="D39" t="inlineStr">
        <is>
          <t>https://www.olx.pl/d/oferta/rozkladowe-m3-lodz-polesie-43m2-CID3-IDZUa3S.html</t>
        </is>
      </c>
      <c r="E39">
        <f>HYPERLINK("https://www.olx.pl/d/oferta/rozkladowe-m3-lodz-polesie-43m2-CID3-IDZUa3S.html", "https://www.olx.pl/d/oferta/rozkladowe-m3-lodz-polesie-43m2-CID3-IDZUa3S.html")</f>
        <v/>
      </c>
      <c r="F39" t="inlineStr">
        <is>
          <t>Lorenza</t>
        </is>
      </c>
      <c r="G39" t="inlineStr">
        <is>
          <t>Polesie</t>
        </is>
      </c>
      <c r="H39" t="inlineStr">
        <is>
          <t>Polesie</t>
        </is>
      </c>
      <c r="I39" t="inlineStr">
        <is>
          <t>TAK</t>
        </is>
      </c>
      <c r="J39" t="inlineStr">
        <is>
          <t>TAK</t>
        </is>
      </c>
      <c r="K39" t="n">
        <v>574362261</v>
      </c>
      <c r="L39" t="n">
        <v>280000</v>
      </c>
      <c r="M39" t="n">
        <v>6511.627906976744</v>
      </c>
      <c r="N39" t="n">
        <v>43</v>
      </c>
      <c r="O39" t="inlineStr">
        <is>
          <t>2+k</t>
        </is>
      </c>
      <c r="P39" t="n">
        <v>2</v>
      </c>
      <c r="Q39" t="inlineStr">
        <is>
          <t>Nie da się zamieszkać</t>
        </is>
      </c>
    </row>
    <row r="40">
      <c r="A40" t="n">
        <v>39</v>
      </c>
      <c r="B40" s="3" t="n">
        <v>45389</v>
      </c>
      <c r="C40" s="3" t="n">
        <v>45432</v>
      </c>
      <c r="D40" t="inlineStr">
        <is>
          <t>https://www.olx.pl/d/oferta/dwa-pokoje-ul-podgorna-60-CID3-IDZlZFG.html</t>
        </is>
      </c>
      <c r="E40">
        <f>HYPERLINK("https://www.olx.pl/d/oferta/dwa-pokoje-ul-podgorna-60-CID3-IDZlZFG.html", "https://www.olx.pl/d/oferta/dwa-pokoje-ul-podgorna-60-CID3-IDZlZFG.html")</f>
        <v/>
      </c>
      <c r="F40" t="inlineStr">
        <is>
          <t>podgórna 60</t>
        </is>
      </c>
      <c r="G40" t="inlineStr">
        <is>
          <t>Górna</t>
        </is>
      </c>
      <c r="H40" t="inlineStr">
        <is>
          <t>Górna</t>
        </is>
      </c>
      <c r="I40" t="inlineStr">
        <is>
          <t>TAK</t>
        </is>
      </c>
      <c r="J40" t="inlineStr">
        <is>
          <t>NIE</t>
        </is>
      </c>
      <c r="K40" t="n">
        <v>500826262</v>
      </c>
      <c r="L40" t="n">
        <v>254900</v>
      </c>
      <c r="M40" t="n">
        <v>6372.5</v>
      </c>
      <c r="N40" t="n">
        <v>40</v>
      </c>
      <c r="O40" t="inlineStr">
        <is>
          <t>2+k</t>
        </is>
      </c>
      <c r="P40" t="n">
        <v>0</v>
      </c>
      <c r="Q40" t="inlineStr">
        <is>
          <t>Da się zamieszkać</t>
        </is>
      </c>
    </row>
    <row r="41">
      <c r="A41" t="n">
        <v>40</v>
      </c>
      <c r="B41" s="3" t="n">
        <v>45389</v>
      </c>
      <c r="C41" t="inlineStr">
        <is>
          <t>26..05.2024</t>
        </is>
      </c>
      <c r="D41" t="inlineStr">
        <is>
          <t>https://www.olx.pl/d/oferta/mieszkanie-do-remontu-ul-dabowskiego-przy-tatrzanskiej-lodz-CID3-IDZUCA2.html</t>
        </is>
      </c>
      <c r="E41">
        <f>HYPERLINK("https://www.olx.pl/d/oferta/mieszkanie-do-remontu-ul-dabowskiego-przy-tatrzanskiej-lodz-CID3-IDZUCA2.html", "https://www.olx.pl/d/oferta/mieszkanie-do-remontu-ul-dabowskiego-przy-tatrzanskiej-lodz-CID3-IDZUCA2.html")</f>
        <v/>
      </c>
      <c r="F41" t="inlineStr">
        <is>
          <t>tatrzańska</t>
        </is>
      </c>
      <c r="G41" t="inlineStr">
        <is>
          <t>Dąbrowa</t>
        </is>
      </c>
      <c r="H41" t="inlineStr">
        <is>
          <t>Dąbrowa</t>
        </is>
      </c>
      <c r="I41" t="inlineStr">
        <is>
          <t>TAK</t>
        </is>
      </c>
      <c r="J41" t="inlineStr">
        <is>
          <t>NIE</t>
        </is>
      </c>
      <c r="K41" t="n">
        <v>609993590</v>
      </c>
      <c r="L41" t="n">
        <v>280000</v>
      </c>
      <c r="M41" t="n">
        <v>7368.421052631579</v>
      </c>
      <c r="N41" t="n">
        <v>38</v>
      </c>
      <c r="O41" t="inlineStr">
        <is>
          <t>2+k</t>
        </is>
      </c>
      <c r="P41" t="n">
        <v>3</v>
      </c>
      <c r="Q41" t="inlineStr">
        <is>
          <t>Puste</t>
        </is>
      </c>
    </row>
    <row r="42">
      <c r="A42" t="n">
        <v>41</v>
      </c>
      <c r="B42" s="3" t="n">
        <v>45389</v>
      </c>
      <c r="C42" s="3" t="n">
        <v>45438</v>
      </c>
      <c r="D42" t="inlineStr">
        <is>
          <t>https://www.olx.pl/d/oferta/mieszkanie-baluty-m3-CID3-IDZUG40.html</t>
        </is>
      </c>
      <c r="E42">
        <f>HYPERLINK("https://www.olx.pl/d/oferta/mieszkanie-baluty-m3-CID3-IDZUG40.html", "https://www.olx.pl/d/oferta/mieszkanie-baluty-m3-CID3-IDZUG40.html")</f>
        <v/>
      </c>
      <c r="G42" t="inlineStr">
        <is>
          <t>Bałuty</t>
        </is>
      </c>
      <c r="H42" t="inlineStr">
        <is>
          <t>Bałuty</t>
        </is>
      </c>
      <c r="I42" t="inlineStr">
        <is>
          <t>TAK</t>
        </is>
      </c>
      <c r="J42" t="inlineStr">
        <is>
          <t>TAK</t>
        </is>
      </c>
      <c r="K42" t="n">
        <v>576317000</v>
      </c>
      <c r="L42" t="n">
        <v>300000</v>
      </c>
      <c r="M42" t="n">
        <v>6637.16814159292</v>
      </c>
      <c r="N42" t="n">
        <v>45.2</v>
      </c>
      <c r="O42" t="inlineStr">
        <is>
          <t>2+k</t>
        </is>
      </c>
      <c r="P42" t="n">
        <v>0</v>
      </c>
      <c r="Q42" t="inlineStr">
        <is>
          <t>Puste</t>
        </is>
      </c>
    </row>
    <row r="43">
      <c r="A43" t="n">
        <v>42</v>
      </c>
      <c r="B43" s="3" t="n">
        <v>45389</v>
      </c>
      <c r="C43" s="3" t="n">
        <v>45438</v>
      </c>
      <c r="D43" t="inlineStr">
        <is>
          <t>https://www.olx.pl/d/oferta/rezerwacja-m3-lodz-ul-zgierska-CID3-IDZeJT5.html</t>
        </is>
      </c>
      <c r="E43">
        <f>HYPERLINK("https://www.olx.pl/d/oferta/rezerwacja-m3-lodz-ul-zgierska-CID3-IDZeJT5.html", "https://www.olx.pl/d/oferta/rezerwacja-m3-lodz-ul-zgierska-CID3-IDZeJT5.html")</f>
        <v/>
      </c>
      <c r="F43" t="inlineStr">
        <is>
          <t>zgierska</t>
        </is>
      </c>
      <c r="G43" t="inlineStr">
        <is>
          <t>Bałuty</t>
        </is>
      </c>
      <c r="H43" t="inlineStr">
        <is>
          <t>Dalekie bałuty</t>
        </is>
      </c>
      <c r="I43" t="inlineStr">
        <is>
          <t>TAK</t>
        </is>
      </c>
      <c r="J43" t="inlineStr">
        <is>
          <t>TAK</t>
        </is>
      </c>
      <c r="K43" t="n">
        <v>570888922</v>
      </c>
      <c r="L43" t="n">
        <v>345000</v>
      </c>
      <c r="M43" t="n">
        <v>7348.242811501597</v>
      </c>
      <c r="N43" t="n">
        <v>46.95</v>
      </c>
      <c r="O43" t="inlineStr">
        <is>
          <t>2+k</t>
        </is>
      </c>
      <c r="P43" t="n">
        <v>3</v>
      </c>
      <c r="Q43" t="inlineStr">
        <is>
          <t>Puste posprzątane i odświeżone</t>
        </is>
      </c>
    </row>
    <row r="44">
      <c r="A44" t="n">
        <v>43</v>
      </c>
      <c r="B44" s="3" t="n">
        <v>45390</v>
      </c>
      <c r="C44" s="3" t="n">
        <v>45438</v>
      </c>
      <c r="D44" t="inlineStr">
        <is>
          <t>https://www.olx.pl/d/oferta/sprzedam-m-3-lodz-baluty-CID3-IDZUJ8G.html</t>
        </is>
      </c>
      <c r="E44">
        <f>HYPERLINK("https://www.olx.pl/d/oferta/sprzedam-m-3-lodz-baluty-CID3-IDZUJ8G.html", "https://www.olx.pl/d/oferta/sprzedam-m-3-lodz-baluty-CID3-IDZUJ8G.html")</f>
        <v/>
      </c>
      <c r="F44" t="inlineStr">
        <is>
          <t xml:space="preserve">limanowskiego </t>
        </is>
      </c>
      <c r="G44" t="inlineStr">
        <is>
          <t>Bałuty</t>
        </is>
      </c>
      <c r="H44" t="inlineStr">
        <is>
          <t>Bałuty blisko centrum</t>
        </is>
      </c>
      <c r="I44" t="inlineStr">
        <is>
          <t>TAK</t>
        </is>
      </c>
      <c r="J44" t="inlineStr">
        <is>
          <t>NIE</t>
        </is>
      </c>
      <c r="K44" t="n">
        <v>660665668</v>
      </c>
      <c r="L44" t="n">
        <v>282000</v>
      </c>
      <c r="M44" t="n">
        <v>6509.695290858725</v>
      </c>
      <c r="N44" t="n">
        <v>43.32</v>
      </c>
      <c r="O44" t="inlineStr">
        <is>
          <t>2+k</t>
        </is>
      </c>
      <c r="P44" t="n">
        <v>3</v>
      </c>
      <c r="Q44" t="inlineStr">
        <is>
          <t>Da się zamieszkać</t>
        </is>
      </c>
    </row>
    <row r="45">
      <c r="A45" t="n">
        <v>44</v>
      </c>
      <c r="B45" s="3" t="n">
        <v>45390</v>
      </c>
      <c r="C45" s="3" t="n">
        <v>45510</v>
      </c>
      <c r="D45" t="inlineStr">
        <is>
          <t>https://allegrolokalnie.pl/oferta/mieszkanie-lodz-baluty-44-m2-i7a?navCategoryId=112739</t>
        </is>
      </c>
      <c r="E45">
        <f>HYPERLINK("https://allegrolokalnie.pl/oferta/mieszkanie-lodz-baluty-44-m2-i7a?navCategoryId=112739", "https://allegrolokalnie.pl/oferta/mieszkanie-lodz-baluty-44-m2-i7a?navCategoryId=112739")</f>
        <v/>
      </c>
      <c r="G45" t="inlineStr">
        <is>
          <t>Bałuty</t>
        </is>
      </c>
      <c r="H45" t="inlineStr">
        <is>
          <t>Bałuty</t>
        </is>
      </c>
      <c r="I45" t="inlineStr">
        <is>
          <t>TAK</t>
        </is>
      </c>
      <c r="J45" t="inlineStr">
        <is>
          <t>TAK</t>
        </is>
      </c>
      <c r="K45" t="n">
        <v>503891520</v>
      </c>
      <c r="L45" t="n">
        <v>320000</v>
      </c>
      <c r="M45" t="n">
        <v>7272.727272727273</v>
      </c>
      <c r="N45" t="n">
        <v>44</v>
      </c>
      <c r="O45" t="inlineStr">
        <is>
          <t>2+k</t>
        </is>
      </c>
      <c r="P45" t="n">
        <v>0</v>
      </c>
      <c r="Q45" t="inlineStr">
        <is>
          <t>Puste posprzątane i odświeżone</t>
        </is>
      </c>
      <c r="R45" t="inlineStr">
        <is>
          <t>od 02.07 Było nieaktywne wróciło 02.08</t>
        </is>
      </c>
    </row>
    <row r="46">
      <c r="A46" t="n">
        <v>45</v>
      </c>
      <c r="B46" s="3" t="n">
        <v>45390</v>
      </c>
      <c r="C46" s="3" t="n">
        <v>45438</v>
      </c>
      <c r="D46" t="inlineStr">
        <is>
          <t>https://www.olx.pl/d/oferta/mieszkanie-37-64m-na-dabrowie-CID3-IDZW1LB.html</t>
        </is>
      </c>
      <c r="E46">
        <f>HYPERLINK("https://www.olx.pl/d/oferta/mieszkanie-37-64m-na-dabrowie-CID3-IDZW1LB.html", "https://www.olx.pl/d/oferta/mieszkanie-37-64m-na-dabrowie-CID3-IDZW1LB.html")</f>
        <v/>
      </c>
      <c r="F46" t="inlineStr">
        <is>
          <t xml:space="preserve">dąbrowskiego </t>
        </is>
      </c>
      <c r="G46" t="inlineStr">
        <is>
          <t>Dąbrowa</t>
        </is>
      </c>
      <c r="H46" t="inlineStr">
        <is>
          <t>Dąbrowa</t>
        </is>
      </c>
      <c r="I46" t="inlineStr">
        <is>
          <t>TAK</t>
        </is>
      </c>
      <c r="J46" t="inlineStr">
        <is>
          <t>TAK</t>
        </is>
      </c>
      <c r="K46" t="n">
        <v>506266318</v>
      </c>
      <c r="L46" t="n">
        <v>275000</v>
      </c>
      <c r="M46" t="n">
        <v>7306.05738575983</v>
      </c>
      <c r="N46" t="n">
        <v>37.64</v>
      </c>
      <c r="O46" t="inlineStr">
        <is>
          <t>2+k</t>
        </is>
      </c>
      <c r="P46" t="n">
        <v>0</v>
      </c>
      <c r="Q46" t="inlineStr">
        <is>
          <t>Puste posprzątane</t>
        </is>
      </c>
    </row>
    <row r="47">
      <c r="A47" t="n">
        <v>46</v>
      </c>
      <c r="B47" s="3" t="n">
        <v>45390</v>
      </c>
      <c r="C47" s="3" t="n">
        <v>45467</v>
      </c>
      <c r="D47" t="inlineStr">
        <is>
          <t>https://szybko.pl/o/na-sprzedaz/lokal-mieszkalny+mieszkanie/Łódź+Bałuty/oferta-15284027</t>
        </is>
      </c>
      <c r="E47">
        <f>HYPERLINK("https://szybko.pl/o/na-sprzedaz/lokal-mieszkalny+mieszkanie/Łódź+Bałuty/oferta-15284027", "https://szybko.pl/o/na-sprzedaz/lokal-mieszkalny+mieszkanie/Łódź+Bałuty/oferta-15284027")</f>
        <v/>
      </c>
      <c r="F47" t="inlineStr">
        <is>
          <t>rojna</t>
        </is>
      </c>
      <c r="G47" t="inlineStr">
        <is>
          <t>Teofilów</t>
        </is>
      </c>
      <c r="H47" t="inlineStr">
        <is>
          <t>Teofilów</t>
        </is>
      </c>
      <c r="I47" t="inlineStr">
        <is>
          <t>TAK</t>
        </is>
      </c>
      <c r="J47" t="inlineStr">
        <is>
          <t>TAK</t>
        </is>
      </c>
      <c r="K47" t="n">
        <v>789587593</v>
      </c>
      <c r="L47" t="n">
        <v>255000</v>
      </c>
      <c r="M47" t="n">
        <v>6710.526315789473</v>
      </c>
      <c r="N47" t="n">
        <v>38</v>
      </c>
      <c r="O47" t="inlineStr">
        <is>
          <t>2+k</t>
        </is>
      </c>
      <c r="Q47" t="inlineStr">
        <is>
          <t>Puste posprzątane</t>
        </is>
      </c>
    </row>
    <row r="48">
      <c r="A48" t="n">
        <v>47</v>
      </c>
      <c r="B48" s="3" t="n">
        <v>45390</v>
      </c>
      <c r="D48" t="inlineStr">
        <is>
          <t>https://sprzedajemy.pl/sprzedaz-mieszkania-lodz-46-2m2-2-pok-4-1b8e55-6fpbc4-nr68384701</t>
        </is>
      </c>
      <c r="E48">
        <f>HYPERLINK("https://sprzedajemy.pl/sprzedaz-mieszkania-lodz-46-2m2-2-pok-4-1b8e55-6fpbc4-nr68384701", "https://sprzedajemy.pl/sprzedaz-mieszkania-lodz-46-2m2-2-pok-4-1b8e55-6fpbc4-nr68384701")</f>
        <v/>
      </c>
      <c r="F48" t="inlineStr">
        <is>
          <t>.</t>
        </is>
      </c>
      <c r="G48" t="inlineStr">
        <is>
          <t>Bałuty</t>
        </is>
      </c>
      <c r="H48" t="inlineStr">
        <is>
          <t>Bałuty blisko centrum</t>
        </is>
      </c>
      <c r="I48" t="inlineStr">
        <is>
          <t>NIE</t>
        </is>
      </c>
      <c r="J48" t="inlineStr">
        <is>
          <t>TAK</t>
        </is>
      </c>
      <c r="K48" t="n">
        <v>501043256</v>
      </c>
      <c r="L48" t="n">
        <v>275000</v>
      </c>
      <c r="M48" t="n">
        <v>5952.380952380952</v>
      </c>
      <c r="N48" t="n">
        <v>46.2</v>
      </c>
      <c r="O48" t="inlineStr">
        <is>
          <t>2+k</t>
        </is>
      </c>
      <c r="Q48" t="inlineStr">
        <is>
          <t>Da się zamieszkać</t>
        </is>
      </c>
      <c r="R48" t="inlineStr">
        <is>
          <t>próba kontaktu 08.07 próba kontaktu 17.07 próba kontaktu 08.07 próba kontaktu 17.07, telefon 28.08.2024, jest rezerwacja, dzwonić za jakiś czas, duże zainteresowanie ze względu na cenę</t>
        </is>
      </c>
    </row>
    <row r="49">
      <c r="A49" t="n">
        <v>48</v>
      </c>
      <c r="B49" s="3" t="n">
        <v>45392</v>
      </c>
      <c r="C49" s="3" t="n">
        <v>45414</v>
      </c>
      <c r="E49">
        <f>HYPERLINK("nan", "nan")</f>
        <v/>
      </c>
      <c r="F49" t="inlineStr">
        <is>
          <t>podmiejska</t>
        </is>
      </c>
      <c r="G49" t="inlineStr">
        <is>
          <t>Górna</t>
        </is>
      </c>
      <c r="H49" t="inlineStr">
        <is>
          <t>Górna</t>
        </is>
      </c>
      <c r="I49" t="inlineStr">
        <is>
          <t>TAK</t>
        </is>
      </c>
      <c r="J49" t="inlineStr">
        <is>
          <t>TAK</t>
        </is>
      </c>
      <c r="K49" t="n">
        <v>511731930</v>
      </c>
      <c r="L49" t="n">
        <v>309000</v>
      </c>
      <c r="M49" t="n">
        <v>7189.390414146115</v>
      </c>
      <c r="N49" t="n">
        <v>42.98</v>
      </c>
      <c r="O49" t="inlineStr">
        <is>
          <t>2+k</t>
        </is>
      </c>
      <c r="Q49" t="inlineStr">
        <is>
          <t>Nie da się zamieszkać</t>
        </is>
      </c>
    </row>
    <row r="50">
      <c r="A50" t="n">
        <v>49</v>
      </c>
      <c r="B50" s="3" t="n">
        <v>45392</v>
      </c>
      <c r="C50" s="3" t="n">
        <v>45414</v>
      </c>
      <c r="E50">
        <f>HYPERLINK("nan", "nan")</f>
        <v/>
      </c>
      <c r="G50" t="inlineStr">
        <is>
          <t>Górna</t>
        </is>
      </c>
      <c r="H50" t="inlineStr">
        <is>
          <t>Górna</t>
        </is>
      </c>
      <c r="I50" t="inlineStr">
        <is>
          <t>TAK</t>
        </is>
      </c>
      <c r="J50" t="inlineStr">
        <is>
          <t>TAK</t>
        </is>
      </c>
      <c r="K50" t="n">
        <v>725111011</v>
      </c>
      <c r="L50" t="n">
        <v>265000</v>
      </c>
      <c r="M50" t="n">
        <v>6625</v>
      </c>
      <c r="N50" t="n">
        <v>40</v>
      </c>
      <c r="O50" t="inlineStr">
        <is>
          <t>2+k</t>
        </is>
      </c>
      <c r="P50" t="n">
        <v>2</v>
      </c>
      <c r="Q50" t="inlineStr">
        <is>
          <t>Nie da się zamieszkać</t>
        </is>
      </c>
    </row>
    <row r="51">
      <c r="A51" t="n">
        <v>50</v>
      </c>
      <c r="B51" s="3" t="n">
        <v>45392</v>
      </c>
      <c r="C51" s="3" t="n">
        <v>45438</v>
      </c>
      <c r="D51" t="inlineStr">
        <is>
          <t>https://www.otodom.pl/pl/oferta/mieszkanie-42m-2-pokoje-lodz-doly-ul-przemyslowa-ID4pMd9.html</t>
        </is>
      </c>
      <c r="E51">
        <f>HYPERLINK("https://www.otodom.pl/pl/oferta/mieszkanie-42m-2-pokoje-lodz-doly-ul-przemyslowa-ID4pMd9.html", "https://www.otodom.pl/pl/oferta/mieszkanie-42m-2-pokoje-lodz-doly-ul-przemyslowa-ID4pMd9.html")</f>
        <v/>
      </c>
      <c r="F51" t="inlineStr">
        <is>
          <t>przemysłowa</t>
        </is>
      </c>
      <c r="G51" t="inlineStr">
        <is>
          <t>Bałuty</t>
        </is>
      </c>
      <c r="H51" t="inlineStr">
        <is>
          <t>Bałuty</t>
        </is>
      </c>
      <c r="I51" t="inlineStr">
        <is>
          <t>TAK</t>
        </is>
      </c>
      <c r="J51" t="inlineStr">
        <is>
          <t>TAK</t>
        </is>
      </c>
      <c r="K51" t="n">
        <v>601887651</v>
      </c>
      <c r="L51" t="n">
        <v>310000</v>
      </c>
      <c r="M51" t="n">
        <v>7380.952380952381</v>
      </c>
      <c r="N51" t="n">
        <v>42</v>
      </c>
      <c r="O51" t="inlineStr">
        <is>
          <t>2+k</t>
        </is>
      </c>
      <c r="P51" t="n">
        <v>3</v>
      </c>
      <c r="Q51" t="inlineStr">
        <is>
          <t>Nie da się zamieszkać</t>
        </is>
      </c>
    </row>
    <row r="52">
      <c r="A52" t="n">
        <v>51</v>
      </c>
      <c r="B52" s="3" t="n">
        <v>45392</v>
      </c>
      <c r="C52" s="3" t="n">
        <v>45432</v>
      </c>
      <c r="D52" t="inlineStr">
        <is>
          <t>https://www.olx.pl/d/oferta/-CID3-IDZXBoW.html</t>
        </is>
      </c>
      <c r="E52">
        <f>HYPERLINK("https://www.olx.pl/d/oferta/-CID3-IDZXBoW.html", "https://www.olx.pl/d/oferta/-CID3-IDZXBoW.html")</f>
        <v/>
      </c>
      <c r="F52" t="inlineStr">
        <is>
          <t>julianowska</t>
        </is>
      </c>
      <c r="G52" t="inlineStr">
        <is>
          <t>Bałuty</t>
        </is>
      </c>
      <c r="H52" t="inlineStr">
        <is>
          <t>Bałuty</t>
        </is>
      </c>
      <c r="I52" t="inlineStr">
        <is>
          <t>TAK</t>
        </is>
      </c>
      <c r="J52" t="inlineStr">
        <is>
          <t>TAK</t>
        </is>
      </c>
      <c r="K52" t="n">
        <v>515915900</v>
      </c>
      <c r="L52" t="n">
        <v>247500</v>
      </c>
      <c r="M52" t="n">
        <v>6513.157894736843</v>
      </c>
      <c r="N52" t="n">
        <v>38</v>
      </c>
      <c r="O52" t="inlineStr">
        <is>
          <t>2+k</t>
        </is>
      </c>
      <c r="P52" t="n">
        <v>0</v>
      </c>
      <c r="Q52" t="inlineStr">
        <is>
          <t>Da się zamieszkać</t>
        </is>
      </c>
    </row>
    <row r="53">
      <c r="A53" t="n">
        <v>52</v>
      </c>
      <c r="B53" s="3" t="n">
        <v>45392</v>
      </c>
      <c r="C53" s="3" t="n">
        <v>45446</v>
      </c>
      <c r="D53" t="inlineStr">
        <is>
          <t>https://www.olx.pl/d/oferta/m3-baluty-CID3-IDZYk2c.html</t>
        </is>
      </c>
      <c r="E53">
        <f>HYPERLINK("https://www.olx.pl/d/oferta/m3-baluty-CID3-IDZYk2c.html", "https://www.olx.pl/d/oferta/m3-baluty-CID3-IDZYk2c.html")</f>
        <v/>
      </c>
      <c r="F53" t="inlineStr">
        <is>
          <t>wielkopolska</t>
        </is>
      </c>
      <c r="G53" t="inlineStr">
        <is>
          <t>Teofilów</t>
        </is>
      </c>
      <c r="H53" t="inlineStr">
        <is>
          <t>Teofilów</t>
        </is>
      </c>
      <c r="I53" t="inlineStr">
        <is>
          <t>TAK</t>
        </is>
      </c>
      <c r="J53" t="inlineStr">
        <is>
          <t>TAK</t>
        </is>
      </c>
      <c r="K53" t="n">
        <v>797542793</v>
      </c>
      <c r="L53" t="n">
        <v>307000</v>
      </c>
      <c r="M53" t="n">
        <v>6822.222222222223</v>
      </c>
      <c r="N53" t="n">
        <v>45</v>
      </c>
      <c r="O53" t="inlineStr">
        <is>
          <t>2+k</t>
        </is>
      </c>
      <c r="P53" t="n">
        <v>3</v>
      </c>
      <c r="Q53" t="inlineStr">
        <is>
          <t>Puste posprzątane i odświeżone</t>
        </is>
      </c>
      <c r="R53" t="inlineStr">
        <is>
          <t xml:space="preserve">sprzedane  za 304k </t>
        </is>
      </c>
    </row>
    <row r="54">
      <c r="A54" t="n">
        <v>53</v>
      </c>
      <c r="B54" s="3" t="n">
        <v>45392</v>
      </c>
      <c r="D54" t="inlineStr">
        <is>
          <t>https://szybko.pl/o/na-sprzedaz/lokal-mieszkalny+mieszkanie/Łódź+Widzew/oferta-15377040</t>
        </is>
      </c>
      <c r="E54">
        <f>HYPERLINK("https://szybko.pl/o/na-sprzedaz/lokal-mieszkalny+mieszkanie/Łódź+Widzew/oferta-15377040", "https://szybko.pl/o/na-sprzedaz/lokal-mieszkalny+mieszkanie/Łódź+Widzew/oferta-15377040")</f>
        <v/>
      </c>
      <c r="F54" t="inlineStr">
        <is>
          <t xml:space="preserve">gustawa morcinka </t>
        </is>
      </c>
      <c r="G54" t="inlineStr">
        <is>
          <t>Widzew</t>
        </is>
      </c>
      <c r="H54" t="inlineStr">
        <is>
          <t>Widzew blisko centrum</t>
        </is>
      </c>
      <c r="I54" t="inlineStr">
        <is>
          <t>NIE</t>
        </is>
      </c>
      <c r="J54" t="inlineStr">
        <is>
          <t>TAK</t>
        </is>
      </c>
      <c r="K54" t="n">
        <v>535675816</v>
      </c>
      <c r="L54" t="n">
        <v>355000</v>
      </c>
      <c r="M54" t="n">
        <v>7457.98319327731</v>
      </c>
      <c r="N54" t="n">
        <v>47.6</v>
      </c>
      <c r="O54" t="inlineStr">
        <is>
          <t>2+k</t>
        </is>
      </c>
      <c r="P54" t="n">
        <v>3</v>
      </c>
      <c r="Q54" t="inlineStr">
        <is>
          <t>Puste posprzątane</t>
        </is>
      </c>
    </row>
    <row r="55">
      <c r="A55" t="n">
        <v>54</v>
      </c>
      <c r="B55" s="3" t="n">
        <v>45393</v>
      </c>
      <c r="C55" s="3" t="n">
        <v>45432</v>
      </c>
      <c r="D55" t="inlineStr">
        <is>
          <t>https://szybko.pl/o/na-sprzedaz/lokal-mieszkalny+mieszkanie/Łódź+Bałuty/oferta-15338511</t>
        </is>
      </c>
      <c r="E55">
        <f>HYPERLINK("https://szybko.pl/o/na-sprzedaz/lokal-mieszkalny+mieszkanie/Łódź+Bałuty/oferta-15338511", "https://szybko.pl/o/na-sprzedaz/lokal-mieszkalny+mieszkanie/Łódź+Bałuty/oferta-15338511")</f>
        <v/>
      </c>
      <c r="F55" t="inlineStr">
        <is>
          <t>wici</t>
        </is>
      </c>
      <c r="G55" t="inlineStr">
        <is>
          <t>Teofilów</t>
        </is>
      </c>
      <c r="H55" t="inlineStr">
        <is>
          <t>Teofilów</t>
        </is>
      </c>
      <c r="I55" t="inlineStr">
        <is>
          <t>TAK</t>
        </is>
      </c>
      <c r="J55" t="inlineStr">
        <is>
          <t>TAK</t>
        </is>
      </c>
      <c r="K55" t="n">
        <v>538636083</v>
      </c>
      <c r="L55" t="n">
        <v>315000</v>
      </c>
      <c r="M55" t="n">
        <v>6979.836029248836</v>
      </c>
      <c r="N55" t="n">
        <v>45.13</v>
      </c>
      <c r="O55" t="inlineStr">
        <is>
          <t>2+k</t>
        </is>
      </c>
      <c r="Q55" t="inlineStr">
        <is>
          <t>Da się zamieszkać</t>
        </is>
      </c>
    </row>
    <row r="56">
      <c r="A56" t="n">
        <v>55</v>
      </c>
      <c r="B56" s="3" t="n">
        <v>45395</v>
      </c>
      <c r="C56" s="3" t="n">
        <v>45446</v>
      </c>
      <c r="D56" t="inlineStr">
        <is>
          <t>https://allegrolokalnie.pl/oferta/mieszkanie-lodz-baluty-41-m2-skr?navCategoryId=112739</t>
        </is>
      </c>
      <c r="E56">
        <f>HYPERLINK("https://allegrolokalnie.pl/oferta/mieszkanie-lodz-baluty-41-m2-skr?navCategoryId=112739", "https://allegrolokalnie.pl/oferta/mieszkanie-lodz-baluty-41-m2-skr?navCategoryId=112739")</f>
        <v/>
      </c>
      <c r="F56" t="inlineStr">
        <is>
          <t>pasieczna</t>
        </is>
      </c>
      <c r="G56" t="inlineStr">
        <is>
          <t>Bałuty</t>
        </is>
      </c>
      <c r="H56" t="inlineStr">
        <is>
          <t>Dalekie bałuty</t>
        </is>
      </c>
      <c r="I56" t="inlineStr">
        <is>
          <t>TAK</t>
        </is>
      </c>
      <c r="J56" t="inlineStr">
        <is>
          <t>TAK</t>
        </is>
      </c>
      <c r="K56" t="n">
        <v>500513962</v>
      </c>
      <c r="L56" t="n">
        <v>289900</v>
      </c>
      <c r="M56" t="n">
        <v>7070.731707317073</v>
      </c>
      <c r="N56" t="n">
        <v>41</v>
      </c>
      <c r="O56" t="inlineStr">
        <is>
          <t>2+k</t>
        </is>
      </c>
      <c r="P56" t="n">
        <v>11</v>
      </c>
      <c r="Q56" t="inlineStr">
        <is>
          <t>Da się zamieszkać</t>
        </is>
      </c>
    </row>
    <row r="57">
      <c r="A57" t="n">
        <v>56</v>
      </c>
      <c r="B57" s="3" t="n">
        <v>45396</v>
      </c>
      <c r="C57" s="3" t="n">
        <v>45432</v>
      </c>
      <c r="D57" t="inlineStr">
        <is>
          <t>https://www.olx.pl/d/oferta/mieszkanie-38-m2-2-pokoje-gorna-CID3-ID1007Hj.html</t>
        </is>
      </c>
      <c r="E57">
        <f>HYPERLINK("https://www.olx.pl/d/oferta/mieszkanie-38-m2-2-pokoje-gorna-CID3-ID1007Hj.html", "https://www.olx.pl/d/oferta/mieszkanie-38-m2-2-pokoje-gorna-CID3-ID1007Hj.html")</f>
        <v/>
      </c>
      <c r="F57" t="inlineStr">
        <is>
          <t xml:space="preserve">łączna </t>
        </is>
      </c>
      <c r="G57" t="inlineStr">
        <is>
          <t>Górna</t>
        </is>
      </c>
      <c r="H57" t="inlineStr">
        <is>
          <t>Górna</t>
        </is>
      </c>
      <c r="I57" t="inlineStr">
        <is>
          <t>TAK</t>
        </is>
      </c>
      <c r="J57" t="inlineStr">
        <is>
          <t>TAK</t>
        </is>
      </c>
      <c r="K57" t="n">
        <v>574506171</v>
      </c>
      <c r="L57" t="n">
        <v>265000</v>
      </c>
      <c r="M57" t="n">
        <v>6973.684210526316</v>
      </c>
      <c r="N57" t="n">
        <v>38</v>
      </c>
      <c r="O57" t="inlineStr">
        <is>
          <t>2+k</t>
        </is>
      </c>
      <c r="P57" t="n">
        <v>1</v>
      </c>
      <c r="Q57" t="inlineStr">
        <is>
          <t>Puste</t>
        </is>
      </c>
    </row>
    <row r="58">
      <c r="A58" t="n">
        <v>57</v>
      </c>
      <c r="B58" s="3" t="n">
        <v>45397</v>
      </c>
      <c r="C58" s="3" t="n">
        <v>45438</v>
      </c>
      <c r="D58" t="inlineStr">
        <is>
          <t>https://www.olx.pl/d/oferta/sprzedam-mieszkanie-lodz-retkinia-CID3-ID100p6d.html</t>
        </is>
      </c>
      <c r="E58">
        <f>HYPERLINK("https://www.olx.pl/d/oferta/sprzedam-mieszkanie-lodz-retkinia-CID3-ID100p6d.html", "https://www.olx.pl/d/oferta/sprzedam-mieszkanie-lodz-retkinia-CID3-ID100p6d.html")</f>
        <v/>
      </c>
      <c r="F58" t="inlineStr">
        <is>
          <t>komandorska</t>
        </is>
      </c>
      <c r="G58" t="inlineStr">
        <is>
          <t>Retkinia</t>
        </is>
      </c>
      <c r="H58" t="inlineStr">
        <is>
          <t>Retkinia</t>
        </is>
      </c>
      <c r="I58" t="inlineStr">
        <is>
          <t>TAK</t>
        </is>
      </c>
      <c r="J58" t="inlineStr">
        <is>
          <t>NIE</t>
        </is>
      </c>
      <c r="K58" t="n">
        <v>518189836</v>
      </c>
      <c r="L58" t="n">
        <v>310000</v>
      </c>
      <c r="M58" t="n">
        <v>7177.587404491781</v>
      </c>
      <c r="N58" t="n">
        <v>43.19</v>
      </c>
      <c r="O58" t="inlineStr">
        <is>
          <t>2+k</t>
        </is>
      </c>
      <c r="P58" t="n">
        <v>3</v>
      </c>
      <c r="Q58" t="inlineStr">
        <is>
          <t>Nie da się zamieszkać</t>
        </is>
      </c>
    </row>
    <row r="59">
      <c r="A59" t="n">
        <v>58</v>
      </c>
      <c r="B59" s="3" t="n">
        <v>45398</v>
      </c>
      <c r="C59" s="3" t="n">
        <v>45432</v>
      </c>
      <c r="D59" t="inlineStr">
        <is>
          <t>https://www.olx.pl/d/oferta/wyjatkowe-mieszkanie-na-dabrowie-CID3-IDZvg9y.html</t>
        </is>
      </c>
      <c r="E59">
        <f>HYPERLINK("https://www.olx.pl/d/oferta/wyjatkowe-mieszkanie-na-dabrowie-CID3-IDZvg9y.html", "https://www.olx.pl/d/oferta/wyjatkowe-mieszkanie-na-dabrowie-CID3-IDZvg9y.html")</f>
        <v/>
      </c>
      <c r="F59" t="inlineStr">
        <is>
          <t>Dabrowskiego</t>
        </is>
      </c>
      <c r="G59" t="inlineStr">
        <is>
          <t>Dąbrowa</t>
        </is>
      </c>
      <c r="H59" t="inlineStr">
        <is>
          <t>Dąbrowa</t>
        </is>
      </c>
      <c r="I59" t="inlineStr">
        <is>
          <t>TAK</t>
        </is>
      </c>
      <c r="J59" t="inlineStr">
        <is>
          <t>TAK</t>
        </is>
      </c>
      <c r="K59" t="n">
        <v>732062057</v>
      </c>
      <c r="L59" t="n">
        <v>330000</v>
      </c>
      <c r="M59" t="n">
        <v>6918.238993710692</v>
      </c>
      <c r="N59" t="n">
        <v>47.7</v>
      </c>
      <c r="O59" t="inlineStr">
        <is>
          <t>2+k</t>
        </is>
      </c>
      <c r="P59" t="n">
        <v>5</v>
      </c>
      <c r="Q59" t="inlineStr">
        <is>
          <t>Nie da się zamieszkać</t>
        </is>
      </c>
    </row>
    <row r="60">
      <c r="A60" t="n">
        <v>59</v>
      </c>
      <c r="B60" s="3" t="n">
        <v>45399</v>
      </c>
      <c r="C60" s="3" t="n">
        <v>45432</v>
      </c>
      <c r="D60" t="inlineStr">
        <is>
          <t>https://allegrolokalnie.pl/oferta/mieszkanie-lodz-widzew-zarzew-47-m2-o3s?navCategoryId=112739</t>
        </is>
      </c>
      <c r="E60">
        <f>HYPERLINK("https://allegrolokalnie.pl/oferta/mieszkanie-lodz-widzew-zarzew-47-m2-o3s?navCategoryId=112739", "https://allegrolokalnie.pl/oferta/mieszkanie-lodz-widzew-zarzew-47-m2-o3s?navCategoryId=112739")</f>
        <v/>
      </c>
      <c r="F60" t="inlineStr">
        <is>
          <t xml:space="preserve">gustawa morcinka </t>
        </is>
      </c>
      <c r="G60" t="inlineStr">
        <is>
          <t>Widzew</t>
        </is>
      </c>
      <c r="H60" t="inlineStr">
        <is>
          <t>Widzew blisko centrum</t>
        </is>
      </c>
      <c r="I60" t="inlineStr">
        <is>
          <t>TAK</t>
        </is>
      </c>
      <c r="J60" t="inlineStr">
        <is>
          <t>TAK</t>
        </is>
      </c>
      <c r="K60" t="n">
        <v>511719739</v>
      </c>
      <c r="L60" t="n">
        <v>311000</v>
      </c>
      <c r="M60" t="n">
        <v>6586.192291401949</v>
      </c>
      <c r="N60" t="n">
        <v>47.22</v>
      </c>
      <c r="O60" t="inlineStr">
        <is>
          <t>2+k</t>
        </is>
      </c>
      <c r="P60" t="n">
        <v>3</v>
      </c>
      <c r="Q60" t="inlineStr">
        <is>
          <t>Nie da się zamieszkać</t>
        </is>
      </c>
    </row>
    <row r="61">
      <c r="A61" t="n">
        <v>60</v>
      </c>
      <c r="B61" s="3" t="n">
        <v>45400</v>
      </c>
      <c r="C61" s="3" t="n">
        <v>45522</v>
      </c>
      <c r="D61" t="inlineStr">
        <is>
          <t>https://www.domiporta.pl/nieruchomosci/sprzedam-mieszkanie-trzypokojowe-lodz-widzew-rawska-48m2/155279388</t>
        </is>
      </c>
      <c r="E61">
        <f>HYPERLINK("https://www.domiporta.pl/nieruchomosci/sprzedam-mieszkanie-trzypokojowe-lodz-widzew-rawska-48m2/155279388", "https://www.domiporta.pl/nieruchomosci/sprzedam-mieszkanie-trzypokojowe-lodz-widzew-rawska-48m2/155279388")</f>
        <v/>
      </c>
      <c r="F61" t="inlineStr">
        <is>
          <t>rawska</t>
        </is>
      </c>
      <c r="G61" t="inlineStr">
        <is>
          <t>Górna</t>
        </is>
      </c>
      <c r="H61" t="inlineStr">
        <is>
          <t>Górna blisko centrum</t>
        </is>
      </c>
      <c r="I61" t="inlineStr">
        <is>
          <t>TAK</t>
        </is>
      </c>
      <c r="J61" t="inlineStr">
        <is>
          <t>NIE</t>
        </is>
      </c>
      <c r="K61" t="n">
        <v>699899199</v>
      </c>
      <c r="L61" t="n">
        <v>330000</v>
      </c>
      <c r="M61" t="n">
        <v>6889.352818371608</v>
      </c>
      <c r="N61" t="n">
        <v>47.9</v>
      </c>
      <c r="O61" t="inlineStr">
        <is>
          <t>3+k</t>
        </is>
      </c>
      <c r="P61" t="n">
        <v>0</v>
      </c>
      <c r="Q61" t="inlineStr">
        <is>
          <t>Nie da się zamieszkać</t>
        </is>
      </c>
    </row>
    <row r="62">
      <c r="A62" t="n">
        <v>61</v>
      </c>
      <c r="B62" s="3" t="n">
        <v>45401</v>
      </c>
      <c r="D62" t="inlineStr">
        <is>
          <t>https://nieruchomosci.gratka.pl/nieruchomosci/mieszkanie-lodz-widzew-tatrzanska/ob/36452487</t>
        </is>
      </c>
      <c r="E62">
        <f>HYPERLINK("https://nieruchomosci.gratka.pl/nieruchomosci/mieszkanie-lodz-widzew-tatrzanska/ob/36452487", "https://nieruchomosci.gratka.pl/nieruchomosci/mieszkanie-lodz-widzew-tatrzanska/ob/36452487")</f>
        <v/>
      </c>
      <c r="F62" t="inlineStr">
        <is>
          <t>tatrzańska</t>
        </is>
      </c>
      <c r="G62" t="inlineStr">
        <is>
          <t>Dąbrowa</t>
        </is>
      </c>
      <c r="H62" t="inlineStr">
        <is>
          <t>Dąbrowa</t>
        </is>
      </c>
      <c r="I62" t="inlineStr">
        <is>
          <t>NIE</t>
        </is>
      </c>
      <c r="J62" t="inlineStr">
        <is>
          <t>NIE</t>
        </is>
      </c>
      <c r="K62" t="n">
        <v>534039663</v>
      </c>
      <c r="L62" t="n">
        <v>352500</v>
      </c>
      <c r="M62" t="n">
        <v>7500</v>
      </c>
      <c r="N62" t="n">
        <v>47</v>
      </c>
      <c r="O62" t="inlineStr">
        <is>
          <t>2+k</t>
        </is>
      </c>
      <c r="P62" t="n">
        <v>3</v>
      </c>
      <c r="Q62" t="inlineStr">
        <is>
          <t>Nie da się zamieszkać</t>
        </is>
      </c>
    </row>
    <row r="63">
      <c r="A63" t="n">
        <v>62</v>
      </c>
      <c r="B63" s="3" t="n">
        <v>45402</v>
      </c>
      <c r="C63" s="3" t="n">
        <v>45510</v>
      </c>
      <c r="D63" t="inlineStr">
        <is>
          <t>https://www.otodom.pl/pl/oferta/loggiazarzew-swietna-lokalizacja1pokoj-rozklad-ID4qgrN.html</t>
        </is>
      </c>
      <c r="E63">
        <f>HYPERLINK("https://www.otodom.pl/pl/oferta/loggiazarzew-swietna-lokalizacja1pokoj-rozklad-ID4qgrN.html", "https://www.otodom.pl/pl/oferta/loggiazarzew-swietna-lokalizacja1pokoj-rozklad-ID4qgrN.html")</f>
        <v/>
      </c>
      <c r="F63" t="inlineStr">
        <is>
          <t>ozorkowska</t>
        </is>
      </c>
      <c r="G63" t="inlineStr">
        <is>
          <t>Górna</t>
        </is>
      </c>
      <c r="H63" t="inlineStr">
        <is>
          <t>Górna blisko centrum</t>
        </is>
      </c>
      <c r="I63" t="inlineStr">
        <is>
          <t>TAK</t>
        </is>
      </c>
      <c r="J63" t="inlineStr">
        <is>
          <t>TAK</t>
        </is>
      </c>
      <c r="K63" t="n">
        <v>530195255</v>
      </c>
      <c r="L63" t="n">
        <v>265000</v>
      </c>
      <c r="M63" t="n">
        <v>7089.352594970572</v>
      </c>
      <c r="N63" t="n">
        <v>37.38</v>
      </c>
      <c r="O63" t="inlineStr">
        <is>
          <t>1+k</t>
        </is>
      </c>
      <c r="P63" t="n">
        <v>0</v>
      </c>
      <c r="Q63" t="inlineStr">
        <is>
          <t>Nie da się zamieszkać</t>
        </is>
      </c>
      <c r="R63" t="inlineStr">
        <is>
          <t>29.07. Było 275000</t>
        </is>
      </c>
    </row>
    <row r="64">
      <c r="A64" t="n">
        <v>63</v>
      </c>
      <c r="B64" s="3" t="n">
        <v>45407</v>
      </c>
      <c r="C64" s="3" t="n">
        <v>45803</v>
      </c>
      <c r="D64" t="inlineStr">
        <is>
          <t>https://www.olx.pl/d/oferta/mieszkanie-lodz-CID3-IDYrskr.html</t>
        </is>
      </c>
      <c r="E64">
        <f>HYPERLINK("https://www.olx.pl/d/oferta/mieszkanie-lodz-CID3-IDYrskr.html", "https://www.olx.pl/d/oferta/mieszkanie-lodz-CID3-IDYrskr.html")</f>
        <v/>
      </c>
      <c r="F64" t="inlineStr">
        <is>
          <t>bolesława lesmiana</t>
        </is>
      </c>
      <c r="G64" t="inlineStr">
        <is>
          <t>Dąbrowa</t>
        </is>
      </c>
      <c r="H64" t="inlineStr">
        <is>
          <t>Dąbrowa</t>
        </is>
      </c>
      <c r="I64" t="inlineStr">
        <is>
          <t>TAK</t>
        </is>
      </c>
      <c r="J64" t="inlineStr">
        <is>
          <t>TAK</t>
        </is>
      </c>
      <c r="K64" t="n">
        <v>505926900</v>
      </c>
      <c r="L64" t="n">
        <v>330000</v>
      </c>
      <c r="M64" t="n">
        <v>7369.361322018758</v>
      </c>
      <c r="N64" t="n">
        <v>44.78</v>
      </c>
      <c r="O64" t="inlineStr">
        <is>
          <t>2+k</t>
        </is>
      </c>
      <c r="P64" t="n">
        <v>3</v>
      </c>
      <c r="Q64" t="inlineStr">
        <is>
          <t>Puste posprzątane</t>
        </is>
      </c>
    </row>
    <row r="65">
      <c r="A65" t="n">
        <v>64</v>
      </c>
      <c r="B65" s="3" t="n">
        <v>45408</v>
      </c>
      <c r="C65" s="3" t="n">
        <v>45467</v>
      </c>
      <c r="D65" t="inlineStr">
        <is>
          <t>https://www.oferty.net/mieszkanie-na-sprzedaz-lodz-polesie-37m2-2-pokoje-265000-pln-ba,1538756956</t>
        </is>
      </c>
      <c r="E65">
        <f>HYPERLINK("https://www.oferty.net/mieszkanie-na-sprzedaz-lodz-polesie-37m2-2-pokoje-265000-pln-ba,1538756956", "https://www.oferty.net/mieszkanie-na-sprzedaz-lodz-polesie-37m2-2-pokoje-265000-pln-ba,1538756956")</f>
        <v/>
      </c>
      <c r="F65" t="inlineStr">
        <is>
          <t>górna</t>
        </is>
      </c>
      <c r="G65" t="inlineStr">
        <is>
          <t>Polesie</t>
        </is>
      </c>
      <c r="H65" t="inlineStr">
        <is>
          <t>Polesie</t>
        </is>
      </c>
      <c r="I65" t="inlineStr">
        <is>
          <t>TAK</t>
        </is>
      </c>
      <c r="J65" t="inlineStr">
        <is>
          <t>NIE</t>
        </is>
      </c>
      <c r="K65" t="n">
        <v>725111011</v>
      </c>
      <c r="L65" t="n">
        <v>265000</v>
      </c>
      <c r="M65" t="n">
        <v>7162.162162162163</v>
      </c>
      <c r="N65" t="n">
        <v>37</v>
      </c>
      <c r="O65" t="inlineStr">
        <is>
          <t>2+k</t>
        </is>
      </c>
      <c r="P65" t="n">
        <v>3</v>
      </c>
      <c r="Q65" t="inlineStr">
        <is>
          <t>Nie da się zamieszkać</t>
        </is>
      </c>
    </row>
    <row r="66">
      <c r="A66" t="n">
        <v>65</v>
      </c>
      <c r="B66" s="3" t="n">
        <v>45409</v>
      </c>
      <c r="C66" s="3" t="n">
        <v>45510</v>
      </c>
      <c r="D66" t="inlineStr">
        <is>
          <t>https://www.otodom.pl/pl/oferta/dwa-pokoje-w-swietnej-lokalizacji-i-cenie-ID4qqVR</t>
        </is>
      </c>
      <c r="E66">
        <f>HYPERLINK("https://www.otodom.pl/pl/oferta/dwa-pokoje-w-swietnej-lokalizacji-i-cenie-ID4qqVR", "https://www.otodom.pl/pl/oferta/dwa-pokoje-w-swietnej-lokalizacji-i-cenie-ID4qqVR")</f>
        <v/>
      </c>
      <c r="F66" t="inlineStr">
        <is>
          <t>parcelacyjna</t>
        </is>
      </c>
      <c r="G66" t="inlineStr">
        <is>
          <t>Teofilów</t>
        </is>
      </c>
      <c r="H66" t="inlineStr">
        <is>
          <t>Teofilów</t>
        </is>
      </c>
      <c r="I66" t="inlineStr">
        <is>
          <t>TAK</t>
        </is>
      </c>
      <c r="J66" t="inlineStr">
        <is>
          <t>TAK</t>
        </is>
      </c>
      <c r="K66" t="n">
        <v>792734803</v>
      </c>
      <c r="L66" t="n">
        <v>268000</v>
      </c>
      <c r="M66" t="n">
        <v>7243.243243243243</v>
      </c>
      <c r="N66" t="n">
        <v>37</v>
      </c>
      <c r="O66" t="inlineStr">
        <is>
          <t>2+k</t>
        </is>
      </c>
      <c r="P66" t="n">
        <v>3</v>
      </c>
      <c r="Q66" t="inlineStr">
        <is>
          <t>Puste</t>
        </is>
      </c>
      <c r="R66" t="inlineStr">
        <is>
          <t>Było nie aktywne od 20.05 wróciło w czasie do 02.08</t>
        </is>
      </c>
    </row>
    <row r="67">
      <c r="A67" t="n">
        <v>66</v>
      </c>
      <c r="B67" s="3" t="n">
        <v>45410</v>
      </c>
      <c r="C67" s="3" t="n">
        <v>45438</v>
      </c>
      <c r="D67" t="inlineStr">
        <is>
          <t>https://www.olx.pl/d/oferta/widzew-m3-z-mozliwoscia-m4-CID3-ID101mBw.html</t>
        </is>
      </c>
      <c r="E67">
        <f>HYPERLINK("https://www.olx.pl/d/oferta/widzew-m3-z-mozliwoscia-m4-CID3-ID101mBw.html", "https://www.olx.pl/d/oferta/widzew-m3-z-mozliwoscia-m4-CID3-ID101mBw.html")</f>
        <v/>
      </c>
      <c r="F67" t="inlineStr">
        <is>
          <t xml:space="preserve">sacharowa </t>
        </is>
      </c>
      <c r="G67" t="inlineStr">
        <is>
          <t>Widzew</t>
        </is>
      </c>
      <c r="H67" t="inlineStr">
        <is>
          <t>Widzew</t>
        </is>
      </c>
      <c r="I67" t="inlineStr">
        <is>
          <t>TAK</t>
        </is>
      </c>
      <c r="J67" t="inlineStr">
        <is>
          <t>TAK</t>
        </is>
      </c>
      <c r="K67" t="n">
        <v>576317000</v>
      </c>
      <c r="L67" t="n">
        <v>320000</v>
      </c>
      <c r="M67" t="n">
        <v>6956.521739130435</v>
      </c>
      <c r="N67" t="n">
        <v>46</v>
      </c>
      <c r="O67" t="inlineStr">
        <is>
          <t>2+k</t>
        </is>
      </c>
      <c r="P67" t="n">
        <v>3</v>
      </c>
      <c r="Q67" t="inlineStr">
        <is>
          <t>Puste</t>
        </is>
      </c>
      <c r="R67" t="inlineStr">
        <is>
          <t>da się zrobic 3 pokój</t>
        </is>
      </c>
    </row>
    <row r="68">
      <c r="A68" t="n">
        <v>67</v>
      </c>
      <c r="B68" s="3" t="n">
        <v>45411</v>
      </c>
      <c r="C68" s="3" t="n">
        <v>45456</v>
      </c>
      <c r="D68" t="inlineStr">
        <is>
          <t>https://adresowo.pl/o/g6c0g8</t>
        </is>
      </c>
      <c r="E68">
        <f>HYPERLINK("https://adresowo.pl/o/g6c0g8", "https://adresowo.pl/o/g6c0g8")</f>
        <v/>
      </c>
      <c r="F68" t="inlineStr">
        <is>
          <t>bedzińska</t>
        </is>
      </c>
      <c r="G68" t="inlineStr">
        <is>
          <t>Górna</t>
        </is>
      </c>
      <c r="H68" t="inlineStr">
        <is>
          <t>Daleka górna</t>
        </is>
      </c>
      <c r="I68" t="inlineStr">
        <is>
          <t>TAK</t>
        </is>
      </c>
      <c r="J68" t="inlineStr">
        <is>
          <t>TAK</t>
        </is>
      </c>
      <c r="L68" t="n">
        <v>365000</v>
      </c>
      <c r="M68" t="n">
        <v>7496.405832819882</v>
      </c>
      <c r="N68" t="n">
        <v>48.69</v>
      </c>
      <c r="O68" t="inlineStr">
        <is>
          <t>2+k</t>
        </is>
      </c>
      <c r="P68" t="n">
        <v>2</v>
      </c>
      <c r="Q68" t="inlineStr">
        <is>
          <t>Nie da się zamieszkać</t>
        </is>
      </c>
    </row>
    <row r="69">
      <c r="A69" t="n">
        <v>68</v>
      </c>
      <c r="B69" s="3" t="n">
        <v>45412</v>
      </c>
      <c r="C69" s="3" t="n">
        <v>45432</v>
      </c>
      <c r="D69" t="inlineStr">
        <is>
          <t>https://allegrolokalnie.pl/oferta/mieszkanie-lodz-gorna-33-m2-jwm?navCategoryId=112739</t>
        </is>
      </c>
      <c r="E69">
        <f>HYPERLINK("https://allegrolokalnie.pl/oferta/mieszkanie-lodz-gorna-33-m2-jwm?navCategoryId=112739", "https://allegrolokalnie.pl/oferta/mieszkanie-lodz-gorna-33-m2-jwm?navCategoryId=112739")</f>
        <v/>
      </c>
      <c r="G69" t="inlineStr">
        <is>
          <t>Górna</t>
        </is>
      </c>
      <c r="H69" t="inlineStr">
        <is>
          <t>Górna blisko centrum</t>
        </is>
      </c>
      <c r="I69" t="inlineStr">
        <is>
          <t>TAK</t>
        </is>
      </c>
      <c r="J69" t="inlineStr">
        <is>
          <t>NIE</t>
        </is>
      </c>
      <c r="K69" t="n">
        <v>733666290</v>
      </c>
      <c r="L69" t="n">
        <v>229300</v>
      </c>
      <c r="M69" t="n">
        <v>6948.484848484848</v>
      </c>
      <c r="N69" t="n">
        <v>33</v>
      </c>
      <c r="O69" t="inlineStr">
        <is>
          <t>1+k</t>
        </is>
      </c>
      <c r="P69" t="n">
        <v>1</v>
      </c>
      <c r="Q69" t="inlineStr">
        <is>
          <t>Nie da się zamieszkać</t>
        </is>
      </c>
    </row>
    <row r="70">
      <c r="A70" t="n">
        <v>69</v>
      </c>
      <c r="B70" s="3" t="n">
        <v>45413</v>
      </c>
      <c r="C70" s="3" t="n">
        <v>45456</v>
      </c>
      <c r="D70" t="inlineStr">
        <is>
          <t>https://www.olx.pl/d/oferta/m2-kasprzaka-koziny-kawalerka-z-duza-kuchnia-CID3-ID102uac.html</t>
        </is>
      </c>
      <c r="E70">
        <f>HYPERLINK("https://www.olx.pl/d/oferta/m2-kasprzaka-koziny-kawalerka-z-duza-kuchnia-CID3-ID102uac.html", "https://www.olx.pl/d/oferta/m2-kasprzaka-koziny-kawalerka-z-duza-kuchnia-CID3-ID102uac.html")</f>
        <v/>
      </c>
      <c r="F70" t="inlineStr">
        <is>
          <t>.</t>
        </is>
      </c>
      <c r="G70" t="inlineStr">
        <is>
          <t>Polesie</t>
        </is>
      </c>
      <c r="H70" t="inlineStr">
        <is>
          <t>Polesie</t>
        </is>
      </c>
      <c r="I70" t="inlineStr">
        <is>
          <t>TAK</t>
        </is>
      </c>
      <c r="J70" t="inlineStr">
        <is>
          <t>TAK</t>
        </is>
      </c>
      <c r="K70" t="n">
        <v>609255555</v>
      </c>
      <c r="L70" t="n">
        <v>274000</v>
      </c>
      <c r="M70" t="n">
        <v>7135.416666666667</v>
      </c>
      <c r="N70" t="n">
        <v>38.4</v>
      </c>
      <c r="O70" t="inlineStr">
        <is>
          <t>2+k</t>
        </is>
      </c>
      <c r="P70" t="n">
        <v>0</v>
      </c>
      <c r="Q70" t="inlineStr">
        <is>
          <t>Da się zamieszkać</t>
        </is>
      </c>
    </row>
    <row r="71">
      <c r="A71" t="n">
        <v>70</v>
      </c>
      <c r="B71" s="3" t="n">
        <v>45414</v>
      </c>
      <c r="C71" s="3" t="n">
        <v>45456</v>
      </c>
      <c r="D71" t="inlineStr">
        <is>
          <t>https://www.otodom.pl/pl/oferta/2-pokoje-teofilow-37-5mkw-balkon-zielen-ID4qsVL</t>
        </is>
      </c>
      <c r="E71">
        <f>HYPERLINK("https://www.otodom.pl/pl/oferta/2-pokoje-teofilow-37-5mkw-balkon-zielen-ID4qsVL", "https://www.otodom.pl/pl/oferta/2-pokoje-teofilow-37-5mkw-balkon-zielen-ID4qsVL")</f>
        <v/>
      </c>
      <c r="F71" t="inlineStr">
        <is>
          <t>łanowa</t>
        </is>
      </c>
      <c r="G71" t="inlineStr">
        <is>
          <t>Teofilów</t>
        </is>
      </c>
      <c r="H71" t="inlineStr">
        <is>
          <t>Teofilów</t>
        </is>
      </c>
      <c r="I71" t="inlineStr">
        <is>
          <t>TAK</t>
        </is>
      </c>
      <c r="J71" t="inlineStr">
        <is>
          <t>TAK</t>
        </is>
      </c>
      <c r="K71" t="n">
        <v>511000217</v>
      </c>
      <c r="L71" t="n">
        <v>280000</v>
      </c>
      <c r="M71" t="n">
        <v>7466.666666666667</v>
      </c>
      <c r="N71" t="n">
        <v>37.5</v>
      </c>
      <c r="O71" t="inlineStr">
        <is>
          <t>2+k</t>
        </is>
      </c>
      <c r="P71" t="n">
        <v>3</v>
      </c>
      <c r="Q71" t="inlineStr">
        <is>
          <t>Puste</t>
        </is>
      </c>
    </row>
    <row r="72">
      <c r="A72" t="n">
        <v>71</v>
      </c>
      <c r="B72" s="3" t="n">
        <v>45415</v>
      </c>
      <c r="C72" s="3" t="n">
        <v>45432</v>
      </c>
      <c r="D72" t="inlineStr">
        <is>
          <t>https://allegrolokalnie.pl/oferta/mieszkanie-lodz-baluty-37-m2-du3?navCategoryId=112739</t>
        </is>
      </c>
      <c r="E72">
        <f>HYPERLINK("https://allegrolokalnie.pl/oferta/mieszkanie-lodz-baluty-37-m2-du3?navCategoryId=112739", "https://allegrolokalnie.pl/oferta/mieszkanie-lodz-baluty-37-m2-du3?navCategoryId=112739")</f>
        <v/>
      </c>
      <c r="F72" t="inlineStr">
        <is>
          <t>rojna</t>
        </is>
      </c>
      <c r="G72" t="inlineStr">
        <is>
          <t>Teofilów</t>
        </is>
      </c>
      <c r="H72" t="inlineStr">
        <is>
          <t>Teofilów</t>
        </is>
      </c>
      <c r="I72" t="inlineStr">
        <is>
          <t>TAK</t>
        </is>
      </c>
      <c r="J72" t="inlineStr">
        <is>
          <t>TAK</t>
        </is>
      </c>
      <c r="K72" t="n">
        <v>792333037</v>
      </c>
      <c r="L72" t="n">
        <v>243000</v>
      </c>
      <c r="M72" t="n">
        <v>6567.567390065747</v>
      </c>
      <c r="N72" t="n">
        <v>37.000001</v>
      </c>
      <c r="O72" t="inlineStr">
        <is>
          <t>2+k</t>
        </is>
      </c>
      <c r="P72" t="n">
        <v>3</v>
      </c>
      <c r="Q72" t="inlineStr">
        <is>
          <t>Nie da się zamieszkać</t>
        </is>
      </c>
      <c r="R72" t="n">
        <v>0</v>
      </c>
    </row>
    <row r="73">
      <c r="A73" t="n">
        <v>72</v>
      </c>
      <c r="B73" s="3" t="n">
        <v>45420</v>
      </c>
      <c r="C73" s="3" t="n">
        <v>45467</v>
      </c>
      <c r="D73" t="inlineStr">
        <is>
          <t>https://allegrolokalnie.pl/oferta/mieszkanie-lodz-srodmiescie-42-m2-ie4?navCategoryId=112739</t>
        </is>
      </c>
      <c r="E73">
        <f>HYPERLINK("https://allegrolokalnie.pl/oferta/mieszkanie-lodz-srodmiescie-42-m2-ie4?navCategoryId=112739", "https://allegrolokalnie.pl/oferta/mieszkanie-lodz-srodmiescie-42-m2-ie4?navCategoryId=112739")</f>
        <v/>
      </c>
      <c r="F73" t="inlineStr">
        <is>
          <t>pomorska</t>
        </is>
      </c>
      <c r="G73" t="inlineStr">
        <is>
          <t>Śródmieście</t>
        </is>
      </c>
      <c r="H73" t="inlineStr">
        <is>
          <t>Śródmieście</t>
        </is>
      </c>
      <c r="I73" t="inlineStr">
        <is>
          <t>TAK</t>
        </is>
      </c>
      <c r="J73" t="inlineStr">
        <is>
          <t>TAK</t>
        </is>
      </c>
      <c r="K73" t="n">
        <v>792333037</v>
      </c>
      <c r="L73" t="n">
        <v>265000</v>
      </c>
      <c r="M73" t="n">
        <v>6309.523809523809</v>
      </c>
      <c r="N73" t="n">
        <v>42</v>
      </c>
      <c r="O73" t="inlineStr">
        <is>
          <t>2+k</t>
        </is>
      </c>
      <c r="P73" t="n">
        <v>2</v>
      </c>
      <c r="Q73" t="inlineStr">
        <is>
          <t>Da się zamieszkać</t>
        </is>
      </c>
    </row>
    <row r="74">
      <c r="A74" t="n">
        <v>73</v>
      </c>
      <c r="B74" s="3" t="n">
        <v>45420</v>
      </c>
      <c r="D74" t="inlineStr">
        <is>
          <t>https://www.otodom.pl/pl/oferta/m-3-45m2-teofilow-2pietro-balkon-pelny-rozklad-ID4scLV</t>
        </is>
      </c>
      <c r="E74">
        <f>HYPERLINK("https://www.otodom.pl/pl/oferta/m-3-45m2-teofilow-2pietro-balkon-pelny-rozklad-ID4scLV", "https://www.otodom.pl/pl/oferta/m-3-45m2-teofilow-2pietro-balkon-pelny-rozklad-ID4scLV")</f>
        <v/>
      </c>
      <c r="F74" t="inlineStr">
        <is>
          <t>traktorowa</t>
        </is>
      </c>
      <c r="G74" t="inlineStr">
        <is>
          <t>Teofilów</t>
        </is>
      </c>
      <c r="H74" t="inlineStr">
        <is>
          <t>Teofilów</t>
        </is>
      </c>
      <c r="I74" t="inlineStr">
        <is>
          <t>NIE</t>
        </is>
      </c>
      <c r="J74" t="inlineStr">
        <is>
          <t>TAK</t>
        </is>
      </c>
      <c r="K74" t="n">
        <v>668669393</v>
      </c>
      <c r="L74" t="n">
        <v>290000</v>
      </c>
      <c r="M74" t="n">
        <v>6444.444444444444</v>
      </c>
      <c r="N74" t="n">
        <v>45</v>
      </c>
      <c r="O74" t="inlineStr">
        <is>
          <t>2+k</t>
        </is>
      </c>
      <c r="P74" t="n">
        <v>2</v>
      </c>
      <c r="Q74" t="inlineStr">
        <is>
          <t>Nie da się zamieszkać</t>
        </is>
      </c>
      <c r="R74" t="inlineStr">
        <is>
          <t>było 309000 30.07 było 300</t>
        </is>
      </c>
    </row>
    <row r="75">
      <c r="A75" t="n">
        <v>74</v>
      </c>
      <c r="B75" s="3" t="n">
        <v>45420</v>
      </c>
      <c r="C75" s="3" t="n">
        <v>45438</v>
      </c>
      <c r="D75" t="inlineStr">
        <is>
          <t>https://gratka.pl/nieruchomosci/mieszkanie-lodz-teofilow/ob/34512597</t>
        </is>
      </c>
      <c r="E75">
        <f>HYPERLINK("https://gratka.pl/nieruchomosci/mieszkanie-lodz-teofilow/ob/34512597", "https://gratka.pl/nieruchomosci/mieszkanie-lodz-teofilow/ob/34512597")</f>
        <v/>
      </c>
      <c r="F75" t="inlineStr">
        <is>
          <t>traktorowa</t>
        </is>
      </c>
      <c r="G75" t="inlineStr">
        <is>
          <t>Teofilów</t>
        </is>
      </c>
      <c r="H75" t="inlineStr">
        <is>
          <t>Teofilów</t>
        </is>
      </c>
      <c r="I75" t="inlineStr">
        <is>
          <t>TAK</t>
        </is>
      </c>
      <c r="J75" t="inlineStr">
        <is>
          <t>TAK</t>
        </is>
      </c>
      <c r="K75" t="n">
        <v>509655943</v>
      </c>
      <c r="L75" t="n">
        <v>275000</v>
      </c>
      <c r="M75" t="n">
        <v>6111.109753086721</v>
      </c>
      <c r="N75" t="n">
        <v>45.00001</v>
      </c>
      <c r="O75" t="inlineStr">
        <is>
          <t>2+k</t>
        </is>
      </c>
      <c r="P75" t="n">
        <v>0</v>
      </c>
      <c r="Q75" t="inlineStr">
        <is>
          <t>Nie da się zamieszkać</t>
        </is>
      </c>
      <c r="R75" t="n">
        <v>0</v>
      </c>
    </row>
    <row r="76">
      <c r="A76" t="n">
        <v>75</v>
      </c>
      <c r="B76" s="3" t="n">
        <v>45420</v>
      </c>
      <c r="C76" s="3" t="n">
        <v>45456</v>
      </c>
      <c r="D76" t="inlineStr">
        <is>
          <t>https://www.olx.pl/d/oferta/m4-blisko-parku-podolskiego-CID3-ID103Gdl.html?isPreviewActive=0&amp;sliderIndex=4</t>
        </is>
      </c>
      <c r="E76">
        <f>HYPERLINK("https://www.olx.pl/d/oferta/m4-blisko-parku-podolskiego-CID3-ID103Gdl.html?isPreviewActive=0&amp;sliderIndex=4", "https://www.olx.pl/d/oferta/m4-blisko-parku-podolskiego-CID3-ID103Gdl.html?isPreviewActive=0&amp;sliderIndex=4")</f>
        <v/>
      </c>
      <c r="F76" t="inlineStr">
        <is>
          <t>park podolskiego</t>
        </is>
      </c>
      <c r="G76" t="inlineStr">
        <is>
          <t>Dąbrowa</t>
        </is>
      </c>
      <c r="H76" t="inlineStr">
        <is>
          <t>Dąbrowa</t>
        </is>
      </c>
      <c r="I76" t="inlineStr">
        <is>
          <t>TAK</t>
        </is>
      </c>
      <c r="J76" t="inlineStr">
        <is>
          <t>TAK</t>
        </is>
      </c>
      <c r="K76" t="n">
        <v>690377704</v>
      </c>
      <c r="L76" t="n">
        <v>352500</v>
      </c>
      <c r="M76" t="n">
        <v>7500</v>
      </c>
      <c r="N76" t="n">
        <v>47</v>
      </c>
      <c r="O76" t="inlineStr">
        <is>
          <t>3+k</t>
        </is>
      </c>
      <c r="P76" t="n">
        <v>3</v>
      </c>
      <c r="Q76" t="inlineStr">
        <is>
          <t>Nie da się zamieszkać</t>
        </is>
      </c>
    </row>
    <row r="77">
      <c r="A77" t="n">
        <v>76</v>
      </c>
      <c r="B77" s="3" t="n">
        <v>45420</v>
      </c>
      <c r="C77" s="3" t="n">
        <v>45432</v>
      </c>
      <c r="D77" t="inlineStr">
        <is>
          <t>https://www.otodom.pl/pl/oferta/rezerwacja-2-pokoje-na-dabrowie-2-pietro-ID4qu1u</t>
        </is>
      </c>
      <c r="E77">
        <f>HYPERLINK("https://www.otodom.pl/pl/oferta/rezerwacja-2-pokoje-na-dabrowie-2-pietro-ID4qu1u", "https://www.otodom.pl/pl/oferta/rezerwacja-2-pokoje-na-dabrowie-2-pietro-ID4qu1u")</f>
        <v/>
      </c>
      <c r="F77" t="inlineStr">
        <is>
          <t>.</t>
        </is>
      </c>
      <c r="G77" t="inlineStr">
        <is>
          <t>Dąbrowa</t>
        </is>
      </c>
      <c r="H77" t="inlineStr">
        <is>
          <t>Dąbrowa</t>
        </is>
      </c>
      <c r="I77" t="inlineStr">
        <is>
          <t>TAK</t>
        </is>
      </c>
      <c r="J77" t="inlineStr">
        <is>
          <t>TAK</t>
        </is>
      </c>
      <c r="K77" t="n">
        <v>789635952</v>
      </c>
      <c r="L77" t="n">
        <v>235000</v>
      </c>
      <c r="M77" t="n">
        <v>6527.777777777777</v>
      </c>
      <c r="N77" t="n">
        <v>36</v>
      </c>
      <c r="O77" t="inlineStr">
        <is>
          <t>2+k</t>
        </is>
      </c>
      <c r="P77" t="n">
        <v>2</v>
      </c>
      <c r="Q77" t="inlineStr">
        <is>
          <t>Nie da się zamieszkać</t>
        </is>
      </c>
      <c r="T77" t="inlineStr">
        <is>
          <t>359, 817, 852</t>
        </is>
      </c>
    </row>
    <row r="78">
      <c r="A78" t="n">
        <v>77</v>
      </c>
      <c r="B78" s="3" t="n">
        <v>45420</v>
      </c>
      <c r="C78" s="3" t="n">
        <v>45438</v>
      </c>
      <c r="D78" t="inlineStr">
        <is>
          <t>https://allegrolokalnie.pl/oferta/mieszkanie-lodz-polesie-44-m2-rks?navCategoryId=112739</t>
        </is>
      </c>
      <c r="E78">
        <f>HYPERLINK("https://allegrolokalnie.pl/oferta/mieszkanie-lodz-polesie-44-m2-rks?navCategoryId=112739", "https://allegrolokalnie.pl/oferta/mieszkanie-lodz-polesie-44-m2-rks?navCategoryId=112739")</f>
        <v/>
      </c>
      <c r="F78" t="inlineStr">
        <is>
          <t>wileńska</t>
        </is>
      </c>
      <c r="G78" t="inlineStr">
        <is>
          <t>Retkinia</t>
        </is>
      </c>
      <c r="H78" t="inlineStr">
        <is>
          <t>Retkinia blisko centrum</t>
        </is>
      </c>
      <c r="I78" t="inlineStr">
        <is>
          <t>TAK</t>
        </is>
      </c>
      <c r="J78" t="inlineStr">
        <is>
          <t>TAK</t>
        </is>
      </c>
      <c r="K78" t="n">
        <v>668669393</v>
      </c>
      <c r="L78" t="n">
        <v>310000</v>
      </c>
      <c r="M78" t="n">
        <v>7126.436781609195</v>
      </c>
      <c r="N78" t="n">
        <v>43.5</v>
      </c>
      <c r="O78" t="inlineStr">
        <is>
          <t>2+k</t>
        </is>
      </c>
      <c r="Q78" t="inlineStr">
        <is>
          <t>Nie da się zamieszkać</t>
        </is>
      </c>
    </row>
    <row r="79">
      <c r="A79" t="n">
        <v>78</v>
      </c>
      <c r="B79" s="3" t="n">
        <v>45421</v>
      </c>
      <c r="C79" s="3" t="n">
        <v>45438</v>
      </c>
      <c r="D79" t="inlineStr">
        <is>
          <t>https://www.otodom.pl/pl/oferta/3-pokoje-gorniak-balkon-wierzowiec-ID4qw0a</t>
        </is>
      </c>
      <c r="E79">
        <f>HYPERLINK("https://www.otodom.pl/pl/oferta/3-pokoje-gorniak-balkon-wierzowiec-ID4qw0a", "https://www.otodom.pl/pl/oferta/3-pokoje-gorniak-balkon-wierzowiec-ID4qw0a")</f>
        <v/>
      </c>
      <c r="F79" t="inlineStr">
        <is>
          <t>Ciołkowskiego</t>
        </is>
      </c>
      <c r="G79" t="inlineStr">
        <is>
          <t>Górna</t>
        </is>
      </c>
      <c r="H79" t="inlineStr">
        <is>
          <t>Górna</t>
        </is>
      </c>
      <c r="I79" t="inlineStr">
        <is>
          <t>TAK</t>
        </is>
      </c>
      <c r="J79" t="inlineStr">
        <is>
          <t>TAK</t>
        </is>
      </c>
      <c r="K79" t="n">
        <v>534133318</v>
      </c>
      <c r="L79" t="n">
        <v>360000</v>
      </c>
      <c r="M79" t="n">
        <v>7500</v>
      </c>
      <c r="N79" t="n">
        <v>48</v>
      </c>
      <c r="O79" t="inlineStr">
        <is>
          <t>2+k</t>
        </is>
      </c>
      <c r="P79" t="n">
        <v>5</v>
      </c>
      <c r="Q79" t="inlineStr">
        <is>
          <t>Puste posprzątane</t>
        </is>
      </c>
    </row>
    <row r="80">
      <c r="A80" t="n">
        <v>79</v>
      </c>
      <c r="B80" s="3" t="n">
        <v>45421</v>
      </c>
      <c r="C80" s="3" t="n">
        <v>45475</v>
      </c>
      <c r="D80" t="inlineStr">
        <is>
          <t>https://www.otodom.pl/pl/oferta/przepis-palce-lizac-ID4quXe.html</t>
        </is>
      </c>
      <c r="E80">
        <f>HYPERLINK("https://www.otodom.pl/pl/oferta/przepis-palce-lizac-ID4quXe.html", "https://www.otodom.pl/pl/oferta/przepis-palce-lizac-ID4quXe.html")</f>
        <v/>
      </c>
      <c r="F80" t="inlineStr">
        <is>
          <t>.</t>
        </is>
      </c>
      <c r="G80" t="inlineStr">
        <is>
          <t>Bałuty</t>
        </is>
      </c>
      <c r="H80" t="inlineStr">
        <is>
          <t>Bałuty blisko centrum</t>
        </is>
      </c>
      <c r="I80" t="inlineStr">
        <is>
          <t>TAK</t>
        </is>
      </c>
      <c r="J80" t="inlineStr">
        <is>
          <t>TAK</t>
        </is>
      </c>
      <c r="K80" t="n">
        <v>886642062</v>
      </c>
      <c r="L80" t="n">
        <v>200000</v>
      </c>
      <c r="M80" t="n">
        <v>6153.846153846154</v>
      </c>
      <c r="N80" t="n">
        <v>32.5</v>
      </c>
      <c r="O80" t="inlineStr">
        <is>
          <t>1+k</t>
        </is>
      </c>
      <c r="P80" t="n">
        <v>2</v>
      </c>
      <c r="Q80" t="inlineStr">
        <is>
          <t>Nie da się zamieszkać</t>
        </is>
      </c>
      <c r="R80" t="inlineStr">
        <is>
          <t xml:space="preserve">da się zrobic m3 </t>
        </is>
      </c>
    </row>
    <row r="81">
      <c r="A81" t="n">
        <v>80</v>
      </c>
      <c r="B81" s="3" t="n">
        <v>45421</v>
      </c>
      <c r="C81" s="3" t="n">
        <v>45438</v>
      </c>
      <c r="D81" t="inlineStr">
        <is>
          <t>https://www.otodom.pl/pl/oferta/rozkladowe-m3-obok-parku-ul-traktorowa-ID4qwsr.html</t>
        </is>
      </c>
      <c r="E81">
        <f>HYPERLINK("https://www.otodom.pl/pl/oferta/rozkladowe-m3-obok-parku-ul-traktorowa-ID4qwsr.html", "https://www.otodom.pl/pl/oferta/rozkladowe-m3-obok-parku-ul-traktorowa-ID4qwsr.html")</f>
        <v/>
      </c>
      <c r="F81" t="inlineStr">
        <is>
          <t>traktorowa</t>
        </is>
      </c>
      <c r="G81" t="inlineStr">
        <is>
          <t>Teofilów</t>
        </is>
      </c>
      <c r="H81" t="inlineStr">
        <is>
          <t>Teofilów</t>
        </is>
      </c>
      <c r="I81" t="inlineStr">
        <is>
          <t>TAK</t>
        </is>
      </c>
      <c r="J81" t="inlineStr">
        <is>
          <t>TAK</t>
        </is>
      </c>
      <c r="K81" t="n">
        <v>509655943</v>
      </c>
      <c r="L81" t="n">
        <v>259000</v>
      </c>
      <c r="M81" t="n">
        <v>5755.555542765432</v>
      </c>
      <c r="N81" t="n">
        <v>45.0000001</v>
      </c>
      <c r="O81" t="inlineStr">
        <is>
          <t>2+k</t>
        </is>
      </c>
      <c r="P81" t="n">
        <v>0</v>
      </c>
      <c r="Q81" t="inlineStr">
        <is>
          <t>Nie da się zamieszkać</t>
        </is>
      </c>
      <c r="R81" t="n">
        <v>0</v>
      </c>
    </row>
    <row r="82">
      <c r="A82" t="n">
        <v>81</v>
      </c>
      <c r="B82" s="3" t="n">
        <v>45422</v>
      </c>
      <c r="C82" t="inlineStr">
        <is>
          <t>https://domy.pl/mieszkanie/lodz-baluty-lanowa-2-pokoje-308000-pln-44m2-sba/dol1741405851</t>
        </is>
      </c>
      <c r="D82" t="inlineStr">
        <is>
          <t>https://www.olx.pl/d/oferta/m3-na-2-pietrze-teofilow-CID3-ID105ou9.html</t>
        </is>
      </c>
      <c r="E82">
        <f>HYPERLINK("https://www.olx.pl/d/oferta/m3-na-2-pietrze-teofilow-CID3-ID105ou9.html", "https://www.olx.pl/d/oferta/m3-na-2-pietrze-teofilow-CID3-ID105ou9.html")</f>
        <v/>
      </c>
      <c r="F82" t="inlineStr">
        <is>
          <t>łanowa</t>
        </is>
      </c>
      <c r="G82" t="inlineStr">
        <is>
          <t>Teofilów</t>
        </is>
      </c>
      <c r="H82" t="inlineStr">
        <is>
          <t>Teofilów</t>
        </is>
      </c>
      <c r="I82" t="inlineStr">
        <is>
          <t>TAK</t>
        </is>
      </c>
      <c r="J82" t="inlineStr">
        <is>
          <t>TAK</t>
        </is>
      </c>
      <c r="K82" t="n">
        <v>517827480</v>
      </c>
      <c r="L82" t="n">
        <v>308000</v>
      </c>
      <c r="M82" t="n">
        <v>6890.380313199104</v>
      </c>
      <c r="N82" t="n">
        <v>44.7</v>
      </c>
      <c r="O82" t="inlineStr">
        <is>
          <t>2+k</t>
        </is>
      </c>
      <c r="P82" t="n">
        <v>2</v>
      </c>
      <c r="Q82" t="inlineStr">
        <is>
          <t>Puste posprzątane</t>
        </is>
      </c>
      <c r="R82" t="inlineStr">
        <is>
          <t xml:space="preserve">12.09 było 312 </t>
        </is>
      </c>
    </row>
    <row r="83">
      <c r="A83" t="n">
        <v>82</v>
      </c>
      <c r="B83" s="3" t="n">
        <v>45423</v>
      </c>
      <c r="C83" s="3" t="n">
        <v>45432</v>
      </c>
      <c r="D83" t="inlineStr">
        <is>
          <t>https://www.olx.pl/d/oferta/2-pokoje-do-remontu-balkon-prywatnie-CID3-ID105K4z.html?isPreviewActive=0&amp;sliderIndex=5</t>
        </is>
      </c>
      <c r="E83">
        <f>HYPERLINK("https://www.olx.pl/d/oferta/2-pokoje-do-remontu-balkon-prywatnie-CID3-ID105K4z.html?isPreviewActive=0&amp;sliderIndex=5", "https://www.olx.pl/d/oferta/2-pokoje-do-remontu-balkon-prywatnie-CID3-ID105K4z.html?isPreviewActive=0&amp;sliderIndex=5")</f>
        <v/>
      </c>
      <c r="F83" t="inlineStr">
        <is>
          <t>.</t>
        </is>
      </c>
      <c r="G83" t="inlineStr">
        <is>
          <t>Teofilów</t>
        </is>
      </c>
      <c r="H83" t="inlineStr">
        <is>
          <t>Teofilów</t>
        </is>
      </c>
      <c r="I83" t="inlineStr">
        <is>
          <t>TAK</t>
        </is>
      </c>
      <c r="J83" t="inlineStr">
        <is>
          <t>NIE</t>
        </is>
      </c>
      <c r="K83" t="n">
        <v>536230493</v>
      </c>
      <c r="L83" t="n">
        <v>299000</v>
      </c>
      <c r="M83" t="n">
        <v>6634.124694919014</v>
      </c>
      <c r="N83" t="n">
        <v>45.07</v>
      </c>
      <c r="O83" t="inlineStr">
        <is>
          <t>2+k</t>
        </is>
      </c>
      <c r="P83" t="n">
        <v>3</v>
      </c>
      <c r="Q83" t="inlineStr">
        <is>
          <t>Puste</t>
        </is>
      </c>
      <c r="R83" t="inlineStr">
        <is>
          <t xml:space="preserve">sprzedane na pewno za około ofertową </t>
        </is>
      </c>
    </row>
    <row r="84">
      <c r="A84" t="n">
        <v>83</v>
      </c>
      <c r="B84" s="3" t="n">
        <v>45423</v>
      </c>
      <c r="C84" s="3" t="n">
        <v>45456</v>
      </c>
      <c r="D84" t="inlineStr">
        <is>
          <t>https://szybko.pl/o/na-sprzedaz/lokal-mieszkalny+mieszkanie/Łódź+Bałuty/oferta-15383064</t>
        </is>
      </c>
      <c r="E84">
        <f>HYPERLINK("https://szybko.pl/o/na-sprzedaz/lokal-mieszkalny+mieszkanie/Łódź+Bałuty/oferta-15383064", "https://szybko.pl/o/na-sprzedaz/lokal-mieszkalny+mieszkanie/Łódź+Bałuty/oferta-15383064")</f>
        <v/>
      </c>
      <c r="F84" t="inlineStr">
        <is>
          <t>rojna</t>
        </is>
      </c>
      <c r="G84" t="inlineStr">
        <is>
          <t>Teofilów</t>
        </is>
      </c>
      <c r="H84" t="inlineStr">
        <is>
          <t>Teofilów</t>
        </is>
      </c>
      <c r="I84" t="inlineStr">
        <is>
          <t>TAK</t>
        </is>
      </c>
      <c r="J84" t="inlineStr">
        <is>
          <t>TAK</t>
        </is>
      </c>
      <c r="K84" t="n">
        <v>506067356</v>
      </c>
      <c r="L84" t="n">
        <v>269000</v>
      </c>
      <c r="M84" t="n">
        <v>7270.27027027027</v>
      </c>
      <c r="N84" t="n">
        <v>37</v>
      </c>
      <c r="O84" t="inlineStr">
        <is>
          <t>2+k</t>
        </is>
      </c>
      <c r="P84" t="n">
        <v>3</v>
      </c>
      <c r="Q84" t="inlineStr">
        <is>
          <t>Puste</t>
        </is>
      </c>
      <c r="R84" t="n">
        <v>0</v>
      </c>
    </row>
    <row r="85">
      <c r="A85" t="n">
        <v>84</v>
      </c>
      <c r="B85" s="3" t="n">
        <v>45423</v>
      </c>
      <c r="C85" s="3" t="n">
        <v>45510</v>
      </c>
      <c r="D85" t="inlineStr">
        <is>
          <t>https://allegrolokalnie.pl/oferta/mieszkanie-lodz-baluty-48-m2-ftl?navCategoryId=112739</t>
        </is>
      </c>
      <c r="E85">
        <f>HYPERLINK("https://allegrolokalnie.pl/oferta/mieszkanie-lodz-baluty-48-m2-ftl?navCategoryId=112739", "https://allegrolokalnie.pl/oferta/mieszkanie-lodz-baluty-48-m2-ftl?navCategoryId=112739")</f>
        <v/>
      </c>
      <c r="F85" t="inlineStr">
        <is>
          <t>Aleksandrowska</t>
        </is>
      </c>
      <c r="G85" t="inlineStr">
        <is>
          <t>Teofilów</t>
        </is>
      </c>
      <c r="H85" t="inlineStr">
        <is>
          <t>Teofilów</t>
        </is>
      </c>
      <c r="I85" t="inlineStr">
        <is>
          <t>TAK</t>
        </is>
      </c>
      <c r="J85" t="inlineStr">
        <is>
          <t>TAK</t>
        </is>
      </c>
      <c r="K85" t="n">
        <v>794219502</v>
      </c>
      <c r="L85" t="n">
        <v>355000</v>
      </c>
      <c r="M85" t="n">
        <v>7348.37507762368</v>
      </c>
      <c r="N85" t="n">
        <v>48.31</v>
      </c>
      <c r="O85" t="inlineStr">
        <is>
          <t>2+k</t>
        </is>
      </c>
      <c r="P85" t="n">
        <v>3</v>
      </c>
      <c r="Q85" t="inlineStr">
        <is>
          <t>Nie da się zamieszkać</t>
        </is>
      </c>
    </row>
    <row r="86">
      <c r="A86" t="n">
        <v>85</v>
      </c>
      <c r="B86" s="3" t="n">
        <v>45423</v>
      </c>
      <c r="C86" s="3" t="n">
        <v>45438</v>
      </c>
      <c r="D86" t="inlineStr">
        <is>
          <t>https://www.otodom.pl/pl/oferta/rozkladowe-2-pokoje-na-teofilowie-ID4qvWG</t>
        </is>
      </c>
      <c r="E86">
        <f>HYPERLINK("https://www.otodom.pl/pl/oferta/rozkladowe-2-pokoje-na-teofilowie-ID4qvWG", "https://www.otodom.pl/pl/oferta/rozkladowe-2-pokoje-na-teofilowie-ID4qvWG")</f>
        <v/>
      </c>
      <c r="F86" t="inlineStr">
        <is>
          <t>traktorowa</t>
        </is>
      </c>
      <c r="G86" t="inlineStr">
        <is>
          <t>Teofilów</t>
        </is>
      </c>
      <c r="H86" t="inlineStr">
        <is>
          <t>Teofilów</t>
        </is>
      </c>
      <c r="I86" t="inlineStr">
        <is>
          <t>TAK</t>
        </is>
      </c>
      <c r="J86" t="inlineStr">
        <is>
          <t>TAK</t>
        </is>
      </c>
      <c r="K86" t="n">
        <v>500380137</v>
      </c>
      <c r="L86" t="n">
        <v>319000</v>
      </c>
      <c r="M86" t="n">
        <v>7088.873135837475</v>
      </c>
      <c r="N86" t="n">
        <v>45.0001</v>
      </c>
      <c r="O86" t="inlineStr">
        <is>
          <t>2+k</t>
        </is>
      </c>
      <c r="P86" t="n">
        <v>0</v>
      </c>
      <c r="Q86" t="inlineStr">
        <is>
          <t>Da się zamieszkać</t>
        </is>
      </c>
      <c r="R86" t="inlineStr">
        <is>
          <t xml:space="preserve">sprzedane na pewno za około ofertową </t>
        </is>
      </c>
    </row>
    <row r="87">
      <c r="A87" t="n">
        <v>86</v>
      </c>
      <c r="B87" s="3" t="n">
        <v>45424</v>
      </c>
      <c r="C87" s="3" t="n">
        <v>45456</v>
      </c>
      <c r="D87" t="inlineStr">
        <is>
          <t>https://allegrolokalnie.pl/oferta/mieszkanie-lodz-gorna-chojny-43-m2-nhd?navCategoryId=112739</t>
        </is>
      </c>
      <c r="E87">
        <f>HYPERLINK("https://allegrolokalnie.pl/oferta/mieszkanie-lodz-gorna-chojny-43-m2-nhd?navCategoryId=112739", "https://allegrolokalnie.pl/oferta/mieszkanie-lodz-gorna-chojny-43-m2-nhd?navCategoryId=112739")</f>
        <v/>
      </c>
      <c r="F87" t="inlineStr">
        <is>
          <t>odyńca</t>
        </is>
      </c>
      <c r="G87" t="inlineStr">
        <is>
          <t>Górna</t>
        </is>
      </c>
      <c r="H87" t="inlineStr">
        <is>
          <t>Daleka górna</t>
        </is>
      </c>
      <c r="I87" t="inlineStr">
        <is>
          <t>TAK</t>
        </is>
      </c>
      <c r="J87" t="inlineStr">
        <is>
          <t>TAK</t>
        </is>
      </c>
      <c r="K87" t="n">
        <v>530555505</v>
      </c>
      <c r="L87" t="n">
        <v>310000</v>
      </c>
      <c r="M87" t="n">
        <v>7209.302325581395</v>
      </c>
      <c r="N87" t="n">
        <v>43</v>
      </c>
      <c r="O87" t="inlineStr">
        <is>
          <t>2+k</t>
        </is>
      </c>
      <c r="P87" t="n">
        <v>1</v>
      </c>
      <c r="Q87" t="inlineStr">
        <is>
          <t>Puste</t>
        </is>
      </c>
      <c r="R87" t="inlineStr">
        <is>
          <t>okna do wymiany</t>
        </is>
      </c>
    </row>
    <row r="88">
      <c r="A88" t="n">
        <v>87</v>
      </c>
      <c r="B88" s="3" t="n">
        <v>45424</v>
      </c>
      <c r="C88" s="3" t="n">
        <v>45446</v>
      </c>
      <c r="D88" t="inlineStr">
        <is>
          <t>https://www.otodom.pl/pl/oferta/ciche-mieszkanie-do-remontu-ID4qxec</t>
        </is>
      </c>
      <c r="E88">
        <f>HYPERLINK("https://www.otodom.pl/pl/oferta/ciche-mieszkanie-do-remontu-ID4qxec", "https://www.otodom.pl/pl/oferta/ciche-mieszkanie-do-remontu-ID4qxec")</f>
        <v/>
      </c>
      <c r="F88" t="inlineStr">
        <is>
          <t>Wacława Denhoff-Czarnockiego</t>
        </is>
      </c>
      <c r="G88" t="inlineStr">
        <is>
          <t>Teofilów</t>
        </is>
      </c>
      <c r="H88" t="inlineStr">
        <is>
          <t>Teofilów</t>
        </is>
      </c>
      <c r="I88" t="inlineStr">
        <is>
          <t>TAK</t>
        </is>
      </c>
      <c r="J88" t="inlineStr">
        <is>
          <t>TAK</t>
        </is>
      </c>
      <c r="K88" t="n">
        <v>572418750</v>
      </c>
      <c r="L88" t="n">
        <v>280000</v>
      </c>
      <c r="M88" t="n">
        <v>7466.666666666667</v>
      </c>
      <c r="N88" t="n">
        <v>37.5</v>
      </c>
      <c r="O88" t="inlineStr">
        <is>
          <t>2+k</t>
        </is>
      </c>
      <c r="P88" t="n">
        <v>3</v>
      </c>
      <c r="Q88" t="inlineStr">
        <is>
          <t>Nie da się zamieszkać</t>
        </is>
      </c>
    </row>
    <row r="89">
      <c r="A89" t="n">
        <v>88</v>
      </c>
      <c r="B89" s="3" t="n">
        <v>45424</v>
      </c>
      <c r="C89" s="3" t="n">
        <v>45446</v>
      </c>
      <c r="D89" t="inlineStr">
        <is>
          <t>https://www.otodom.pl/pl/oferta/ciche-mieszkanie-z-balkonem-do-remontu-ID4qxee</t>
        </is>
      </c>
      <c r="E89">
        <f>HYPERLINK("https://www.otodom.pl/pl/oferta/ciche-mieszkanie-z-balkonem-do-remontu-ID4qxee", "https://www.otodom.pl/pl/oferta/ciche-mieszkanie-z-balkonem-do-remontu-ID4qxee")</f>
        <v/>
      </c>
      <c r="F89" t="inlineStr">
        <is>
          <t>rydzowa</t>
        </is>
      </c>
      <c r="G89" t="inlineStr">
        <is>
          <t>Teofilów</t>
        </is>
      </c>
      <c r="H89" t="inlineStr">
        <is>
          <t>Teofilów</t>
        </is>
      </c>
      <c r="I89" t="inlineStr">
        <is>
          <t>TAK</t>
        </is>
      </c>
      <c r="J89" t="inlineStr">
        <is>
          <t>TAK</t>
        </is>
      </c>
      <c r="K89" t="n">
        <v>572418750</v>
      </c>
      <c r="L89" t="n">
        <v>329000</v>
      </c>
      <c r="M89" t="n">
        <v>7360.178970917225</v>
      </c>
      <c r="N89" t="n">
        <v>44.7</v>
      </c>
      <c r="O89" t="inlineStr">
        <is>
          <t>2+k</t>
        </is>
      </c>
      <c r="P89" t="n">
        <v>2</v>
      </c>
      <c r="Q89" t="inlineStr">
        <is>
          <t>Da się zamieszkać</t>
        </is>
      </c>
    </row>
    <row r="90">
      <c r="A90" t="n">
        <v>89</v>
      </c>
      <c r="B90" s="3" t="n">
        <v>45425</v>
      </c>
      <c r="C90" s="3" t="n">
        <v>45432</v>
      </c>
      <c r="D90" t="inlineStr">
        <is>
          <t>https://www.morizon.pl/oferta/sprzedaz-mieszkanie-lodz-gorna-stanislawa-brzozowskiego-36m2-mzn2043843136</t>
        </is>
      </c>
      <c r="E90">
        <f>HYPERLINK("https://www.morizon.pl/oferta/sprzedaz-mieszkanie-lodz-gorna-stanislawa-brzozowskiego-36m2-mzn2043843136", "https://www.morizon.pl/oferta/sprzedaz-mieszkanie-lodz-gorna-stanislawa-brzozowskiego-36m2-mzn2043843136")</f>
        <v/>
      </c>
      <c r="F90" t="inlineStr">
        <is>
          <t xml:space="preserve">Brzozowskiego </t>
        </is>
      </c>
      <c r="G90" t="inlineStr">
        <is>
          <t>Górna</t>
        </is>
      </c>
      <c r="H90" t="inlineStr">
        <is>
          <t>Górna</t>
        </is>
      </c>
      <c r="I90" t="inlineStr">
        <is>
          <t>TAK</t>
        </is>
      </c>
      <c r="J90" t="inlineStr">
        <is>
          <t>NIE</t>
        </is>
      </c>
      <c r="K90" t="n">
        <v>507624311</v>
      </c>
      <c r="L90" t="n">
        <v>259000</v>
      </c>
      <c r="M90" t="n">
        <v>7194.444444444444</v>
      </c>
      <c r="N90" t="n">
        <v>36</v>
      </c>
      <c r="O90" t="inlineStr">
        <is>
          <t>1+k</t>
        </is>
      </c>
      <c r="P90" t="n">
        <v>3</v>
      </c>
      <c r="Q90" t="inlineStr">
        <is>
          <t>Da się zamieszkać</t>
        </is>
      </c>
    </row>
    <row r="91">
      <c r="A91" t="n">
        <v>90</v>
      </c>
      <c r="B91" s="3" t="n">
        <v>45425</v>
      </c>
      <c r="C91" s="3" t="n">
        <v>45432</v>
      </c>
      <c r="D91" t="inlineStr">
        <is>
          <t>https://www.olx.pl/d/oferta/mieszkanie-blisko-politechniki-CID3-ID107onl.html</t>
        </is>
      </c>
      <c r="E91">
        <f>HYPERLINK("https://www.olx.pl/d/oferta/mieszkanie-blisko-politechniki-CID3-ID107onl.html", "https://www.olx.pl/d/oferta/mieszkanie-blisko-politechniki-CID3-ID107onl.html")</f>
        <v/>
      </c>
      <c r="F91" t="inlineStr">
        <is>
          <t>astronautów</t>
        </is>
      </c>
      <c r="G91" t="inlineStr">
        <is>
          <t>Górna</t>
        </is>
      </c>
      <c r="H91" t="inlineStr">
        <is>
          <t>Górna</t>
        </is>
      </c>
      <c r="I91" t="inlineStr">
        <is>
          <t>TAK</t>
        </is>
      </c>
      <c r="J91" t="inlineStr">
        <is>
          <t>NIE</t>
        </is>
      </c>
      <c r="K91" t="n">
        <v>664594870</v>
      </c>
      <c r="L91" t="n">
        <v>230000</v>
      </c>
      <c r="M91" t="n">
        <v>6969.69696969697</v>
      </c>
      <c r="N91" t="n">
        <v>33</v>
      </c>
      <c r="O91" t="n">
        <v>2</v>
      </c>
      <c r="P91" t="n">
        <v>2</v>
      </c>
      <c r="Q91" t="inlineStr">
        <is>
          <t>Nie da się zamieszkać</t>
        </is>
      </c>
    </row>
    <row r="92">
      <c r="A92" t="n">
        <v>91</v>
      </c>
      <c r="B92" s="3" t="n">
        <v>45425</v>
      </c>
      <c r="D92" t="inlineStr">
        <is>
          <t>https://www.szybko.pl/o/na-sprzedaz/lokal-mieszkalny+mieszkanie/Łódź+Bałuty/oferta-15328462</t>
        </is>
      </c>
      <c r="E92">
        <f>HYPERLINK("https://www.szybko.pl/o/na-sprzedaz/lokal-mieszkalny+mieszkanie/Łódź+Bałuty/oferta-15328462", "https://www.szybko.pl/o/na-sprzedaz/lokal-mieszkalny+mieszkanie/Łódź+Bałuty/oferta-15328462")</f>
        <v/>
      </c>
      <c r="F92" t="inlineStr">
        <is>
          <t>marysińska</t>
        </is>
      </c>
      <c r="G92" t="inlineStr">
        <is>
          <t>Bałuty</t>
        </is>
      </c>
      <c r="H92" t="inlineStr">
        <is>
          <t>Bałuty</t>
        </is>
      </c>
      <c r="I92" t="inlineStr">
        <is>
          <t>NIE</t>
        </is>
      </c>
      <c r="J92" t="inlineStr">
        <is>
          <t>TAK</t>
        </is>
      </c>
      <c r="K92" t="n">
        <v>889875599</v>
      </c>
      <c r="L92" t="n">
        <v>269000</v>
      </c>
      <c r="M92" t="n">
        <v>7270.27027027027</v>
      </c>
      <c r="N92" t="n">
        <v>37</v>
      </c>
      <c r="O92" t="inlineStr">
        <is>
          <t>1+k</t>
        </is>
      </c>
      <c r="P92" t="n">
        <v>2</v>
      </c>
      <c r="Q92" t="inlineStr">
        <is>
          <t>Nie da się zamieszkać</t>
        </is>
      </c>
    </row>
    <row r="93">
      <c r="A93" t="n">
        <v>92</v>
      </c>
      <c r="B93" s="3" t="n">
        <v>45425</v>
      </c>
      <c r="C93" s="3" t="n">
        <v>45456</v>
      </c>
      <c r="D93" t="inlineStr">
        <is>
          <t>https://adresowo.pl/o/z8p3d3</t>
        </is>
      </c>
      <c r="E93">
        <f>HYPERLINK("https://adresowo.pl/o/z8p3d3", "https://adresowo.pl/o/z8p3d3")</f>
        <v/>
      </c>
      <c r="F93" t="inlineStr">
        <is>
          <t>traktorowa</t>
        </is>
      </c>
      <c r="G93" t="inlineStr">
        <is>
          <t>Teofilów</t>
        </is>
      </c>
      <c r="H93" t="inlineStr">
        <is>
          <t>Teofilów</t>
        </is>
      </c>
      <c r="I93" t="inlineStr">
        <is>
          <t>TAK</t>
        </is>
      </c>
      <c r="J93" t="inlineStr">
        <is>
          <t>NIE</t>
        </is>
      </c>
      <c r="L93" t="n">
        <v>289000</v>
      </c>
      <c r="M93" t="n">
        <v>6420.795378804711</v>
      </c>
      <c r="N93" t="n">
        <v>45.01</v>
      </c>
      <c r="O93" t="inlineStr">
        <is>
          <t>2+k</t>
        </is>
      </c>
      <c r="P93" t="n">
        <v>0</v>
      </c>
      <c r="Q93" t="inlineStr">
        <is>
          <t>Da się zamieszkać</t>
        </is>
      </c>
      <c r="R93" t="n">
        <v>0</v>
      </c>
    </row>
    <row r="94">
      <c r="A94" t="n">
        <v>93</v>
      </c>
      <c r="B94" s="3" t="n">
        <v>45425</v>
      </c>
      <c r="C94" s="3" t="n">
        <v>45432</v>
      </c>
      <c r="D94" t="inlineStr">
        <is>
          <t>https://adresowo.pl/o/b2a8c9</t>
        </is>
      </c>
      <c r="E94">
        <f>HYPERLINK("https://adresowo.pl/o/b2a8c9", "https://adresowo.pl/o/b2a8c9")</f>
        <v/>
      </c>
      <c r="F94" t="inlineStr">
        <is>
          <t>łeczycka</t>
        </is>
      </c>
      <c r="G94" t="inlineStr">
        <is>
          <t>Górna</t>
        </is>
      </c>
      <c r="H94" t="inlineStr">
        <is>
          <t>Górna blisko centrum</t>
        </is>
      </c>
      <c r="I94" t="inlineStr">
        <is>
          <t>TAK</t>
        </is>
      </c>
      <c r="J94" t="inlineStr">
        <is>
          <t>NIE</t>
        </is>
      </c>
      <c r="L94" t="n">
        <v>365000</v>
      </c>
      <c r="M94" t="n">
        <v>7105.314385828305</v>
      </c>
      <c r="N94" t="n">
        <v>51.37</v>
      </c>
      <c r="O94" t="inlineStr">
        <is>
          <t>2+k</t>
        </is>
      </c>
      <c r="P94" t="n">
        <v>1</v>
      </c>
      <c r="Q94" t="inlineStr">
        <is>
          <t>Puste</t>
        </is>
      </c>
    </row>
    <row r="95">
      <c r="A95" t="n">
        <v>94</v>
      </c>
      <c r="B95" s="3" t="n">
        <v>45425</v>
      </c>
      <c r="C95" s="3" t="n">
        <v>45548</v>
      </c>
      <c r="D95" t="inlineStr">
        <is>
          <t>https://www.olx.pl/d/oferta/2-pokoje-45m2-teofilow-rozkladowe-CID3-ID108tEd.html?isPreviewActive=0&amp;sliderIndex=9</t>
        </is>
      </c>
      <c r="E95">
        <f>HYPERLINK("https://www.olx.pl/d/oferta/2-pokoje-45m2-teofilow-rozkladowe-CID3-ID108tEd.html?isPreviewActive=0&amp;sliderIndex=9", "https://www.olx.pl/d/oferta/2-pokoje-45m2-teofilow-rozkladowe-CID3-ID108tEd.html?isPreviewActive=0&amp;sliderIndex=9")</f>
        <v/>
      </c>
      <c r="F95" t="inlineStr">
        <is>
          <t>parcelacyjna</t>
        </is>
      </c>
      <c r="G95" t="inlineStr">
        <is>
          <t>Teofilów</t>
        </is>
      </c>
      <c r="H95" t="inlineStr">
        <is>
          <t>Teofilów</t>
        </is>
      </c>
      <c r="I95" t="inlineStr">
        <is>
          <t>TAK</t>
        </is>
      </c>
      <c r="J95" t="inlineStr">
        <is>
          <t>NIE</t>
        </is>
      </c>
      <c r="K95" t="n">
        <v>606295913</v>
      </c>
      <c r="L95" t="n">
        <v>285000</v>
      </c>
      <c r="M95" t="n">
        <v>6299.73474801061</v>
      </c>
      <c r="N95" t="n">
        <v>45.24</v>
      </c>
      <c r="O95" t="inlineStr">
        <is>
          <t>2+k</t>
        </is>
      </c>
      <c r="P95" t="n">
        <v>0</v>
      </c>
      <c r="Q95" t="inlineStr">
        <is>
          <t>Nie da się zamieszkać</t>
        </is>
      </c>
      <c r="R95" t="inlineStr">
        <is>
          <t>15.08 było 295k, 23.08.2024 dzwonione - nie odbiera</t>
        </is>
      </c>
    </row>
    <row r="96">
      <c r="A96" t="n">
        <v>95</v>
      </c>
      <c r="B96" s="3" t="n">
        <v>45426</v>
      </c>
      <c r="C96" s="3" t="n">
        <v>45456</v>
      </c>
      <c r="D96" t="inlineStr">
        <is>
          <t>https://allegrolokalnie.pl/oferta/mieszkanie-lodz-baluty-45-m2-ooa?navCategoryId=112739</t>
        </is>
      </c>
      <c r="E96">
        <f>HYPERLINK("https://allegrolokalnie.pl/oferta/mieszkanie-lodz-baluty-45-m2-ooa?navCategoryId=112739", "https://allegrolokalnie.pl/oferta/mieszkanie-lodz-baluty-45-m2-ooa?navCategoryId=112739")</f>
        <v/>
      </c>
      <c r="F96" t="inlineStr">
        <is>
          <t>rojna</t>
        </is>
      </c>
      <c r="G96" t="inlineStr">
        <is>
          <t>Teofilów</t>
        </is>
      </c>
      <c r="H96" t="inlineStr">
        <is>
          <t>Teofilów</t>
        </is>
      </c>
      <c r="I96" t="inlineStr">
        <is>
          <t>TAK</t>
        </is>
      </c>
      <c r="J96" t="inlineStr">
        <is>
          <t>TAK</t>
        </is>
      </c>
      <c r="K96" t="n">
        <v>536091779</v>
      </c>
      <c r="L96" t="n">
        <v>310500</v>
      </c>
      <c r="M96" t="n">
        <v>6900</v>
      </c>
      <c r="N96" t="n">
        <v>45</v>
      </c>
      <c r="O96" t="inlineStr">
        <is>
          <t>2+k</t>
        </is>
      </c>
      <c r="P96" t="n">
        <v>3</v>
      </c>
      <c r="Q96" t="inlineStr">
        <is>
          <t>Da się zamieszkać</t>
        </is>
      </c>
    </row>
    <row r="97">
      <c r="A97" t="n">
        <v>96</v>
      </c>
      <c r="B97" s="3" t="n">
        <v>45426</v>
      </c>
      <c r="C97" s="3" t="n">
        <v>45438</v>
      </c>
      <c r="D97" t="inlineStr">
        <is>
          <t>https://adresowo.pl/o/x4j8a2</t>
        </is>
      </c>
      <c r="E97">
        <f>HYPERLINK("https://adresowo.pl/o/x4j8a2", "https://adresowo.pl/o/x4j8a2")</f>
        <v/>
      </c>
      <c r="F97" t="inlineStr">
        <is>
          <t>1 maja</t>
        </is>
      </c>
      <c r="G97" t="inlineStr">
        <is>
          <t>Polesie</t>
        </is>
      </c>
      <c r="H97" t="inlineStr">
        <is>
          <t>Polesie</t>
        </is>
      </c>
      <c r="I97" t="inlineStr">
        <is>
          <t>TAK</t>
        </is>
      </c>
      <c r="J97" t="inlineStr">
        <is>
          <t>NIE</t>
        </is>
      </c>
      <c r="L97" t="n">
        <v>209000</v>
      </c>
      <c r="M97" t="n">
        <v>6333.333333333333</v>
      </c>
      <c r="N97" t="n">
        <v>33</v>
      </c>
      <c r="O97" t="inlineStr">
        <is>
          <t>1+k</t>
        </is>
      </c>
      <c r="P97" t="n">
        <v>4</v>
      </c>
      <c r="Q97" t="inlineStr">
        <is>
          <t>Da się zamieszkać</t>
        </is>
      </c>
    </row>
    <row r="98">
      <c r="A98" t="n">
        <v>97</v>
      </c>
      <c r="B98" s="3" t="n">
        <v>45426</v>
      </c>
      <c r="C98" t="inlineStr">
        <is>
          <t>26.05,2024</t>
        </is>
      </c>
      <c r="D98" t="inlineStr">
        <is>
          <t>https://www.olx.pl/d/oferta/na-sprzedaz-2-pokojowe-w-zielonej-okolicy-CID3-ID108EFk.html?isPreviewActive=0&amp;sliderIndex=7</t>
        </is>
      </c>
      <c r="E98">
        <f>HYPERLINK("https://www.olx.pl/d/oferta/na-sprzedaz-2-pokojowe-w-zielonej-okolicy-CID3-ID108EFk.html?isPreviewActive=0&amp;sliderIndex=7", "https://www.olx.pl/d/oferta/na-sprzedaz-2-pokojowe-w-zielonej-okolicy-CID3-ID108EFk.html?isPreviewActive=0&amp;sliderIndex=7")</f>
        <v/>
      </c>
      <c r="F98" t="inlineStr">
        <is>
          <t>emili plater</t>
        </is>
      </c>
      <c r="G98" t="inlineStr">
        <is>
          <t>Bałuty</t>
        </is>
      </c>
      <c r="H98" t="inlineStr">
        <is>
          <t>Bałuty</t>
        </is>
      </c>
      <c r="I98" t="inlineStr">
        <is>
          <t>TAK</t>
        </is>
      </c>
      <c r="J98" t="inlineStr">
        <is>
          <t>TAK</t>
        </is>
      </c>
      <c r="K98" t="n">
        <v>795966122</v>
      </c>
      <c r="L98" t="n">
        <v>299000</v>
      </c>
      <c r="M98" t="n">
        <v>6750.959584556334</v>
      </c>
      <c r="N98" t="n">
        <v>44.29</v>
      </c>
      <c r="O98" t="inlineStr">
        <is>
          <t>2+k</t>
        </is>
      </c>
      <c r="P98" t="n">
        <v>0</v>
      </c>
      <c r="Q98" t="inlineStr">
        <is>
          <t>Da się zamieszkać</t>
        </is>
      </c>
      <c r="R98" t="inlineStr">
        <is>
          <t xml:space="preserve">sprzedane na pewno nie wiadomo za ile </t>
        </is>
      </c>
    </row>
    <row r="99">
      <c r="A99" t="n">
        <v>98</v>
      </c>
      <c r="B99" s="3" t="n">
        <v>45426</v>
      </c>
      <c r="C99" s="3" t="n">
        <v>45438</v>
      </c>
      <c r="D99" t="inlineStr">
        <is>
          <t>https://www.olx.pl/d/oferta/2-pokoje-z-balkonem-gorna-dabrowa-blisko-zarzew-CID3-ID108O1t.html</t>
        </is>
      </c>
      <c r="E99">
        <f>HYPERLINK("https://www.olx.pl/d/oferta/2-pokoje-z-balkonem-gorna-dabrowa-blisko-zarzew-CID3-ID108O1t.html", "https://www.olx.pl/d/oferta/2-pokoje-z-balkonem-gorna-dabrowa-blisko-zarzew-CID3-ID108O1t.html")</f>
        <v/>
      </c>
      <c r="F99" t="inlineStr">
        <is>
          <t>.</t>
        </is>
      </c>
      <c r="G99" t="inlineStr">
        <is>
          <t>Dąbrowa</t>
        </is>
      </c>
      <c r="H99" t="inlineStr">
        <is>
          <t>Dąbrowa</t>
        </is>
      </c>
      <c r="I99" t="inlineStr">
        <is>
          <t>TAK</t>
        </is>
      </c>
      <c r="J99" t="inlineStr">
        <is>
          <t>TAK</t>
        </is>
      </c>
      <c r="K99" t="n">
        <v>513493331</v>
      </c>
      <c r="L99" t="n">
        <v>255000</v>
      </c>
      <c r="M99" t="n">
        <v>6967.213114754098</v>
      </c>
      <c r="N99" t="n">
        <v>36.6</v>
      </c>
      <c r="O99" t="inlineStr">
        <is>
          <t>2+k</t>
        </is>
      </c>
      <c r="P99" t="n">
        <v>4</v>
      </c>
      <c r="Q99" t="inlineStr">
        <is>
          <t>Puste</t>
        </is>
      </c>
    </row>
    <row r="100">
      <c r="A100" t="n">
        <v>99</v>
      </c>
      <c r="B100" s="3" t="n">
        <v>45426</v>
      </c>
      <c r="C100" s="3" t="n">
        <v>45446</v>
      </c>
      <c r="D100" t="inlineStr">
        <is>
          <t>https://www.otodom.pl/pl/oferta/mieszkanie-do-remontu-w-sasiedztwie-parku-ID4qzsk.html</t>
        </is>
      </c>
      <c r="E100">
        <f>HYPERLINK("https://www.otodom.pl/pl/oferta/mieszkanie-do-remontu-w-sasiedztwie-parku-ID4qzsk.html", "https://www.otodom.pl/pl/oferta/mieszkanie-do-remontu-w-sasiedztwie-parku-ID4qzsk.html")</f>
        <v/>
      </c>
      <c r="F100" t="inlineStr">
        <is>
          <t>Zbaraska</t>
        </is>
      </c>
      <c r="G100" t="inlineStr">
        <is>
          <t>Dąbrowa</t>
        </is>
      </c>
      <c r="H100" t="inlineStr">
        <is>
          <t>Dąbrowa</t>
        </is>
      </c>
      <c r="I100" t="inlineStr">
        <is>
          <t>TAK</t>
        </is>
      </c>
      <c r="J100" t="inlineStr">
        <is>
          <t>TAK</t>
        </is>
      </c>
      <c r="K100" t="n">
        <v>512042150</v>
      </c>
      <c r="L100" t="n">
        <v>249000</v>
      </c>
      <c r="M100" t="n">
        <v>6870.860927152317</v>
      </c>
      <c r="N100" t="n">
        <v>36.24</v>
      </c>
      <c r="O100" t="inlineStr">
        <is>
          <t>2+k</t>
        </is>
      </c>
      <c r="P100" t="n">
        <v>4</v>
      </c>
      <c r="Q100" t="inlineStr">
        <is>
          <t>Nie da się zamieszkać</t>
        </is>
      </c>
    </row>
    <row r="101">
      <c r="A101" t="n">
        <v>100</v>
      </c>
      <c r="B101" s="3" t="n">
        <v>45426</v>
      </c>
      <c r="C101" s="3" t="n">
        <v>45497</v>
      </c>
      <c r="D101" t="inlineStr">
        <is>
          <t>https://www.olx.pl/d/oferta/mieszkanie-45-mkw-hipoteczna-olsztynska-mackiewicza-okazja-CID3-IDZC6ov.html?isPreviewActive=0&amp;sliderIndex=0</t>
        </is>
      </c>
      <c r="E101">
        <f>HYPERLINK("https://www.olx.pl/d/oferta/mieszkanie-45-mkw-hipoteczna-olsztynska-mackiewicza-okazja-CID3-IDZC6ov.html?isPreviewActive=0&amp;sliderIndex=0", "https://www.olx.pl/d/oferta/mieszkanie-45-mkw-hipoteczna-olsztynska-mackiewicza-okazja-CID3-IDZC6ov.html?isPreviewActive=0&amp;sliderIndex=0")</f>
        <v/>
      </c>
      <c r="F101" t="inlineStr">
        <is>
          <t>hipoteczna</t>
        </is>
      </c>
      <c r="G101" t="inlineStr">
        <is>
          <t>Bałuty</t>
        </is>
      </c>
      <c r="H101" t="inlineStr">
        <is>
          <t>Bałuty</t>
        </is>
      </c>
      <c r="I101" t="inlineStr">
        <is>
          <t>TAK</t>
        </is>
      </c>
      <c r="J101" t="inlineStr">
        <is>
          <t>TAK</t>
        </is>
      </c>
      <c r="K101" t="n">
        <v>668905720</v>
      </c>
      <c r="L101" t="n">
        <v>309000</v>
      </c>
      <c r="M101" t="n">
        <v>6846.886771548859</v>
      </c>
      <c r="N101" t="n">
        <v>45.13</v>
      </c>
      <c r="O101" t="inlineStr">
        <is>
          <t>2+k</t>
        </is>
      </c>
      <c r="P101" t="n">
        <v>0</v>
      </c>
      <c r="Q101" t="inlineStr">
        <is>
          <t>Da się zamieszkać</t>
        </is>
      </c>
      <c r="R101" t="inlineStr">
        <is>
          <t>było 320000 18.07 było 311000</t>
        </is>
      </c>
    </row>
    <row r="102">
      <c r="A102" t="n">
        <v>101</v>
      </c>
      <c r="B102" s="3" t="n">
        <v>45426</v>
      </c>
      <c r="D102" t="inlineStr">
        <is>
          <t>https://sprzedajemy.pl/mieszkanie-46m2-baluty-manufaktura-lodz-4-1b8e55-6fpbc4-nr69546880</t>
        </is>
      </c>
      <c r="E102">
        <f>HYPERLINK("https://sprzedajemy.pl/mieszkanie-46m2-baluty-manufaktura-lodz-4-1b8e55-6fpbc4-nr69546880", "https://sprzedajemy.pl/mieszkanie-46m2-baluty-manufaktura-lodz-4-1b8e55-6fpbc4-nr69546880")</f>
        <v/>
      </c>
      <c r="F102" t="inlineStr">
        <is>
          <t xml:space="preserve">limanowskiego </t>
        </is>
      </c>
      <c r="G102" t="inlineStr">
        <is>
          <t>Bałuty</t>
        </is>
      </c>
      <c r="H102" t="inlineStr">
        <is>
          <t>Bałuty blisko centrum</t>
        </is>
      </c>
      <c r="I102" t="inlineStr">
        <is>
          <t>NIE</t>
        </is>
      </c>
      <c r="J102" t="inlineStr">
        <is>
          <t>NIE</t>
        </is>
      </c>
      <c r="K102" t="n">
        <v>794580161</v>
      </c>
      <c r="L102" t="n">
        <v>299000</v>
      </c>
      <c r="M102" t="n">
        <v>6500</v>
      </c>
      <c r="N102" t="n">
        <v>46</v>
      </c>
      <c r="O102" t="inlineStr">
        <is>
          <t>2+k</t>
        </is>
      </c>
      <c r="Q102" t="inlineStr">
        <is>
          <t>Nie da się zamieszkać</t>
        </is>
      </c>
      <c r="R102" t="inlineStr">
        <is>
          <t>limanka, na razie odpada</t>
        </is>
      </c>
    </row>
    <row r="103">
      <c r="A103" t="n">
        <v>102</v>
      </c>
      <c r="B103" s="3" t="n">
        <v>45426</v>
      </c>
      <c r="C103" s="3" t="n">
        <v>45506</v>
      </c>
      <c r="D103" t="inlineStr">
        <is>
          <t>https://www.otodom.pl/pl/oferta/przytulne-m-3-z-balkonem-miedziana-instalacja-ID4rdDT</t>
        </is>
      </c>
      <c r="E103">
        <f>HYPERLINK("https://www.otodom.pl/pl/oferta/przytulne-m-3-z-balkonem-miedziana-instalacja-ID4rdDT", "https://www.otodom.pl/pl/oferta/przytulne-m-3-z-balkonem-miedziana-instalacja-ID4rdDT")</f>
        <v/>
      </c>
      <c r="F103" t="inlineStr">
        <is>
          <t>Ciołkowskiego</t>
        </is>
      </c>
      <c r="G103" t="inlineStr">
        <is>
          <t>Górna</t>
        </is>
      </c>
      <c r="H103" t="inlineStr">
        <is>
          <t>Górna</t>
        </is>
      </c>
      <c r="I103" t="inlineStr">
        <is>
          <t>TAK</t>
        </is>
      </c>
      <c r="J103" t="inlineStr">
        <is>
          <t>TAK</t>
        </is>
      </c>
      <c r="K103" t="n">
        <v>883541184</v>
      </c>
      <c r="L103" t="n">
        <v>250000</v>
      </c>
      <c r="M103" t="n">
        <v>7169.486664754804</v>
      </c>
      <c r="N103" t="n">
        <v>34.87</v>
      </c>
      <c r="O103" t="inlineStr">
        <is>
          <t>2+k</t>
        </is>
      </c>
      <c r="P103" t="n">
        <v>8</v>
      </c>
      <c r="Q103" t="inlineStr">
        <is>
          <t>Nie da się zamieszkać</t>
        </is>
      </c>
      <c r="R103" t="inlineStr">
        <is>
          <t>było 257000</t>
        </is>
      </c>
    </row>
    <row r="104">
      <c r="A104" t="n">
        <v>103</v>
      </c>
      <c r="B104" s="3" t="n">
        <v>45426</v>
      </c>
      <c r="C104" s="3" t="n">
        <v>45432</v>
      </c>
      <c r="D104" t="inlineStr">
        <is>
          <t>https://www.olx.pl/d/oferta/kawalerka-33m-lutomierska-bydgoska-do-zamieszkania-lub-remontu-CID3-ID109pZ6.html?isPreviewActive=0&amp;sliderIndex=7</t>
        </is>
      </c>
      <c r="E104">
        <f>HYPERLINK("https://www.olx.pl/d/oferta/kawalerka-33m-lutomierska-bydgoska-do-zamieszkania-lub-remontu-CID3-ID109pZ6.html?isPreviewActive=0&amp;sliderIndex=7", "https://www.olx.pl/d/oferta/kawalerka-33m-lutomierska-bydgoska-do-zamieszkania-lub-remontu-CID3-ID109pZ6.html?isPreviewActive=0&amp;sliderIndex=7")</f>
        <v/>
      </c>
      <c r="F104" t="inlineStr">
        <is>
          <t>lutomierska</t>
        </is>
      </c>
      <c r="G104" t="inlineStr">
        <is>
          <t>Bałuty</t>
        </is>
      </c>
      <c r="H104" t="inlineStr">
        <is>
          <t>Bałuty blisko centrum</t>
        </is>
      </c>
      <c r="I104" t="inlineStr">
        <is>
          <t>TAK</t>
        </is>
      </c>
      <c r="J104" t="inlineStr">
        <is>
          <t>NIE</t>
        </is>
      </c>
      <c r="K104" t="n">
        <v>600276930</v>
      </c>
      <c r="L104" t="n">
        <v>210000</v>
      </c>
      <c r="M104" t="n">
        <v>6363.636363636364</v>
      </c>
      <c r="N104" t="n">
        <v>33</v>
      </c>
      <c r="O104" t="inlineStr">
        <is>
          <t>1+k</t>
        </is>
      </c>
      <c r="P104" t="n">
        <v>0</v>
      </c>
      <c r="Q104" t="inlineStr">
        <is>
          <t>Nie da się zamieszkać</t>
        </is>
      </c>
    </row>
    <row r="105">
      <c r="A105" t="n">
        <v>104</v>
      </c>
      <c r="B105" s="3" t="n">
        <v>45427</v>
      </c>
      <c r="D105" t="inlineStr">
        <is>
          <t>https://www.domiporta.pl/nieruchomosci/sprzedam-kawalerke-lodz-gorna-brzozowa-40m2/155145343</t>
        </is>
      </c>
      <c r="E105">
        <f>HYPERLINK("https://www.domiporta.pl/nieruchomosci/sprzedam-kawalerke-lodz-gorna-brzozowa-40m2/155145343", "https://www.domiporta.pl/nieruchomosci/sprzedam-kawalerke-lodz-gorna-brzozowa-40m2/155145343")</f>
        <v/>
      </c>
      <c r="F105" t="inlineStr">
        <is>
          <t>brzozwa</t>
        </is>
      </c>
      <c r="G105" t="inlineStr">
        <is>
          <t>Górna</t>
        </is>
      </c>
      <c r="H105" t="inlineStr">
        <is>
          <t>Górna blisko centrum</t>
        </is>
      </c>
      <c r="I105" t="inlineStr">
        <is>
          <t>NIE</t>
        </is>
      </c>
      <c r="J105" t="inlineStr">
        <is>
          <t>TAK</t>
        </is>
      </c>
      <c r="K105" t="n">
        <v>509289025</v>
      </c>
      <c r="L105" t="n">
        <v>279000</v>
      </c>
      <c r="M105" t="n">
        <v>6975</v>
      </c>
      <c r="N105" t="n">
        <v>40</v>
      </c>
      <c r="O105" t="inlineStr">
        <is>
          <t>1+k</t>
        </is>
      </c>
      <c r="P105" t="n">
        <v>2</v>
      </c>
      <c r="Q105" t="inlineStr">
        <is>
          <t>Nie da się zamieszkać</t>
        </is>
      </c>
      <c r="R105" t="inlineStr">
        <is>
          <t>dziala hehe NOTATKI HEHEHEHEHHE</t>
        </is>
      </c>
      <c r="S105" t="inlineStr">
        <is>
          <t>NIE</t>
        </is>
      </c>
    </row>
    <row r="106">
      <c r="A106" t="n">
        <v>105</v>
      </c>
      <c r="B106" s="3" t="n">
        <v>45427</v>
      </c>
      <c r="C106" s="3" t="n">
        <v>45510</v>
      </c>
      <c r="D106" t="inlineStr">
        <is>
          <t>https://gratka.pl/nieruchomosci/mieszkanie-lodz-baluty/ob/34560345</t>
        </is>
      </c>
      <c r="E106">
        <f>HYPERLINK("https://gratka.pl/nieruchomosci/mieszkanie-lodz-baluty/ob/34560345", "https://gratka.pl/nieruchomosci/mieszkanie-lodz-baluty/ob/34560345")</f>
        <v/>
      </c>
      <c r="F106" t="inlineStr">
        <is>
          <t>lutomierska</t>
        </is>
      </c>
      <c r="G106" t="inlineStr">
        <is>
          <t>Bałuty</t>
        </is>
      </c>
      <c r="H106" t="inlineStr">
        <is>
          <t>Bałuty blisko centrum</t>
        </is>
      </c>
      <c r="I106" t="inlineStr">
        <is>
          <t>TAK</t>
        </is>
      </c>
      <c r="J106" t="inlineStr">
        <is>
          <t>TAK</t>
        </is>
      </c>
      <c r="K106" t="n">
        <v>690377704</v>
      </c>
      <c r="L106" t="n">
        <v>290000</v>
      </c>
      <c r="M106" t="n">
        <v>7455.012853470437</v>
      </c>
      <c r="N106" t="n">
        <v>38.9</v>
      </c>
      <c r="O106" t="inlineStr">
        <is>
          <t>1+k</t>
        </is>
      </c>
      <c r="P106" t="n">
        <v>1</v>
      </c>
      <c r="Q106" t="inlineStr">
        <is>
          <t>Nie da się zamieszkać</t>
        </is>
      </c>
    </row>
    <row r="107">
      <c r="A107" t="n">
        <v>106</v>
      </c>
      <c r="B107" s="3" t="n">
        <v>45427</v>
      </c>
      <c r="C107" s="3" t="n">
        <v>45456</v>
      </c>
      <c r="D107" t="inlineStr">
        <is>
          <t>https://www.otodom.pl/pl/oferta/rozkladowe-3-pokoje-na-retkini-ID4q9Qf.html</t>
        </is>
      </c>
      <c r="E107">
        <f>HYPERLINK("https://www.otodom.pl/pl/oferta/rozkladowe-3-pokoje-na-retkini-ID4q9Qf.html", "https://www.otodom.pl/pl/oferta/rozkladowe-3-pokoje-na-retkini-ID4q9Qf.html")</f>
        <v/>
      </c>
      <c r="F107" t="inlineStr">
        <is>
          <t>olimpijska</t>
        </is>
      </c>
      <c r="G107" t="inlineStr">
        <is>
          <t>Retkinia</t>
        </is>
      </c>
      <c r="H107" t="inlineStr">
        <is>
          <t>Retkinia</t>
        </is>
      </c>
      <c r="I107" t="inlineStr">
        <is>
          <t>TAK</t>
        </is>
      </c>
      <c r="J107" t="inlineStr">
        <is>
          <t>TAK</t>
        </is>
      </c>
      <c r="K107" t="n">
        <v>798635952</v>
      </c>
      <c r="L107" t="n">
        <v>345000</v>
      </c>
      <c r="M107" t="n">
        <v>6513.120634321314</v>
      </c>
      <c r="N107" t="n">
        <v>52.97</v>
      </c>
      <c r="O107" t="inlineStr">
        <is>
          <t>3+k</t>
        </is>
      </c>
      <c r="P107" t="n">
        <v>4</v>
      </c>
      <c r="Q107" t="inlineStr">
        <is>
          <t>Puste posprzątane</t>
        </is>
      </c>
    </row>
    <row r="108">
      <c r="A108" t="n">
        <v>107</v>
      </c>
      <c r="B108" s="3" t="n">
        <v>45427</v>
      </c>
      <c r="C108" s="3" t="n">
        <v>45438</v>
      </c>
      <c r="D108" t="inlineStr">
        <is>
          <t>https://www.olx.pl/d/oferta/sloneczne-m3-z-duza-loggia-CID3-ID109x3i.html</t>
        </is>
      </c>
      <c r="E108">
        <f>HYPERLINK("https://www.olx.pl/d/oferta/sloneczne-m3-z-duza-loggia-CID3-ID109x3i.html", "https://www.olx.pl/d/oferta/sloneczne-m3-z-duza-loggia-CID3-ID109x3i.html")</f>
        <v/>
      </c>
      <c r="F108" t="inlineStr">
        <is>
          <t>rajdowa</t>
        </is>
      </c>
      <c r="G108" t="inlineStr">
        <is>
          <t>Retkinia</t>
        </is>
      </c>
      <c r="H108" t="inlineStr">
        <is>
          <t>Retkinia blisko centrum</t>
        </is>
      </c>
      <c r="I108" t="inlineStr">
        <is>
          <t>TAK</t>
        </is>
      </c>
      <c r="J108" t="inlineStr">
        <is>
          <t>TAK</t>
        </is>
      </c>
      <c r="K108" t="n">
        <v>510266546</v>
      </c>
      <c r="L108" t="n">
        <v>320000</v>
      </c>
      <c r="M108" t="n">
        <v>7543.611504007543</v>
      </c>
      <c r="N108" t="n">
        <v>42.42</v>
      </c>
      <c r="O108" t="inlineStr">
        <is>
          <t>2+k</t>
        </is>
      </c>
      <c r="P108" t="n">
        <v>6</v>
      </c>
      <c r="Q108" t="inlineStr">
        <is>
          <t>Puste</t>
        </is>
      </c>
    </row>
    <row r="109">
      <c r="A109" t="n">
        <v>108</v>
      </c>
      <c r="B109" s="3" t="n">
        <v>45427</v>
      </c>
      <c r="C109" s="3" t="n">
        <v>45438</v>
      </c>
      <c r="D109" t="inlineStr">
        <is>
          <t>https://adresowo.pl/o/n4l6v3</t>
        </is>
      </c>
      <c r="E109">
        <f>HYPERLINK("https://adresowo.pl/o/n4l6v3", "https://adresowo.pl/o/n4l6v3")</f>
        <v/>
      </c>
      <c r="F109" t="inlineStr">
        <is>
          <t>wileńska</t>
        </is>
      </c>
      <c r="G109" t="inlineStr">
        <is>
          <t>Retkinia</t>
        </is>
      </c>
      <c r="H109" t="inlineStr">
        <is>
          <t>Retkinia blisko centrum</t>
        </is>
      </c>
      <c r="I109" t="inlineStr">
        <is>
          <t>TAK</t>
        </is>
      </c>
      <c r="J109" t="inlineStr">
        <is>
          <t>NIE</t>
        </is>
      </c>
      <c r="L109" t="n">
        <v>330000</v>
      </c>
      <c r="M109" t="n">
        <v>7586.206896551724</v>
      </c>
      <c r="N109" t="n">
        <v>43.5</v>
      </c>
      <c r="O109" t="inlineStr">
        <is>
          <t>2+k</t>
        </is>
      </c>
      <c r="P109" t="n">
        <v>3</v>
      </c>
      <c r="Q109" t="inlineStr">
        <is>
          <t>Nie da się zamieszkać</t>
        </is>
      </c>
    </row>
    <row r="110">
      <c r="A110" t="n">
        <v>109</v>
      </c>
      <c r="B110" s="3" t="n">
        <v>45427</v>
      </c>
      <c r="D110" t="inlineStr">
        <is>
          <t>https://www.otodom.pl/pl/oferta/dabrowa-dwa-pokoje-pelen-rozklad-balkon-ID4s6Zy.html</t>
        </is>
      </c>
      <c r="E110">
        <f>HYPERLINK("https://www.otodom.pl/pl/oferta/dabrowa-dwa-pokoje-pelen-rozklad-balkon-ID4s6Zy.html", "https://www.otodom.pl/pl/oferta/dabrowa-dwa-pokoje-pelen-rozklad-balkon-ID4s6Zy.html")</f>
        <v/>
      </c>
      <c r="F110" t="inlineStr">
        <is>
          <t>umińskiego</t>
        </is>
      </c>
      <c r="G110" t="inlineStr">
        <is>
          <t>Dąbrowa</t>
        </is>
      </c>
      <c r="H110" t="inlineStr">
        <is>
          <t>Dąbrowa</t>
        </is>
      </c>
      <c r="I110" t="inlineStr">
        <is>
          <t>NIE</t>
        </is>
      </c>
      <c r="J110" t="inlineStr">
        <is>
          <t>TAK</t>
        </is>
      </c>
      <c r="K110" t="n">
        <v>883200511</v>
      </c>
      <c r="L110" t="n">
        <v>290000</v>
      </c>
      <c r="M110" t="n">
        <v>8096.035734226689</v>
      </c>
      <c r="N110" t="n">
        <v>35.82</v>
      </c>
      <c r="O110" t="inlineStr">
        <is>
          <t>2+k</t>
        </is>
      </c>
      <c r="P110" t="n">
        <v>3</v>
      </c>
      <c r="Q110" t="inlineStr">
        <is>
          <t>Nie da się zamieszkać</t>
        </is>
      </c>
    </row>
    <row r="111">
      <c r="A111" t="n">
        <v>110</v>
      </c>
      <c r="B111" s="3" t="n">
        <v>45427</v>
      </c>
      <c r="C111" s="3" t="n">
        <v>45548</v>
      </c>
      <c r="D111" t="inlineStr">
        <is>
          <t>https://www.otodom.pl/pl/oferta/3-pok-do-remontu-inwestycja-pokoje-widok-na-lodz-ID4rxuQ</t>
        </is>
      </c>
      <c r="E111">
        <f>HYPERLINK("https://www.otodom.pl/pl/oferta/3-pok-do-remontu-inwestycja-pokoje-widok-na-lodz-ID4rxuQ", "https://www.otodom.pl/pl/oferta/3-pok-do-remontu-inwestycja-pokoje-widok-na-lodz-ID4rxuQ")</f>
        <v/>
      </c>
      <c r="F111" t="inlineStr">
        <is>
          <t>zarzewska</t>
        </is>
      </c>
      <c r="G111" t="inlineStr">
        <is>
          <t>Górna</t>
        </is>
      </c>
      <c r="H111" t="inlineStr">
        <is>
          <t>Górna blisko centrum</t>
        </is>
      </c>
      <c r="I111" t="inlineStr">
        <is>
          <t>TAK</t>
        </is>
      </c>
      <c r="J111" t="inlineStr">
        <is>
          <t>NIE</t>
        </is>
      </c>
      <c r="K111" t="n">
        <v>600998787</v>
      </c>
      <c r="L111" t="n">
        <v>342000</v>
      </c>
      <c r="M111" t="n">
        <v>6483.412322274881</v>
      </c>
      <c r="N111" t="n">
        <v>52.75</v>
      </c>
      <c r="O111" t="inlineStr">
        <is>
          <t>2+k</t>
        </is>
      </c>
      <c r="P111" t="n">
        <v>11</v>
      </c>
      <c r="Q111" t="inlineStr">
        <is>
          <t>Puste</t>
        </is>
      </c>
      <c r="R111" t="inlineStr">
        <is>
          <t>14.07 było 374 20.07 było 337000</t>
        </is>
      </c>
    </row>
    <row r="112">
      <c r="A112" t="n">
        <v>111</v>
      </c>
      <c r="B112" s="3" t="n">
        <v>45427</v>
      </c>
      <c r="C112" s="3" t="n">
        <v>45432</v>
      </c>
      <c r="D112" t="inlineStr">
        <is>
          <t>https://www.olx.pl/d/oferta/widzew-60m2-rozkladowe-trzy-pokoje-z-balkonem-blok-CID3-ID10a67T.html</t>
        </is>
      </c>
      <c r="E112">
        <f>HYPERLINK("https://www.olx.pl/d/oferta/widzew-60m2-rozkladowe-trzy-pokoje-z-balkonem-blok-CID3-ID10a67T.html", "https://www.olx.pl/d/oferta/widzew-60m2-rozkladowe-trzy-pokoje-z-balkonem-blok-CID3-ID10a67T.html")</f>
        <v/>
      </c>
      <c r="F112" t="inlineStr">
        <is>
          <t>czajkowskiego</t>
        </is>
      </c>
      <c r="G112" t="inlineStr">
        <is>
          <t>Widzew</t>
        </is>
      </c>
      <c r="H112" t="inlineStr">
        <is>
          <t>Widzew</t>
        </is>
      </c>
      <c r="I112" t="inlineStr">
        <is>
          <t>TAK</t>
        </is>
      </c>
      <c r="J112" t="inlineStr">
        <is>
          <t>NIE</t>
        </is>
      </c>
      <c r="K112" t="n">
        <v>669422289</v>
      </c>
      <c r="L112" t="n">
        <v>424000</v>
      </c>
      <c r="M112" t="n">
        <v>7066.666666666667</v>
      </c>
      <c r="N112" t="n">
        <v>60</v>
      </c>
      <c r="O112" t="inlineStr">
        <is>
          <t>2+k</t>
        </is>
      </c>
      <c r="P112" t="n">
        <v>3</v>
      </c>
      <c r="Q112" t="inlineStr">
        <is>
          <t>Nie da się zamieszkać</t>
        </is>
      </c>
    </row>
    <row r="113">
      <c r="A113" t="n">
        <v>112</v>
      </c>
      <c r="B113" s="3" t="n">
        <v>45427</v>
      </c>
      <c r="C113" s="3" t="n">
        <v>45467</v>
      </c>
      <c r="D113" t="inlineStr">
        <is>
          <t>https://www.olx.pl/d/oferta/mieszkanie-na-kozinach-CID3-IDZc0Qz.html</t>
        </is>
      </c>
      <c r="E113">
        <f>HYPERLINK("https://www.olx.pl/d/oferta/mieszkanie-na-kozinach-CID3-IDZc0Qz.html", "https://www.olx.pl/d/oferta/mieszkanie-na-kozinach-CID3-IDZc0Qz.html")</f>
        <v/>
      </c>
      <c r="F113" t="inlineStr">
        <is>
          <t>okrzei</t>
        </is>
      </c>
      <c r="G113" t="inlineStr">
        <is>
          <t>Polesie</t>
        </is>
      </c>
      <c r="H113" t="inlineStr">
        <is>
          <t>Polesie</t>
        </is>
      </c>
      <c r="I113" t="inlineStr">
        <is>
          <t>TAK</t>
        </is>
      </c>
      <c r="J113" t="inlineStr">
        <is>
          <t>TAK</t>
        </is>
      </c>
      <c r="K113" t="n">
        <v>602713491</v>
      </c>
      <c r="L113" t="n">
        <v>255000</v>
      </c>
      <c r="M113" t="n">
        <v>6891.891891891892</v>
      </c>
      <c r="N113" t="n">
        <v>37</v>
      </c>
      <c r="O113" t="inlineStr">
        <is>
          <t>2+k</t>
        </is>
      </c>
      <c r="P113" t="n">
        <v>4</v>
      </c>
      <c r="Q113" t="inlineStr">
        <is>
          <t>Nie da się zamieszkać</t>
        </is>
      </c>
      <c r="R113" t="inlineStr">
        <is>
          <t>25.07.2024 było 280k</t>
        </is>
      </c>
    </row>
    <row r="114">
      <c r="A114" t="n">
        <v>113</v>
      </c>
      <c r="B114" s="3" t="n">
        <v>45427</v>
      </c>
      <c r="C114" s="3" t="n">
        <v>45456</v>
      </c>
      <c r="D114" t="inlineStr">
        <is>
          <t>https://adresowo.pl/o/p1z1i2</t>
        </is>
      </c>
      <c r="E114">
        <f>HYPERLINK("https://adresowo.pl/o/p1z1i2", "https://adresowo.pl/o/p1z1i2")</f>
        <v/>
      </c>
      <c r="F114" t="inlineStr">
        <is>
          <t>wrzesniewska</t>
        </is>
      </c>
      <c r="G114" t="inlineStr">
        <is>
          <t>Bałuty</t>
        </is>
      </c>
      <c r="H114" t="inlineStr">
        <is>
          <t>Bałuty</t>
        </is>
      </c>
      <c r="I114" t="inlineStr">
        <is>
          <t>TAK</t>
        </is>
      </c>
      <c r="J114" t="inlineStr">
        <is>
          <t>NIE</t>
        </is>
      </c>
      <c r="L114" t="n">
        <v>310000</v>
      </c>
      <c r="M114" t="n">
        <v>7928.388746803069</v>
      </c>
      <c r="N114" t="n">
        <v>39.1</v>
      </c>
      <c r="O114" t="inlineStr">
        <is>
          <t>2+k</t>
        </is>
      </c>
      <c r="P114" t="n">
        <v>5</v>
      </c>
      <c r="Q114" t="inlineStr">
        <is>
          <t>Puste posprzątane i odświeżone</t>
        </is>
      </c>
    </row>
    <row r="115">
      <c r="A115" t="n">
        <v>114</v>
      </c>
      <c r="B115" s="3" t="n">
        <v>45427</v>
      </c>
      <c r="C115" s="3" t="n">
        <v>45456</v>
      </c>
      <c r="D115" t="inlineStr">
        <is>
          <t>https://sprzedajemy.pl/rezerwacja-1-pietro-blok-z-cegly-rondo-lotnikow-lodz-4-1b8e55-6fpbc4-nr69308682</t>
        </is>
      </c>
      <c r="E115">
        <f>HYPERLINK("https://sprzedajemy.pl/rezerwacja-1-pietro-blok-z-cegly-rondo-lotnikow-lodz-4-1b8e55-6fpbc4-nr69308682", "https://sprzedajemy.pl/rezerwacja-1-pietro-blok-z-cegly-rondo-lotnikow-lodz-4-1b8e55-6fpbc4-nr69308682")</f>
        <v/>
      </c>
      <c r="F115" t="inlineStr">
        <is>
          <t>Rondo Lotników</t>
        </is>
      </c>
      <c r="G115" t="inlineStr">
        <is>
          <t>Górna</t>
        </is>
      </c>
      <c r="H115" t="inlineStr">
        <is>
          <t>Górna</t>
        </is>
      </c>
      <c r="I115" t="inlineStr">
        <is>
          <t>TAK</t>
        </is>
      </c>
      <c r="J115" t="inlineStr">
        <is>
          <t>TAK</t>
        </is>
      </c>
      <c r="K115" t="n">
        <v>500844149</v>
      </c>
      <c r="L115" t="n">
        <v>380000</v>
      </c>
      <c r="M115" t="n">
        <v>7495.069033530572</v>
      </c>
      <c r="N115" t="n">
        <v>50.7</v>
      </c>
      <c r="O115" t="inlineStr">
        <is>
          <t>2+k</t>
        </is>
      </c>
      <c r="P115" t="n">
        <v>1</v>
      </c>
      <c r="Q115" t="inlineStr">
        <is>
          <t>Nie da się zamieszkać</t>
        </is>
      </c>
    </row>
    <row r="116">
      <c r="A116" t="n">
        <v>115</v>
      </c>
      <c r="B116" s="3" t="n">
        <v>45427</v>
      </c>
      <c r="D116" t="inlineStr">
        <is>
          <t>https://www.krn.pl/oferta/mieszkanie-39-22m2-lodz,28621463</t>
        </is>
      </c>
      <c r="E116">
        <f>HYPERLINK("https://www.krn.pl/oferta/mieszkanie-39-22m2-lodz,28621463", "https://www.krn.pl/oferta/mieszkanie-39-22m2-lodz,28621463")</f>
        <v/>
      </c>
      <c r="F116" t="inlineStr">
        <is>
          <t>.</t>
        </is>
      </c>
      <c r="G116" t="inlineStr">
        <is>
          <t>Bałuty</t>
        </is>
      </c>
      <c r="H116" t="inlineStr">
        <is>
          <t>Bałuty</t>
        </is>
      </c>
      <c r="I116" t="inlineStr">
        <is>
          <t>NIE</t>
        </is>
      </c>
      <c r="J116" t="inlineStr">
        <is>
          <t>TAK</t>
        </is>
      </c>
      <c r="K116" t="n">
        <v>539313200</v>
      </c>
      <c r="L116" t="n">
        <v>290000</v>
      </c>
      <c r="M116" t="n">
        <v>7394.186639469659</v>
      </c>
      <c r="N116" t="n">
        <v>39.22</v>
      </c>
      <c r="O116" t="inlineStr">
        <is>
          <t>2+k</t>
        </is>
      </c>
      <c r="P116" t="n">
        <v>1</v>
      </c>
      <c r="Q116" t="inlineStr">
        <is>
          <t>Nie da się zamieszkać</t>
        </is>
      </c>
    </row>
    <row r="117">
      <c r="A117" t="n">
        <v>116</v>
      </c>
      <c r="B117" s="3" t="n">
        <v>45428</v>
      </c>
      <c r="C117" s="3" t="n">
        <v>45456</v>
      </c>
      <c r="D117" t="inlineStr">
        <is>
          <t>https://gratka.pl/nieruchomosci/mieszkanie-lodz/ob/34563805</t>
        </is>
      </c>
      <c r="E117">
        <f>HYPERLINK("https://gratka.pl/nieruchomosci/mieszkanie-lodz/ob/34563805", "https://gratka.pl/nieruchomosci/mieszkanie-lodz/ob/34563805")</f>
        <v/>
      </c>
      <c r="F117" t="inlineStr">
        <is>
          <t>obywatelska</t>
        </is>
      </c>
      <c r="G117" t="inlineStr">
        <is>
          <t>Retkinia</t>
        </is>
      </c>
      <c r="H117" t="inlineStr">
        <is>
          <t>Retkinia blisko centrum</t>
        </is>
      </c>
      <c r="I117" t="inlineStr">
        <is>
          <t>TAK</t>
        </is>
      </c>
      <c r="J117" t="inlineStr">
        <is>
          <t>TAK</t>
        </is>
      </c>
      <c r="K117" t="n">
        <v>608313120</v>
      </c>
      <c r="L117" t="n">
        <v>360000</v>
      </c>
      <c r="M117" t="n">
        <v>7366.482504604052</v>
      </c>
      <c r="N117" t="n">
        <v>48.87</v>
      </c>
      <c r="O117" t="inlineStr">
        <is>
          <t>2+k</t>
        </is>
      </c>
      <c r="P117" t="n">
        <v>0</v>
      </c>
      <c r="Q117" t="inlineStr">
        <is>
          <t>Nie da się zamieszkać</t>
        </is>
      </c>
    </row>
    <row r="118">
      <c r="A118" t="n">
        <v>117</v>
      </c>
      <c r="B118" s="3" t="n">
        <v>45428</v>
      </c>
      <c r="D118" t="inlineStr">
        <is>
          <t>https://www.otodom.pl/pl/oferta/2-pokojowe-mieszkanie-z-balkonem-na-teofilowie-ID4rMgm.html</t>
        </is>
      </c>
      <c r="E118">
        <f>HYPERLINK("https://www.otodom.pl/pl/oferta/2-pokojowe-mieszkanie-z-balkonem-na-teofilowie-ID4rMgm.html", "https://www.otodom.pl/pl/oferta/2-pokojowe-mieszkanie-z-balkonem-na-teofilowie-ID4rMgm.html")</f>
        <v/>
      </c>
      <c r="F118" t="inlineStr">
        <is>
          <t>lniana</t>
        </is>
      </c>
      <c r="G118" t="inlineStr">
        <is>
          <t>Teofilów</t>
        </is>
      </c>
      <c r="H118" t="inlineStr">
        <is>
          <t>Teofilów</t>
        </is>
      </c>
      <c r="I118" t="inlineStr">
        <is>
          <t>NIE</t>
        </is>
      </c>
      <c r="J118" t="inlineStr">
        <is>
          <t>NIE</t>
        </is>
      </c>
      <c r="K118" t="n">
        <v>786660356</v>
      </c>
      <c r="L118" t="n">
        <v>265000</v>
      </c>
      <c r="M118" t="n">
        <v>7232.532751091703</v>
      </c>
      <c r="N118" t="n">
        <v>36.64</v>
      </c>
      <c r="O118" t="inlineStr">
        <is>
          <t>2+k</t>
        </is>
      </c>
      <c r="P118" t="n">
        <v>4</v>
      </c>
      <c r="Q118" t="inlineStr">
        <is>
          <t>Puste</t>
        </is>
      </c>
      <c r="R118" t="inlineStr">
        <is>
          <t>https://adresowo.pl/o/d1b6v7   Być może ukryty numer do własciciela 18.08 było 289k</t>
        </is>
      </c>
    </row>
    <row r="119">
      <c r="A119" t="n">
        <v>118</v>
      </c>
      <c r="B119" s="3" t="n">
        <v>45428</v>
      </c>
      <c r="C119" s="3" t="n">
        <v>45467</v>
      </c>
      <c r="D119" t="inlineStr">
        <is>
          <t>https://gratka.pl/nieruchomosci/mieszkanie-lodz-baluty-ul-racjonalizatorow/ob/34591179</t>
        </is>
      </c>
      <c r="E119">
        <f>HYPERLINK("https://gratka.pl/nieruchomosci/mieszkanie-lodz-baluty-ul-racjonalizatorow/ob/34591179", "https://gratka.pl/nieruchomosci/mieszkanie-lodz-baluty-ul-racjonalizatorow/ob/34591179")</f>
        <v/>
      </c>
      <c r="F119" t="inlineStr">
        <is>
          <t>racjonalizatorow</t>
        </is>
      </c>
      <c r="G119" t="inlineStr">
        <is>
          <t>Bałuty</t>
        </is>
      </c>
      <c r="H119" t="inlineStr">
        <is>
          <t>Bałuty blisko centrum</t>
        </is>
      </c>
      <c r="I119" t="inlineStr">
        <is>
          <t>TAK</t>
        </is>
      </c>
      <c r="J119" t="inlineStr">
        <is>
          <t>TAK</t>
        </is>
      </c>
      <c r="K119" t="n">
        <v>510266546</v>
      </c>
      <c r="L119" t="n">
        <v>380000</v>
      </c>
      <c r="M119" t="n">
        <v>8102.345415778252</v>
      </c>
      <c r="N119" t="n">
        <v>46.9</v>
      </c>
      <c r="O119" t="inlineStr">
        <is>
          <t>2+k</t>
        </is>
      </c>
      <c r="P119" t="n">
        <v>3</v>
      </c>
      <c r="Q119" t="inlineStr">
        <is>
          <t>Nie da się zamieszkać</t>
        </is>
      </c>
      <c r="R119" t="inlineStr">
        <is>
          <t xml:space="preserve">Na pewno sprzedane nie wiadomo za ile </t>
        </is>
      </c>
    </row>
    <row r="120">
      <c r="A120" t="n">
        <v>119</v>
      </c>
      <c r="B120" s="3" t="n">
        <v>45428</v>
      </c>
      <c r="C120" s="3" t="n">
        <v>45438</v>
      </c>
      <c r="D120" t="inlineStr">
        <is>
          <t>https://www.domiporta.pl/nieruchomosci/sprzedam-kawalerke-lodz-koziny-wapienna-27m2/155149790</t>
        </is>
      </c>
      <c r="E120">
        <f>HYPERLINK("https://www.domiporta.pl/nieruchomosci/sprzedam-kawalerke-lodz-koziny-wapienna-27m2/155149790", "https://www.domiporta.pl/nieruchomosci/sprzedam-kawalerke-lodz-koziny-wapienna-27m2/155149790")</f>
        <v/>
      </c>
      <c r="F120" t="inlineStr">
        <is>
          <t>wapienna</t>
        </is>
      </c>
      <c r="G120" t="inlineStr">
        <is>
          <t>Polesie</t>
        </is>
      </c>
      <c r="H120" t="inlineStr">
        <is>
          <t>Polesie</t>
        </is>
      </c>
      <c r="I120" t="inlineStr">
        <is>
          <t>TAK</t>
        </is>
      </c>
      <c r="J120" t="inlineStr">
        <is>
          <t>NIE</t>
        </is>
      </c>
      <c r="K120" t="n">
        <v>518322634</v>
      </c>
      <c r="L120" t="n">
        <v>220000</v>
      </c>
      <c r="M120" t="n">
        <v>8148.148148148148</v>
      </c>
      <c r="N120" t="n">
        <v>27</v>
      </c>
      <c r="O120" t="inlineStr">
        <is>
          <t>1+k</t>
        </is>
      </c>
      <c r="P120" t="n">
        <v>2</v>
      </c>
      <c r="Q120" t="inlineStr">
        <is>
          <t>Nie da się zamieszkać</t>
        </is>
      </c>
    </row>
    <row r="121">
      <c r="A121" t="n">
        <v>120</v>
      </c>
      <c r="B121" s="3" t="n">
        <v>45428</v>
      </c>
      <c r="D121" t="inlineStr">
        <is>
          <t>https://lodz.nieruchomosci-online.pl/mieszkanie,na-sprzedaz/24883827.html</t>
        </is>
      </c>
      <c r="E121">
        <f>HYPERLINK("https://lodz.nieruchomosci-online.pl/mieszkanie,na-sprzedaz/24883827.html", "https://lodz.nieruchomosci-online.pl/mieszkanie,na-sprzedaz/24883827.html")</f>
        <v/>
      </c>
      <c r="F121" t="inlineStr">
        <is>
          <t>łagiewnicka</t>
        </is>
      </c>
      <c r="G121" t="inlineStr">
        <is>
          <t>Bałuty</t>
        </is>
      </c>
      <c r="H121" t="inlineStr">
        <is>
          <t>Dalekie bałuty</t>
        </is>
      </c>
      <c r="I121" t="inlineStr">
        <is>
          <t>NIE</t>
        </is>
      </c>
      <c r="J121" t="inlineStr">
        <is>
          <t>TAK</t>
        </is>
      </c>
      <c r="K121" t="n">
        <v>535675816</v>
      </c>
      <c r="L121" t="n">
        <v>357700</v>
      </c>
      <c r="M121" t="n">
        <v>6624.074074074074</v>
      </c>
      <c r="N121" t="n">
        <v>54</v>
      </c>
      <c r="O121" t="inlineStr">
        <is>
          <t>2+k</t>
        </is>
      </c>
      <c r="P121" t="n">
        <v>4</v>
      </c>
      <c r="Q121" t="inlineStr">
        <is>
          <t>Puste posprzątane</t>
        </is>
      </c>
      <c r="R121" t="inlineStr">
        <is>
          <t>11.07 było 358700 ---06.08 telefon :  Remontowane przez ekipe  cena będzie inna.</t>
        </is>
      </c>
    </row>
    <row r="122">
      <c r="A122" t="n">
        <v>121</v>
      </c>
      <c r="B122" s="3" t="n">
        <v>45428</v>
      </c>
      <c r="D122" t="inlineStr">
        <is>
          <t>https://adresowo.pl/o/s0z8t8</t>
        </is>
      </c>
      <c r="E122">
        <f>HYPERLINK("https://adresowo.pl/o/s0z8t8", "https://adresowo.pl/o/s0z8t8")</f>
        <v/>
      </c>
      <c r="F122" t="inlineStr">
        <is>
          <t>Jurczyńskiego</t>
        </is>
      </c>
      <c r="G122" t="inlineStr">
        <is>
          <t>Widzew</t>
        </is>
      </c>
      <c r="H122" t="inlineStr">
        <is>
          <t>Widzew</t>
        </is>
      </c>
      <c r="I122" t="inlineStr">
        <is>
          <t>NIE</t>
        </is>
      </c>
      <c r="J122" t="inlineStr">
        <is>
          <t>NIE</t>
        </is>
      </c>
      <c r="L122" t="n">
        <v>390000</v>
      </c>
      <c r="M122" t="n">
        <v>7800</v>
      </c>
      <c r="N122" t="n">
        <v>50</v>
      </c>
      <c r="O122" t="inlineStr">
        <is>
          <t>2+k</t>
        </is>
      </c>
      <c r="P122" t="n">
        <v>4</v>
      </c>
      <c r="Q122" t="inlineStr">
        <is>
          <t>Nie da się zamieszkać</t>
        </is>
      </c>
    </row>
    <row r="123">
      <c r="A123" t="n">
        <v>122</v>
      </c>
      <c r="B123" s="3" t="n">
        <v>45428</v>
      </c>
      <c r="C123" s="3" t="n">
        <v>45432</v>
      </c>
      <c r="D123" t="inlineStr">
        <is>
          <t>https://www.olx.pl/d/oferta/37-m2-blisko-politechniki-CID3-IDWIIJX.html</t>
        </is>
      </c>
      <c r="E123">
        <f>HYPERLINK("https://www.olx.pl/d/oferta/37-m2-blisko-politechniki-CID3-IDWIIJX.html", "https://www.olx.pl/d/oferta/37-m2-blisko-politechniki-CID3-IDWIIJX.html")</f>
        <v/>
      </c>
      <c r="G123" t="inlineStr">
        <is>
          <t>Górna</t>
        </is>
      </c>
      <c r="H123" t="inlineStr">
        <is>
          <t>Górna</t>
        </is>
      </c>
      <c r="I123" t="inlineStr">
        <is>
          <t>TAK</t>
        </is>
      </c>
      <c r="J123" t="inlineStr">
        <is>
          <t>NIE</t>
        </is>
      </c>
      <c r="K123" t="n">
        <v>692417463</v>
      </c>
      <c r="L123" t="n">
        <v>277000</v>
      </c>
      <c r="M123" t="n">
        <v>7376.830892143809</v>
      </c>
      <c r="N123" t="n">
        <v>37.55</v>
      </c>
      <c r="O123" t="inlineStr">
        <is>
          <t>2+k</t>
        </is>
      </c>
      <c r="P123" t="n">
        <v>0</v>
      </c>
      <c r="Q123" t="inlineStr">
        <is>
          <t>Da się zamieszkać</t>
        </is>
      </c>
    </row>
    <row r="124">
      <c r="A124" t="n">
        <v>123</v>
      </c>
      <c r="B124" s="3" t="n">
        <v>45428</v>
      </c>
      <c r="C124" s="3" t="n">
        <v>45497</v>
      </c>
      <c r="D124" t="inlineStr">
        <is>
          <t>https://www.olx.pl/d/oferta/teofilow-dwa-pokoje-okazja-CID3-ID10aCkp.html?isPreviewActive=0&amp;sliderIndex=0</t>
        </is>
      </c>
      <c r="E124">
        <f>HYPERLINK("https://www.olx.pl/d/oferta/teofilow-dwa-pokoje-okazja-CID3-ID10aCkp.html?isPreviewActive=0&amp;sliderIndex=0", "https://www.olx.pl/d/oferta/teofilow-dwa-pokoje-okazja-CID3-ID10aCkp.html?isPreviewActive=0&amp;sliderIndex=0")</f>
        <v/>
      </c>
      <c r="F124" t="inlineStr">
        <is>
          <t>łanowa</t>
        </is>
      </c>
      <c r="G124" t="inlineStr">
        <is>
          <t>Teofilów</t>
        </is>
      </c>
      <c r="H124" t="inlineStr">
        <is>
          <t>Teofilów</t>
        </is>
      </c>
      <c r="I124" t="inlineStr">
        <is>
          <t>TAK</t>
        </is>
      </c>
      <c r="J124" t="inlineStr">
        <is>
          <t>NIE</t>
        </is>
      </c>
      <c r="K124" t="n">
        <v>666969178</v>
      </c>
      <c r="L124" t="n">
        <v>286000</v>
      </c>
      <c r="M124" t="n">
        <v>7729.72972972973</v>
      </c>
      <c r="N124" t="n">
        <v>37</v>
      </c>
      <c r="O124" t="inlineStr">
        <is>
          <t>2+k</t>
        </is>
      </c>
      <c r="P124" t="n">
        <v>3</v>
      </c>
      <c r="Q124" t="inlineStr">
        <is>
          <t>Da się zamieszkać</t>
        </is>
      </c>
      <c r="R124" t="inlineStr">
        <is>
          <t>Łazienka w stanie ok nie sprzedaje się zeszli do 273000</t>
        </is>
      </c>
    </row>
    <row r="125">
      <c r="A125" t="n">
        <v>124</v>
      </c>
      <c r="B125" s="3" t="n">
        <v>45429</v>
      </c>
      <c r="C125" s="3" t="n">
        <v>45532</v>
      </c>
      <c r="D125" t="inlineStr">
        <is>
          <t>https://gratka.pl/nieruchomosci/mieszkanie-lodz-gorna-ul-gojawiczynskiej/ob/34606487</t>
        </is>
      </c>
      <c r="E125">
        <f>HYPERLINK("https://gratka.pl/nieruchomosci/mieszkanie-lodz-gorna-ul-gojawiczynskiej/ob/34606487", "https://gratka.pl/nieruchomosci/mieszkanie-lodz-gorna-ul-gojawiczynskiej/ob/34606487")</f>
        <v/>
      </c>
      <c r="F125" t="inlineStr">
        <is>
          <t>gojawiczyńska</t>
        </is>
      </c>
      <c r="G125" t="inlineStr">
        <is>
          <t>Dąbrowa</t>
        </is>
      </c>
      <c r="H125" t="inlineStr">
        <is>
          <t>Dąbrowa</t>
        </is>
      </c>
      <c r="I125" t="inlineStr">
        <is>
          <t>TAK</t>
        </is>
      </c>
      <c r="J125" t="inlineStr">
        <is>
          <t>TAK</t>
        </is>
      </c>
      <c r="K125" t="n">
        <v>576317000</v>
      </c>
      <c r="L125" t="n">
        <v>275500</v>
      </c>
      <c r="M125" t="n">
        <v>7498.639085465433</v>
      </c>
      <c r="N125" t="n">
        <v>36.74</v>
      </c>
      <c r="O125" t="inlineStr">
        <is>
          <t>2+k</t>
        </is>
      </c>
      <c r="P125" t="n">
        <v>2</v>
      </c>
      <c r="Q125" t="inlineStr">
        <is>
          <t>Nie da się zamieszkać</t>
        </is>
      </c>
    </row>
    <row r="126">
      <c r="A126" t="n">
        <v>125</v>
      </c>
      <c r="B126" s="3" t="n">
        <v>45429</v>
      </c>
      <c r="C126" s="3" t="n">
        <v>45456</v>
      </c>
      <c r="D126" t="inlineStr">
        <is>
          <t>https://www.olx.pl/d/oferta/gorna-rokicie-wieksze-m-3-w-bloku-z-cegly-CID3-ID10bEZX.html?isPreviewActive=0&amp;sliderIndex=0</t>
        </is>
      </c>
      <c r="E126">
        <f>HYPERLINK("https://www.olx.pl/d/oferta/gorna-rokicie-wieksze-m-3-w-bloku-z-cegly-CID3-ID10bEZX.html?isPreviewActive=0&amp;sliderIndex=0", "https://www.olx.pl/d/oferta/gorna-rokicie-wieksze-m-3-w-bloku-z-cegly-CID3-ID10bEZX.html?isPreviewActive=0&amp;sliderIndex=0")</f>
        <v/>
      </c>
      <c r="F126" t="inlineStr">
        <is>
          <t>rokicie</t>
        </is>
      </c>
      <c r="G126" t="inlineStr">
        <is>
          <t>Retkinia</t>
        </is>
      </c>
      <c r="H126" t="inlineStr">
        <is>
          <t>Retkinia blisko centrum</t>
        </is>
      </c>
      <c r="I126" t="inlineStr">
        <is>
          <t>TAK</t>
        </is>
      </c>
      <c r="J126" t="inlineStr">
        <is>
          <t>NIE</t>
        </is>
      </c>
      <c r="K126" t="n">
        <v>501579748</v>
      </c>
      <c r="L126" t="n">
        <v>360000</v>
      </c>
      <c r="M126" t="n">
        <v>6666.666666666667</v>
      </c>
      <c r="N126" t="n">
        <v>54</v>
      </c>
      <c r="O126" t="inlineStr">
        <is>
          <t>2+k</t>
        </is>
      </c>
      <c r="P126" t="n">
        <v>1</v>
      </c>
      <c r="Q126" t="inlineStr">
        <is>
          <t>Nie da się zamieszkać</t>
        </is>
      </c>
      <c r="R126" t="inlineStr">
        <is>
          <t>podobno łazienka wyremontowane brak zdjec</t>
        </is>
      </c>
    </row>
    <row r="127">
      <c r="A127" t="n">
        <v>126</v>
      </c>
      <c r="B127" s="3" t="n">
        <v>45429</v>
      </c>
      <c r="C127" s="3" t="n">
        <v>45467</v>
      </c>
      <c r="D127" t="inlineStr">
        <is>
          <t>https://www.olx.pl/d/oferta/do-sprzedazy-2-pokoje-50-m2-do-remontu-chojny-CID3-ID10bNJI.html</t>
        </is>
      </c>
      <c r="E127">
        <f>HYPERLINK("https://www.olx.pl/d/oferta/do-sprzedazy-2-pokoje-50-m2-do-remontu-chojny-CID3-ID10bNJI.html", "https://www.olx.pl/d/oferta/do-sprzedazy-2-pokoje-50-m2-do-remontu-chojny-CID3-ID10bNJI.html")</f>
        <v/>
      </c>
      <c r="F127" t="inlineStr">
        <is>
          <t>chojny</t>
        </is>
      </c>
      <c r="G127" t="inlineStr">
        <is>
          <t>Górna</t>
        </is>
      </c>
      <c r="H127" t="inlineStr">
        <is>
          <t>Daleka górna</t>
        </is>
      </c>
      <c r="I127" t="inlineStr">
        <is>
          <t>TAK</t>
        </is>
      </c>
      <c r="J127" t="inlineStr">
        <is>
          <t>TAK</t>
        </is>
      </c>
      <c r="K127" t="n">
        <v>501078049</v>
      </c>
      <c r="L127" t="n">
        <v>330000</v>
      </c>
      <c r="M127" t="n">
        <v>6590.772917914919</v>
      </c>
      <c r="N127" t="n">
        <v>50.07</v>
      </c>
      <c r="O127" t="inlineStr">
        <is>
          <t>2+k</t>
        </is>
      </c>
      <c r="P127" t="n">
        <v>3</v>
      </c>
      <c r="Q127" t="inlineStr">
        <is>
          <t>Nie da się zamieszkać</t>
        </is>
      </c>
    </row>
    <row r="128">
      <c r="A128" t="n">
        <v>127</v>
      </c>
      <c r="B128" s="3" t="n">
        <v>45429</v>
      </c>
      <c r="C128" s="3" t="n">
        <v>45510</v>
      </c>
      <c r="D128" t="inlineStr">
        <is>
          <t>https://nieruchomosci.gratka.pl/nieruchomosci/mieszkanie-lodz-baluty-lniana/ob/36409083</t>
        </is>
      </c>
      <c r="E128">
        <f>HYPERLINK("https://nieruchomosci.gratka.pl/nieruchomosci/mieszkanie-lodz-baluty-lniana/ob/36409083", "https://nieruchomosci.gratka.pl/nieruchomosci/mieszkanie-lodz-baluty-lniana/ob/36409083")</f>
        <v/>
      </c>
      <c r="F128" t="inlineStr">
        <is>
          <t>lniana</t>
        </is>
      </c>
      <c r="G128" t="inlineStr">
        <is>
          <t>Teofilów</t>
        </is>
      </c>
      <c r="H128" t="inlineStr">
        <is>
          <t>Teofilów</t>
        </is>
      </c>
      <c r="I128" t="inlineStr">
        <is>
          <t>TAK</t>
        </is>
      </c>
      <c r="J128" t="inlineStr">
        <is>
          <t>TAK</t>
        </is>
      </c>
      <c r="K128" t="n">
        <v>535019375</v>
      </c>
      <c r="L128" t="n">
        <v>259000</v>
      </c>
      <c r="M128" t="n">
        <v>7068.777292576419</v>
      </c>
      <c r="N128" t="n">
        <v>36.64</v>
      </c>
      <c r="O128" t="inlineStr">
        <is>
          <t>2+k</t>
        </is>
      </c>
      <c r="P128" t="n">
        <v>1</v>
      </c>
      <c r="Q128" t="inlineStr">
        <is>
          <t>Nie da się zamieszkać</t>
        </is>
      </c>
      <c r="R128" t="inlineStr">
        <is>
          <t>było 275000 23.07 było 269k  28.08 było 265k</t>
        </is>
      </c>
    </row>
    <row r="129">
      <c r="A129" t="n">
        <v>128</v>
      </c>
      <c r="B129" s="3" t="n">
        <v>45429</v>
      </c>
      <c r="C129" s="3" t="n">
        <v>45438</v>
      </c>
      <c r="D129" t="inlineStr">
        <is>
          <t>https://www.olx.pl/d/oferta/przy-parku-nad-jasieniem-CID3-IDZc4wY.html</t>
        </is>
      </c>
      <c r="E129">
        <f>HYPERLINK("https://www.olx.pl/d/oferta/przy-parku-nad-jasieniem-CID3-IDZc4wY.html", "https://www.olx.pl/d/oferta/przy-parku-nad-jasieniem-CID3-IDZc4wY.html")</f>
        <v/>
      </c>
      <c r="F129" t="inlineStr">
        <is>
          <t>park nad jasieniem</t>
        </is>
      </c>
      <c r="G129" t="inlineStr">
        <is>
          <t>Widzew</t>
        </is>
      </c>
      <c r="H129" t="inlineStr">
        <is>
          <t>Widzew blisko centrum</t>
        </is>
      </c>
      <c r="I129" t="inlineStr">
        <is>
          <t>TAK</t>
        </is>
      </c>
      <c r="J129" t="inlineStr">
        <is>
          <t>NIE</t>
        </is>
      </c>
      <c r="K129" t="n">
        <v>500502510</v>
      </c>
      <c r="L129" t="n">
        <v>409000</v>
      </c>
      <c r="M129" t="n">
        <v>7175.438596491228</v>
      </c>
      <c r="N129" t="n">
        <v>57</v>
      </c>
      <c r="O129" t="n">
        <v>3</v>
      </c>
      <c r="P129" t="n">
        <v>7</v>
      </c>
      <c r="Q129" t="inlineStr">
        <is>
          <t>Puste posprzątane i odświeżone</t>
        </is>
      </c>
    </row>
    <row r="130">
      <c r="A130" t="n">
        <v>129</v>
      </c>
      <c r="B130" s="3" t="n">
        <v>45429</v>
      </c>
      <c r="C130" s="3" t="n">
        <v>45467</v>
      </c>
      <c r="D130" t="inlineStr">
        <is>
          <t>https://www.otodom.pl/pl/oferta/retkinia-2-pokoje-z-balkonem-ID4qEdV</t>
        </is>
      </c>
      <c r="E130">
        <f>HYPERLINK("https://www.otodom.pl/pl/oferta/retkinia-2-pokoje-z-balkonem-ID4qEdV", "https://www.otodom.pl/pl/oferta/retkinia-2-pokoje-z-balkonem-ID4qEdV")</f>
        <v/>
      </c>
      <c r="F130" t="inlineStr">
        <is>
          <t>wioślarska</t>
        </is>
      </c>
      <c r="G130" t="inlineStr">
        <is>
          <t>Retkinia</t>
        </is>
      </c>
      <c r="H130" t="inlineStr">
        <is>
          <t>Retkinia blisko centrum</t>
        </is>
      </c>
      <c r="I130" t="inlineStr">
        <is>
          <t>TAK</t>
        </is>
      </c>
      <c r="J130" t="inlineStr">
        <is>
          <t>NIE</t>
        </is>
      </c>
      <c r="K130" t="n">
        <v>511189121</v>
      </c>
      <c r="L130" t="n">
        <v>309000</v>
      </c>
      <c r="M130" t="n">
        <v>7445.78313253012</v>
      </c>
      <c r="N130" t="n">
        <v>41.5</v>
      </c>
      <c r="O130" t="inlineStr">
        <is>
          <t>2+k</t>
        </is>
      </c>
      <c r="P130" t="n">
        <v>2</v>
      </c>
      <c r="Q130" t="inlineStr">
        <is>
          <t>Puste</t>
        </is>
      </c>
    </row>
    <row r="131">
      <c r="A131" t="n">
        <v>130</v>
      </c>
      <c r="B131" s="3" t="n">
        <v>45429</v>
      </c>
      <c r="C131" s="3" t="n">
        <v>45522</v>
      </c>
      <c r="D131" t="inlineStr">
        <is>
          <t>https://www.otodom.pl/pl/oferta/loggia2pokoje-3pietrodo-remontu-pod-inwestycje-ID4pWNH.html</t>
        </is>
      </c>
      <c r="E131">
        <f>HYPERLINK("https://www.otodom.pl/pl/oferta/loggia2pokoje-3pietrodo-remontu-pod-inwestycje-ID4pWNH.html", "https://www.otodom.pl/pl/oferta/loggia2pokoje-3pietrodo-remontu-pod-inwestycje-ID4pWNH.html")</f>
        <v/>
      </c>
      <c r="F131" t="inlineStr">
        <is>
          <t>wróbla 19</t>
        </is>
      </c>
      <c r="G131" t="inlineStr">
        <is>
          <t>Bałuty</t>
        </is>
      </c>
      <c r="H131" t="inlineStr">
        <is>
          <t>Bałuty blisko centrum</t>
        </is>
      </c>
      <c r="I131" t="inlineStr">
        <is>
          <t>TAK</t>
        </is>
      </c>
      <c r="J131" t="inlineStr">
        <is>
          <t>TAK</t>
        </is>
      </c>
      <c r="K131" t="n">
        <v>530195255</v>
      </c>
      <c r="L131" t="n">
        <v>210000</v>
      </c>
      <c r="M131" t="n">
        <v>7933.509633547413</v>
      </c>
      <c r="N131" t="n">
        <v>26.47</v>
      </c>
      <c r="O131" t="inlineStr">
        <is>
          <t>1+k</t>
        </is>
      </c>
      <c r="P131" t="n">
        <v>3</v>
      </c>
      <c r="Q131" t="inlineStr">
        <is>
          <t>Puste</t>
        </is>
      </c>
    </row>
    <row r="132">
      <c r="A132" t="n">
        <v>131</v>
      </c>
      <c r="B132" s="3" t="n">
        <v>45429</v>
      </c>
      <c r="C132" s="3" t="n">
        <v>45467</v>
      </c>
      <c r="D132" t="inlineStr">
        <is>
          <t>https://www.olx.pl/d/oferta/mieszkanie-na-sprzedaz-CID3-ID10chag.html</t>
        </is>
      </c>
      <c r="E132">
        <f>HYPERLINK("https://www.olx.pl/d/oferta/mieszkanie-na-sprzedaz-CID3-ID10chag.html", "https://www.olx.pl/d/oferta/mieszkanie-na-sprzedaz-CID3-ID10chag.html")</f>
        <v/>
      </c>
      <c r="F132" t="inlineStr">
        <is>
          <t>park podolskiego</t>
        </is>
      </c>
      <c r="G132" t="inlineStr">
        <is>
          <t>Dąbrowa</t>
        </is>
      </c>
      <c r="H132" t="inlineStr">
        <is>
          <t>Dąbrowa</t>
        </is>
      </c>
      <c r="I132" t="inlineStr">
        <is>
          <t>TAK</t>
        </is>
      </c>
      <c r="J132" t="inlineStr">
        <is>
          <t>NIE</t>
        </is>
      </c>
      <c r="K132" t="n">
        <v>506860092</v>
      </c>
      <c r="L132" t="n">
        <v>285000</v>
      </c>
      <c r="M132" t="n">
        <v>7702.702702702702</v>
      </c>
      <c r="N132" t="n">
        <v>37</v>
      </c>
      <c r="O132" t="inlineStr">
        <is>
          <t>2+k</t>
        </is>
      </c>
      <c r="P132" t="n">
        <v>9</v>
      </c>
      <c r="Q132" t="inlineStr">
        <is>
          <t>Puste posprzątane</t>
        </is>
      </c>
    </row>
    <row r="133">
      <c r="A133" t="n">
        <v>132</v>
      </c>
      <c r="B133" s="3" t="n">
        <v>45430</v>
      </c>
      <c r="C133" s="3" t="n">
        <v>45497</v>
      </c>
      <c r="D133" t="inlineStr">
        <is>
          <t>https://www.otodom.pl/pl/oferta/wspaniale-2-pokojowe-mieszkanie-46-m-ID4raD4</t>
        </is>
      </c>
      <c r="E133">
        <f>HYPERLINK("https://www.otodom.pl/pl/oferta/wspaniale-2-pokojowe-mieszkanie-46-m-ID4raD4", "https://www.otodom.pl/pl/oferta/wspaniale-2-pokojowe-mieszkanie-46-m-ID4raD4")</f>
        <v/>
      </c>
      <c r="F133" t="inlineStr">
        <is>
          <t xml:space="preserve">pułaskiego </t>
        </is>
      </c>
      <c r="G133" t="inlineStr">
        <is>
          <t>Teofilów</t>
        </is>
      </c>
      <c r="H133" t="inlineStr">
        <is>
          <t>Teofilów</t>
        </is>
      </c>
      <c r="I133" t="inlineStr">
        <is>
          <t>TAK</t>
        </is>
      </c>
      <c r="J133" t="inlineStr">
        <is>
          <t>NIE</t>
        </is>
      </c>
      <c r="K133" t="n">
        <v>511483045</v>
      </c>
      <c r="L133" t="n">
        <v>320000</v>
      </c>
      <c r="M133" t="n">
        <v>6874.328678839957</v>
      </c>
      <c r="N133" t="n">
        <v>46.55</v>
      </c>
      <c r="O133" t="inlineStr">
        <is>
          <t>2+k</t>
        </is>
      </c>
      <c r="P133" t="n">
        <v>0</v>
      </c>
      <c r="Q133" t="inlineStr">
        <is>
          <t>Puste posprzątane i odświeżone</t>
        </is>
      </c>
      <c r="R133" t="inlineStr">
        <is>
          <t>było 358000</t>
        </is>
      </c>
    </row>
    <row r="134">
      <c r="A134" t="n">
        <v>133</v>
      </c>
      <c r="B134" s="3" t="n">
        <v>45430</v>
      </c>
      <c r="C134" s="3" t="n">
        <v>45522</v>
      </c>
      <c r="D134" t="inlineStr">
        <is>
          <t>https://www.olx.pl/d/oferta/mieszkanie-m-3-na-sprzedaz-CID3-IDZLsyp.html?isPreviewActive=0&amp;sliderIndex=5</t>
        </is>
      </c>
      <c r="E134">
        <f>HYPERLINK("https://www.olx.pl/d/oferta/mieszkanie-m-3-na-sprzedaz-CID3-IDZLsyp.html?isPreviewActive=0&amp;sliderIndex=5", "https://www.olx.pl/d/oferta/mieszkanie-m-3-na-sprzedaz-CID3-IDZLsyp.html?isPreviewActive=0&amp;sliderIndex=5")</f>
        <v/>
      </c>
      <c r="F134" t="inlineStr">
        <is>
          <t xml:space="preserve">dąbrowskiego </t>
        </is>
      </c>
      <c r="G134" t="inlineStr">
        <is>
          <t>Dąbrowa</t>
        </is>
      </c>
      <c r="H134" t="inlineStr">
        <is>
          <t>Dąbrowa</t>
        </is>
      </c>
      <c r="I134" t="inlineStr">
        <is>
          <t>TAK</t>
        </is>
      </c>
      <c r="J134" t="inlineStr">
        <is>
          <t>NIE</t>
        </is>
      </c>
      <c r="K134" t="n">
        <v>725799278</v>
      </c>
      <c r="L134" t="n">
        <v>290000</v>
      </c>
      <c r="M134" t="n">
        <v>7923.497267759562</v>
      </c>
      <c r="N134" t="n">
        <v>36.6</v>
      </c>
      <c r="O134" t="inlineStr">
        <is>
          <t>2+k</t>
        </is>
      </c>
      <c r="P134" t="n">
        <v>0</v>
      </c>
      <c r="Q134" t="inlineStr">
        <is>
          <t>Nie da się zamieszkać</t>
        </is>
      </c>
    </row>
    <row r="135">
      <c r="A135" t="n">
        <v>134</v>
      </c>
      <c r="B135" s="3" t="n">
        <v>45430</v>
      </c>
      <c r="D135" t="inlineStr">
        <is>
          <t>https://www.otodom.pl/pl/oferta/dwupokojowe-mieszkanie-na-sprzedaz-ID4qpyt.html</t>
        </is>
      </c>
      <c r="E135">
        <f>HYPERLINK("https://www.otodom.pl/pl/oferta/dwupokojowe-mieszkanie-na-sprzedaz-ID4qpyt.html", "https://www.otodom.pl/pl/oferta/dwupokojowe-mieszkanie-na-sprzedaz-ID4qpyt.html")</f>
        <v/>
      </c>
      <c r="F135" t="inlineStr">
        <is>
          <t>andrzeja radka</t>
        </is>
      </c>
      <c r="G135" t="inlineStr">
        <is>
          <t>Teofilów</t>
        </is>
      </c>
      <c r="H135" t="inlineStr">
        <is>
          <t>Teofilów</t>
        </is>
      </c>
      <c r="I135" t="inlineStr">
        <is>
          <t>NIE</t>
        </is>
      </c>
      <c r="J135" t="inlineStr">
        <is>
          <t>TAK</t>
        </is>
      </c>
      <c r="K135" t="n">
        <v>728881244</v>
      </c>
      <c r="L135" t="n">
        <v>356000</v>
      </c>
      <c r="M135" t="n">
        <v>7893.569844789356</v>
      </c>
      <c r="N135" t="n">
        <v>45.1</v>
      </c>
      <c r="O135" t="inlineStr">
        <is>
          <t>2+k</t>
        </is>
      </c>
      <c r="P135" t="n">
        <v>3</v>
      </c>
      <c r="Q135" t="inlineStr">
        <is>
          <t>Puste posprzątane i odświeżone</t>
        </is>
      </c>
    </row>
    <row r="136">
      <c r="A136" t="n">
        <v>135</v>
      </c>
      <c r="B136" s="3" t="n">
        <v>45431</v>
      </c>
      <c r="C136" s="3" t="n">
        <v>45456</v>
      </c>
      <c r="D136" t="inlineStr">
        <is>
          <t>https://adresowo.pl/o/q6p8a9</t>
        </is>
      </c>
      <c r="E136">
        <f>HYPERLINK("https://adresowo.pl/o/q6p8a9", "https://adresowo.pl/o/q6p8a9")</f>
        <v/>
      </c>
      <c r="F136" t="inlineStr">
        <is>
          <t>przemysłowa</t>
        </is>
      </c>
      <c r="G136" t="inlineStr">
        <is>
          <t>Bałuty</t>
        </is>
      </c>
      <c r="H136" t="inlineStr">
        <is>
          <t>Bałuty</t>
        </is>
      </c>
      <c r="I136" t="inlineStr">
        <is>
          <t>TAK</t>
        </is>
      </c>
      <c r="J136" t="inlineStr">
        <is>
          <t>NIE</t>
        </is>
      </c>
      <c r="L136" t="n">
        <v>175000</v>
      </c>
      <c r="M136" t="n">
        <v>7000</v>
      </c>
      <c r="N136" t="n">
        <v>25</v>
      </c>
      <c r="O136" t="inlineStr">
        <is>
          <t>1+k</t>
        </is>
      </c>
      <c r="P136" t="n">
        <v>2</v>
      </c>
      <c r="Q136" t="inlineStr">
        <is>
          <t>Nie da się zamieszkać</t>
        </is>
      </c>
    </row>
    <row r="137">
      <c r="A137" t="n">
        <v>136</v>
      </c>
      <c r="B137" s="3" t="n">
        <v>45431</v>
      </c>
      <c r="C137" s="3" t="n">
        <v>45446</v>
      </c>
      <c r="D137" t="inlineStr">
        <is>
          <t>https://gratka.pl/nieruchomosci/mieszkanie-lodz-gorna-ul-podgorna/ob/34621333#gallery</t>
        </is>
      </c>
      <c r="E137">
        <f>HYPERLINK("https://gratka.pl/nieruchomosci/mieszkanie-lodz-gorna-ul-podgorna/ob/34621333#gallery", "https://gratka.pl/nieruchomosci/mieszkanie-lodz-gorna-ul-podgorna/ob/34621333#gallery")</f>
        <v/>
      </c>
      <c r="F137" t="inlineStr">
        <is>
          <t xml:space="preserve">podgórna </t>
        </is>
      </c>
      <c r="G137" t="inlineStr">
        <is>
          <t>Górna</t>
        </is>
      </c>
      <c r="H137" t="inlineStr">
        <is>
          <t>Górna</t>
        </is>
      </c>
      <c r="I137" t="inlineStr">
        <is>
          <t>TAK</t>
        </is>
      </c>
      <c r="J137" t="inlineStr">
        <is>
          <t>TAK</t>
        </is>
      </c>
      <c r="K137" t="n">
        <v>609737015</v>
      </c>
      <c r="L137" t="n">
        <v>345000</v>
      </c>
      <c r="M137" t="n">
        <v>6590.25787965616</v>
      </c>
      <c r="N137" t="n">
        <v>52.35</v>
      </c>
      <c r="O137" t="n">
        <v>3</v>
      </c>
      <c r="P137" t="n">
        <v>3</v>
      </c>
      <c r="Q137" t="inlineStr">
        <is>
          <t>Puste posprzątane</t>
        </is>
      </c>
      <c r="R137" t="inlineStr">
        <is>
          <t>obnizyli cene do 337000</t>
        </is>
      </c>
    </row>
    <row r="138">
      <c r="A138" t="n">
        <v>137</v>
      </c>
      <c r="B138" s="3" t="n">
        <v>45431</v>
      </c>
      <c r="C138" s="3" t="n">
        <v>45456</v>
      </c>
      <c r="D138" t="inlineStr">
        <is>
          <t>https://lodz.nieruchomosci-online.pl/mieszkanie-w-bloku-mieszkalnym,do-remontu/24949464.html</t>
        </is>
      </c>
      <c r="E138">
        <f>HYPERLINK("https://lodz.nieruchomosci-online.pl/mieszkanie-w-bloku-mieszkalnym,do-remontu/24949464.html", "https://lodz.nieruchomosci-online.pl/mieszkanie-w-bloku-mieszkalnym,do-remontu/24949464.html")</f>
        <v/>
      </c>
      <c r="F138" t="inlineStr">
        <is>
          <t>maratońska</t>
        </is>
      </c>
      <c r="G138" t="inlineStr">
        <is>
          <t>Retkinia</t>
        </is>
      </c>
      <c r="H138" t="inlineStr">
        <is>
          <t>Retkinia</t>
        </is>
      </c>
      <c r="I138" t="inlineStr">
        <is>
          <t>TAK</t>
        </is>
      </c>
      <c r="J138" t="inlineStr">
        <is>
          <t>TAK</t>
        </is>
      </c>
      <c r="K138" t="n">
        <v>668669393</v>
      </c>
      <c r="L138" t="n">
        <v>270000</v>
      </c>
      <c r="M138" t="n">
        <v>6364.922206506365</v>
      </c>
      <c r="N138" t="n">
        <v>42.42</v>
      </c>
      <c r="O138" t="inlineStr">
        <is>
          <t>2+k</t>
        </is>
      </c>
      <c r="P138" t="n">
        <v>4</v>
      </c>
      <c r="Q138" t="inlineStr">
        <is>
          <t>Nie da się zamieszkać</t>
        </is>
      </c>
    </row>
    <row r="139">
      <c r="A139" t="n">
        <v>138</v>
      </c>
      <c r="B139" s="3" t="n">
        <v>45431</v>
      </c>
      <c r="C139" s="3" t="n">
        <v>45467</v>
      </c>
      <c r="D139" t="inlineStr">
        <is>
          <t>https://www.otodom.pl/pl/oferta/przytulne-m-3-z-balkonem-miedziana-instalacja-ID4qF5K.html</t>
        </is>
      </c>
      <c r="E139">
        <f>HYPERLINK("https://www.otodom.pl/pl/oferta/przytulne-m-3-z-balkonem-miedziana-instalacja-ID4qF5K.html", "https://www.otodom.pl/pl/oferta/przytulne-m-3-z-balkonem-miedziana-instalacja-ID4qF5K.html")</f>
        <v/>
      </c>
      <c r="F139" t="inlineStr">
        <is>
          <t>kurak</t>
        </is>
      </c>
      <c r="G139" t="inlineStr">
        <is>
          <t>Górna</t>
        </is>
      </c>
      <c r="H139" t="inlineStr">
        <is>
          <t>Górna</t>
        </is>
      </c>
      <c r="I139" t="inlineStr">
        <is>
          <t>TAK</t>
        </is>
      </c>
      <c r="J139" t="inlineStr">
        <is>
          <t>TAK</t>
        </is>
      </c>
      <c r="K139" t="n">
        <v>883541184</v>
      </c>
      <c r="L139" t="n">
        <v>257000</v>
      </c>
      <c r="M139" t="n">
        <v>7361.787453451734</v>
      </c>
      <c r="N139" t="n">
        <v>34.91</v>
      </c>
      <c r="O139" t="inlineStr">
        <is>
          <t>2+k</t>
        </is>
      </c>
      <c r="P139" t="n">
        <v>8</v>
      </c>
      <c r="Q139" t="inlineStr">
        <is>
          <t>Nie da się zamieszkać</t>
        </is>
      </c>
    </row>
    <row r="140">
      <c r="A140" t="n">
        <v>139</v>
      </c>
      <c r="B140" s="3" t="n">
        <v>45431</v>
      </c>
      <c r="C140" s="3" t="n">
        <v>45497</v>
      </c>
      <c r="D140" t="inlineStr">
        <is>
          <t>https://www.olx.pl/d/oferta/srodmiesciekawalerka-do-remontuinwestycja-CID3-ID10fr0e.html?isPreviewActive=0&amp;sliderIndex=7</t>
        </is>
      </c>
      <c r="E140">
        <f>HYPERLINK("https://www.olx.pl/d/oferta/srodmiesciekawalerka-do-remontuinwestycja-CID3-ID10fr0e.html?isPreviewActive=0&amp;sliderIndex=7", "https://www.olx.pl/d/oferta/srodmiesciekawalerka-do-remontuinwestycja-CID3-ID10fr0e.html?isPreviewActive=0&amp;sliderIndex=7")</f>
        <v/>
      </c>
      <c r="F140" t="inlineStr">
        <is>
          <t>zachodnia</t>
        </is>
      </c>
      <c r="G140" t="inlineStr">
        <is>
          <t>Śródmieście</t>
        </is>
      </c>
      <c r="H140" t="inlineStr">
        <is>
          <t>Śródmieście</t>
        </is>
      </c>
      <c r="I140" t="inlineStr">
        <is>
          <t>TAK</t>
        </is>
      </c>
      <c r="J140" t="inlineStr">
        <is>
          <t>TAK</t>
        </is>
      </c>
      <c r="K140" t="n">
        <v>530195255</v>
      </c>
      <c r="L140" t="n">
        <v>249000</v>
      </c>
      <c r="M140" t="n">
        <v>7776.389756402248</v>
      </c>
      <c r="N140" t="n">
        <v>32.02</v>
      </c>
      <c r="O140" t="inlineStr">
        <is>
          <t>1+k</t>
        </is>
      </c>
      <c r="P140" t="n">
        <v>1</v>
      </c>
      <c r="Q140" t="inlineStr">
        <is>
          <t>Puste</t>
        </is>
      </c>
      <c r="R140" t="inlineStr">
        <is>
          <t>było 255000</t>
        </is>
      </c>
    </row>
    <row r="141">
      <c r="A141" t="n">
        <v>140</v>
      </c>
      <c r="B141" s="3" t="n">
        <v>45432</v>
      </c>
      <c r="C141" s="3" t="n">
        <v>45456</v>
      </c>
      <c r="D141" t="inlineStr">
        <is>
          <t>https://adresowo.pl/o/v3v0j5</t>
        </is>
      </c>
      <c r="E141">
        <f>HYPERLINK("https://adresowo.pl/o/v3v0j5", "https://adresowo.pl/o/v3v0j5")</f>
        <v/>
      </c>
      <c r="F141" t="inlineStr">
        <is>
          <t>urzędnicza</t>
        </is>
      </c>
      <c r="G141" t="inlineStr">
        <is>
          <t>Bałuty</t>
        </is>
      </c>
      <c r="H141" t="inlineStr">
        <is>
          <t>Bałuty</t>
        </is>
      </c>
      <c r="I141" t="inlineStr">
        <is>
          <t>TAK</t>
        </is>
      </c>
      <c r="J141" t="inlineStr">
        <is>
          <t>NIE</t>
        </is>
      </c>
      <c r="L141" t="n">
        <v>400000</v>
      </c>
      <c r="M141" t="n">
        <v>7067.137809187279</v>
      </c>
      <c r="N141" t="n">
        <v>56.6</v>
      </c>
      <c r="O141" t="inlineStr">
        <is>
          <t>3+k</t>
        </is>
      </c>
      <c r="P141" t="n">
        <v>7</v>
      </c>
      <c r="Q141" t="inlineStr">
        <is>
          <t>Puste</t>
        </is>
      </c>
    </row>
    <row r="142">
      <c r="A142" t="n">
        <v>141</v>
      </c>
      <c r="B142" s="3" t="n">
        <v>45432</v>
      </c>
      <c r="C142" s="3" t="n">
        <v>45548</v>
      </c>
      <c r="D142" t="inlineStr">
        <is>
          <t>https://lodz.nieruchomosci-online.pl/mieszkanie-w-bloku-mieszkalnym,do-remontu/24956400.html</t>
        </is>
      </c>
      <c r="E142">
        <f>HYPERLINK("https://lodz.nieruchomosci-online.pl/mieszkanie-w-bloku-mieszkalnym,do-remontu/24956400.html", "https://lodz.nieruchomosci-online.pl/mieszkanie-w-bloku-mieszkalnym,do-remontu/24956400.html")</f>
        <v/>
      </c>
      <c r="F142" t="inlineStr">
        <is>
          <t>dedeciusa</t>
        </is>
      </c>
      <c r="G142" t="inlineStr">
        <is>
          <t>Dąbrowa</t>
        </is>
      </c>
      <c r="H142" t="inlineStr">
        <is>
          <t>Dąbrowa</t>
        </is>
      </c>
      <c r="I142" t="inlineStr">
        <is>
          <t>TAK</t>
        </is>
      </c>
      <c r="J142" t="inlineStr">
        <is>
          <t>TAK</t>
        </is>
      </c>
      <c r="K142" t="n">
        <v>539313300</v>
      </c>
      <c r="L142" t="n">
        <v>270000</v>
      </c>
      <c r="M142" t="n">
        <v>7173.219978746015</v>
      </c>
      <c r="N142" t="n">
        <v>37.64</v>
      </c>
      <c r="O142" t="inlineStr">
        <is>
          <t>2+k</t>
        </is>
      </c>
      <c r="P142" t="n">
        <v>1</v>
      </c>
      <c r="Q142" t="inlineStr">
        <is>
          <t>Nie da się zamieszkać</t>
        </is>
      </c>
      <c r="R142" t="inlineStr">
        <is>
          <t>było 290000</t>
        </is>
      </c>
    </row>
    <row r="143">
      <c r="A143" t="n">
        <v>142</v>
      </c>
      <c r="B143" s="3" t="n">
        <v>45432</v>
      </c>
      <c r="D143" t="inlineStr">
        <is>
          <t>https://www.klikmapa.pl/o/lodz-gorna-330-000-zl-4715-m2-z-balkonem-id1127226.html</t>
        </is>
      </c>
      <c r="E143">
        <f>HYPERLINK("https://www.klikmapa.pl/o/lodz-gorna-330-000-zl-4715-m2-z-balkonem-id1127226.html", "https://www.klikmapa.pl/o/lodz-gorna-330-000-zl-4715-m2-z-balkonem-id1127226.html")</f>
        <v/>
      </c>
      <c r="F143" t="inlineStr">
        <is>
          <t>.</t>
        </is>
      </c>
      <c r="G143" t="inlineStr">
        <is>
          <t>Dąbrowa</t>
        </is>
      </c>
      <c r="H143" t="inlineStr">
        <is>
          <t>Dąbrowa</t>
        </is>
      </c>
      <c r="I143" t="inlineStr">
        <is>
          <t>NIE</t>
        </is>
      </c>
      <c r="J143" t="inlineStr">
        <is>
          <t>TAK</t>
        </is>
      </c>
      <c r="K143" t="n">
        <v>501078049</v>
      </c>
      <c r="L143" t="n">
        <v>320000</v>
      </c>
      <c r="M143" t="n">
        <v>6786.850477200424</v>
      </c>
      <c r="N143" t="n">
        <v>47.15</v>
      </c>
      <c r="O143" t="n">
        <v>3</v>
      </c>
      <c r="P143" t="n">
        <v>0</v>
      </c>
      <c r="Q143" t="inlineStr">
        <is>
          <t>Puste</t>
        </is>
      </c>
      <c r="R143" t="inlineStr">
        <is>
          <t>02.07 było 330000 było nieaktywne wróciło 13.09 dupa dupa</t>
        </is>
      </c>
      <c r="T143" t="inlineStr">
        <is>
          <t>398</t>
        </is>
      </c>
    </row>
    <row r="144">
      <c r="A144" t="n">
        <v>143</v>
      </c>
      <c r="B144" s="3" t="n">
        <v>45432</v>
      </c>
      <c r="D144" t="inlineStr">
        <is>
          <t>https://www.domiporta.pl/nieruchomosci/sprzedam-mieszkanie-dwupokojowe-lodz-gorna-obywatelska-49m2/155249448</t>
        </is>
      </c>
      <c r="E144">
        <f>HYPERLINK("https://www.domiporta.pl/nieruchomosci/sprzedam-mieszkanie-dwupokojowe-lodz-gorna-obywatelska-49m2/155249448", "https://www.domiporta.pl/nieruchomosci/sprzedam-mieszkanie-dwupokojowe-lodz-gorna-obywatelska-49m2/155249448")</f>
        <v/>
      </c>
      <c r="F144" t="inlineStr">
        <is>
          <t>obywatelska</t>
        </is>
      </c>
      <c r="G144" t="inlineStr">
        <is>
          <t>Retkinia</t>
        </is>
      </c>
      <c r="H144" t="inlineStr">
        <is>
          <t>Retkinia blisko centrum</t>
        </is>
      </c>
      <c r="I144" t="inlineStr">
        <is>
          <t>NIE</t>
        </is>
      </c>
      <c r="J144" t="inlineStr">
        <is>
          <t>TAK</t>
        </is>
      </c>
      <c r="K144" t="n">
        <v>665505113</v>
      </c>
      <c r="L144" t="n">
        <v>330000</v>
      </c>
      <c r="M144" t="n">
        <v>6714.140386571719</v>
      </c>
      <c r="N144" t="n">
        <v>49.15</v>
      </c>
      <c r="O144" t="inlineStr">
        <is>
          <t>2+k</t>
        </is>
      </c>
      <c r="P144" t="n">
        <v>0</v>
      </c>
      <c r="Q144" t="inlineStr">
        <is>
          <t>Nie da się zamieszkać</t>
        </is>
      </c>
      <c r="R144" t="inlineStr">
        <is>
          <t>08.07 było 350  04.09 było 339k</t>
        </is>
      </c>
    </row>
    <row r="145">
      <c r="A145" t="n">
        <v>144</v>
      </c>
      <c r="B145" s="3" t="n">
        <v>45432</v>
      </c>
      <c r="D145" t="inlineStr">
        <is>
          <t>https://www.otodom.pl/pl/oferta/m3-lodz-dabrowa-ID4qGi0.html</t>
        </is>
      </c>
      <c r="E145">
        <f>HYPERLINK("https://www.otodom.pl/pl/oferta/m3-lodz-dabrowa-ID4qGi0.html", "https://www.otodom.pl/pl/oferta/m3-lodz-dabrowa-ID4qGi0.html")</f>
        <v/>
      </c>
      <c r="F145" t="inlineStr">
        <is>
          <t>Broniewskiego</t>
        </is>
      </c>
      <c r="G145" t="inlineStr">
        <is>
          <t>Górna</t>
        </is>
      </c>
      <c r="H145" t="inlineStr">
        <is>
          <t>Górna</t>
        </is>
      </c>
      <c r="I145" t="inlineStr">
        <is>
          <t>NIE</t>
        </is>
      </c>
      <c r="J145" t="inlineStr">
        <is>
          <t>NIE</t>
        </is>
      </c>
      <c r="K145" t="n">
        <v>515410766</v>
      </c>
      <c r="L145" t="n">
        <v>300000</v>
      </c>
      <c r="M145" t="n">
        <v>7142.857142857143</v>
      </c>
      <c r="N145" t="n">
        <v>42</v>
      </c>
      <c r="O145" t="inlineStr">
        <is>
          <t>2+k</t>
        </is>
      </c>
      <c r="P145" t="n">
        <v>0</v>
      </c>
      <c r="Q145" t="inlineStr">
        <is>
          <t>Nie da się zamieszkać</t>
        </is>
      </c>
    </row>
    <row r="146">
      <c r="A146" t="n">
        <v>145</v>
      </c>
      <c r="B146" s="3" t="n">
        <v>45432</v>
      </c>
      <c r="D146" t="inlineStr">
        <is>
          <t>https://www.otodom.pl/pl/oferta/2-pokojowe-mieszkanie-przy-lutomierskiej-ID4qGn8.html</t>
        </is>
      </c>
      <c r="E146">
        <f>HYPERLINK("https://www.otodom.pl/pl/oferta/2-pokojowe-mieszkanie-przy-lutomierskiej-ID4qGn8.html", "https://www.otodom.pl/pl/oferta/2-pokojowe-mieszkanie-przy-lutomierskiej-ID4qGn8.html")</f>
        <v/>
      </c>
      <c r="F146" t="inlineStr">
        <is>
          <t>lutomierska</t>
        </is>
      </c>
      <c r="G146" t="inlineStr">
        <is>
          <t>Bałuty</t>
        </is>
      </c>
      <c r="H146" t="inlineStr">
        <is>
          <t>Bałuty blisko centrum</t>
        </is>
      </c>
      <c r="I146" t="inlineStr">
        <is>
          <t>NIE</t>
        </is>
      </c>
      <c r="J146" t="inlineStr">
        <is>
          <t>TAK</t>
        </is>
      </c>
      <c r="K146" t="n">
        <v>502266722</v>
      </c>
      <c r="L146" t="n">
        <v>330000</v>
      </c>
      <c r="M146" t="n">
        <v>6860.70686070686</v>
      </c>
      <c r="N146" t="n">
        <v>48.1</v>
      </c>
      <c r="O146" t="inlineStr">
        <is>
          <t>2+k</t>
        </is>
      </c>
      <c r="P146" t="n">
        <v>3</v>
      </c>
      <c r="Q146" t="inlineStr">
        <is>
          <t>Puste posprzątane i odświeżone</t>
        </is>
      </c>
    </row>
    <row r="147">
      <c r="A147" t="n">
        <v>146</v>
      </c>
      <c r="B147" s="3" t="n">
        <v>45432</v>
      </c>
      <c r="C147" s="3" t="n">
        <v>45467</v>
      </c>
      <c r="D147" t="inlineStr">
        <is>
          <t>https://www.domiporta.pl/nieruchomosci/sprzedam-mieszkanie-dwupokojowe-lodz-podhalanska-38m2/155188899</t>
        </is>
      </c>
      <c r="E147">
        <f>HYPERLINK("https://www.domiporta.pl/nieruchomosci/sprzedam-mieszkanie-dwupokojowe-lodz-podhalanska-38m2/155188899", "https://www.domiporta.pl/nieruchomosci/sprzedam-mieszkanie-dwupokojowe-lodz-podhalanska-38m2/155188899")</f>
        <v/>
      </c>
      <c r="F147" t="inlineStr">
        <is>
          <t>podhalanska</t>
        </is>
      </c>
      <c r="G147" t="inlineStr">
        <is>
          <t>Widzew</t>
        </is>
      </c>
      <c r="H147" t="inlineStr">
        <is>
          <t>Widzew blisko centrum</t>
        </is>
      </c>
      <c r="I147" t="inlineStr">
        <is>
          <t>TAK</t>
        </is>
      </c>
      <c r="J147" t="inlineStr">
        <is>
          <t>TAK</t>
        </is>
      </c>
      <c r="K147" t="n">
        <v>728874066</v>
      </c>
      <c r="L147" t="n">
        <v>229000</v>
      </c>
      <c r="M147" t="n">
        <v>6083.953241232731</v>
      </c>
      <c r="N147" t="n">
        <v>37.64</v>
      </c>
      <c r="O147" t="inlineStr">
        <is>
          <t>2+k</t>
        </is>
      </c>
      <c r="P147" t="n">
        <v>0</v>
      </c>
      <c r="Q147" t="inlineStr">
        <is>
          <t>Nie da się zamieszkać</t>
        </is>
      </c>
    </row>
    <row r="148">
      <c r="A148" t="n">
        <v>147</v>
      </c>
      <c r="B148" s="3" t="n">
        <v>45433</v>
      </c>
      <c r="C148" s="3" t="n">
        <v>45456</v>
      </c>
      <c r="D148" t="inlineStr">
        <is>
          <t>https://gratka.pl/nieruchomosci/mieszkanie-lodz-baluty/ob/34636301</t>
        </is>
      </c>
      <c r="E148">
        <f>HYPERLINK("https://gratka.pl/nieruchomosci/mieszkanie-lodz-baluty/ob/34636301", "https://gratka.pl/nieruchomosci/mieszkanie-lodz-baluty/ob/34636301")</f>
        <v/>
      </c>
      <c r="F148" t="inlineStr">
        <is>
          <t>boya żeleńskiego</t>
        </is>
      </c>
      <c r="G148" t="inlineStr">
        <is>
          <t>Bałuty</t>
        </is>
      </c>
      <c r="H148" t="inlineStr">
        <is>
          <t>Bałuty</t>
        </is>
      </c>
      <c r="I148" t="inlineStr">
        <is>
          <t>TAK</t>
        </is>
      </c>
      <c r="J148" t="inlineStr">
        <is>
          <t>TAK</t>
        </is>
      </c>
      <c r="K148" t="n">
        <v>798735886</v>
      </c>
      <c r="L148" t="n">
        <v>190000</v>
      </c>
      <c r="M148" t="n">
        <v>7600</v>
      </c>
      <c r="N148" t="n">
        <v>25</v>
      </c>
      <c r="O148" t="inlineStr">
        <is>
          <t>1+k</t>
        </is>
      </c>
      <c r="P148" t="n">
        <v>2</v>
      </c>
      <c r="Q148" t="inlineStr">
        <is>
          <t>Puste</t>
        </is>
      </c>
    </row>
    <row r="149">
      <c r="A149" t="n">
        <v>148</v>
      </c>
      <c r="B149" s="3" t="n">
        <v>45433</v>
      </c>
      <c r="C149" s="3" t="n">
        <v>45475</v>
      </c>
      <c r="D149" t="inlineStr">
        <is>
          <t>https://www.otodom.pl/pl/oferta/m3-na-balutach-julianow-do-generalnego-remontu-ID4pkNy.html</t>
        </is>
      </c>
      <c r="E149">
        <f>HYPERLINK("https://www.otodom.pl/pl/oferta/m3-na-balutach-julianow-do-generalnego-remontu-ID4pkNy.html", "https://www.otodom.pl/pl/oferta/m3-na-balutach-julianow-do-generalnego-remontu-ID4pkNy.html")</f>
        <v/>
      </c>
      <c r="F149" t="inlineStr">
        <is>
          <t>park julianó∑</t>
        </is>
      </c>
      <c r="G149" t="inlineStr">
        <is>
          <t>Bałuty</t>
        </is>
      </c>
      <c r="H149" t="inlineStr">
        <is>
          <t>Bałuty</t>
        </is>
      </c>
      <c r="I149" t="inlineStr">
        <is>
          <t>TAK</t>
        </is>
      </c>
      <c r="J149" t="inlineStr">
        <is>
          <t>TAK</t>
        </is>
      </c>
      <c r="K149" t="n">
        <v>504047510</v>
      </c>
      <c r="L149" t="n">
        <v>274000</v>
      </c>
      <c r="M149" t="n">
        <v>7310.565635005337</v>
      </c>
      <c r="N149" t="n">
        <v>37.48</v>
      </c>
      <c r="O149" t="inlineStr">
        <is>
          <t>2+k</t>
        </is>
      </c>
      <c r="P149" t="n">
        <v>4</v>
      </c>
      <c r="Q149" t="inlineStr">
        <is>
          <t>Nie da się zamieszkać</t>
        </is>
      </c>
    </row>
    <row r="150">
      <c r="A150" t="n">
        <v>149</v>
      </c>
      <c r="B150" s="3" t="n">
        <v>45433</v>
      </c>
      <c r="C150" s="3" t="n">
        <v>45471</v>
      </c>
      <c r="D150" t="inlineStr">
        <is>
          <t>https://www.olx.pl/d/oferta/m3-okolice-politechniki-CID3-ID10sBXd.html</t>
        </is>
      </c>
      <c r="E150">
        <f>HYPERLINK("https://www.olx.pl/d/oferta/m3-okolice-politechniki-CID3-ID10sBXd.html", "https://www.olx.pl/d/oferta/m3-okolice-politechniki-CID3-ID10sBXd.html")</f>
        <v/>
      </c>
      <c r="F150" t="inlineStr">
        <is>
          <t>piasta</t>
        </is>
      </c>
      <c r="G150" t="inlineStr">
        <is>
          <t>Górna</t>
        </is>
      </c>
      <c r="H150" t="inlineStr">
        <is>
          <t>Górna blisko centrum</t>
        </is>
      </c>
      <c r="I150" t="inlineStr">
        <is>
          <t>TAK</t>
        </is>
      </c>
      <c r="J150" t="inlineStr">
        <is>
          <t>TAK</t>
        </is>
      </c>
      <c r="K150" t="n">
        <v>797542793</v>
      </c>
      <c r="L150" t="n">
        <v>230000</v>
      </c>
      <c r="M150" t="n">
        <v>6571.428571428572</v>
      </c>
      <c r="N150" t="n">
        <v>35</v>
      </c>
      <c r="O150" t="inlineStr">
        <is>
          <t>2+k</t>
        </is>
      </c>
      <c r="P150" t="n">
        <v>3</v>
      </c>
      <c r="Q150" t="inlineStr">
        <is>
          <t>Puste</t>
        </is>
      </c>
      <c r="R150" t="inlineStr">
        <is>
          <t>było 249000</t>
        </is>
      </c>
    </row>
    <row r="151">
      <c r="A151" t="n">
        <v>150</v>
      </c>
      <c r="B151" s="3" t="n">
        <v>45433</v>
      </c>
      <c r="C151" s="3" t="n">
        <v>45467</v>
      </c>
      <c r="D151" t="inlineStr">
        <is>
          <t>https://www.olx.pl/d/oferta/m3-vis-a-vis-gorki-widzewskie-CID3-IDZ7ikK.html</t>
        </is>
      </c>
      <c r="E151">
        <f>HYPERLINK("https://www.olx.pl/d/oferta/m3-vis-a-vis-gorki-widzewskie-CID3-IDZ7ikK.html", "https://www.olx.pl/d/oferta/m3-vis-a-vis-gorki-widzewskie-CID3-IDZ7ikK.html")</f>
        <v/>
      </c>
      <c r="F151" t="inlineStr">
        <is>
          <t>górki widzewskie</t>
        </is>
      </c>
      <c r="G151" t="inlineStr">
        <is>
          <t>Widzew</t>
        </is>
      </c>
      <c r="H151" t="inlineStr">
        <is>
          <t>Widzew blisko centrum</t>
        </is>
      </c>
      <c r="I151" t="inlineStr">
        <is>
          <t>TAK</t>
        </is>
      </c>
      <c r="J151" t="inlineStr">
        <is>
          <t>TAK</t>
        </is>
      </c>
      <c r="K151" t="n">
        <v>572900117</v>
      </c>
      <c r="L151" t="n">
        <v>355000</v>
      </c>
      <c r="M151" t="n">
        <v>7977.528089887641</v>
      </c>
      <c r="N151" t="n">
        <v>44.5</v>
      </c>
      <c r="O151" t="inlineStr">
        <is>
          <t>2+k</t>
        </is>
      </c>
      <c r="P151" t="n">
        <v>2</v>
      </c>
      <c r="Q151" t="inlineStr">
        <is>
          <t>Nie da się zamieszkać</t>
        </is>
      </c>
      <c r="R151" t="inlineStr">
        <is>
          <t>nie sprzedaje się zeszli do 349000</t>
        </is>
      </c>
    </row>
    <row r="152">
      <c r="A152" t="n">
        <v>151</v>
      </c>
      <c r="B152" s="3" t="n">
        <v>45433</v>
      </c>
      <c r="D152" t="inlineStr">
        <is>
          <t>https://www.olx.pl/d/oferta/m4-blisko-politechniki-lodzkiej-CID3-IDZi6vv.html</t>
        </is>
      </c>
      <c r="E152">
        <f>HYPERLINK("https://www.olx.pl/d/oferta/m4-blisko-politechniki-lodzkiej-CID3-IDZi6vv.html", "https://www.olx.pl/d/oferta/m4-blisko-politechniki-lodzkiej-CID3-IDZi6vv.html")</f>
        <v/>
      </c>
      <c r="F152" t="inlineStr">
        <is>
          <t>Rondo Lotników</t>
        </is>
      </c>
      <c r="G152" t="inlineStr">
        <is>
          <t>Górna</t>
        </is>
      </c>
      <c r="H152" t="inlineStr">
        <is>
          <t>Górna</t>
        </is>
      </c>
      <c r="I152" t="inlineStr">
        <is>
          <t>NIE</t>
        </is>
      </c>
      <c r="J152" t="inlineStr">
        <is>
          <t>TAK</t>
        </is>
      </c>
      <c r="K152" t="n">
        <v>797542793</v>
      </c>
      <c r="L152" t="n">
        <v>339000</v>
      </c>
      <c r="M152" t="n">
        <v>7533.333333333333</v>
      </c>
      <c r="N152" t="n">
        <v>45</v>
      </c>
      <c r="O152" t="inlineStr">
        <is>
          <t>3+k</t>
        </is>
      </c>
      <c r="P152" t="n">
        <v>3</v>
      </c>
      <c r="Q152" t="inlineStr">
        <is>
          <t>Nie da się zamieszkać</t>
        </is>
      </c>
      <c r="R152" t="inlineStr">
        <is>
          <t>było nie aktywne 24.06 wróciło 13.09</t>
        </is>
      </c>
    </row>
    <row r="153">
      <c r="A153" t="n">
        <v>152</v>
      </c>
      <c r="B153" s="3" t="n">
        <v>45434</v>
      </c>
      <c r="D153" t="inlineStr">
        <is>
          <t>https://nieruchomosci.gratka.pl/nieruchomosci/mieszkanie-lodz-baluty-lanowa/ob/36513259</t>
        </is>
      </c>
      <c r="E153">
        <f>HYPERLINK("https://nieruchomosci.gratka.pl/nieruchomosci/mieszkanie-lodz-baluty-lanowa/ob/36513259", "https://nieruchomosci.gratka.pl/nieruchomosci/mieszkanie-lodz-baluty-lanowa/ob/36513259")</f>
        <v/>
      </c>
      <c r="F153" t="inlineStr">
        <is>
          <t>łanowa</t>
        </is>
      </c>
      <c r="G153" t="inlineStr">
        <is>
          <t>Teofilów</t>
        </is>
      </c>
      <c r="H153" t="inlineStr">
        <is>
          <t>Teofilów</t>
        </is>
      </c>
      <c r="I153" t="inlineStr">
        <is>
          <t>NIE</t>
        </is>
      </c>
      <c r="J153" t="inlineStr">
        <is>
          <t>TAK</t>
        </is>
      </c>
      <c r="K153" t="n">
        <v>535019375</v>
      </c>
      <c r="L153" t="n">
        <v>320000</v>
      </c>
      <c r="M153" t="n">
        <v>7158.836689038031</v>
      </c>
      <c r="N153" t="n">
        <v>44.7</v>
      </c>
      <c r="O153" t="inlineStr">
        <is>
          <t>2+k</t>
        </is>
      </c>
      <c r="P153" t="n">
        <v>3</v>
      </c>
      <c r="Q153" t="inlineStr">
        <is>
          <t>Nie da się zamieszkać</t>
        </is>
      </c>
    </row>
    <row r="154">
      <c r="A154" t="n">
        <v>153</v>
      </c>
      <c r="B154" s="3" t="n">
        <v>45434</v>
      </c>
      <c r="D154" t="inlineStr">
        <is>
          <t>https://www.otodom.pl/pl/oferta/m3-teofilow-z-balkonem-ID4qIaw.html</t>
        </is>
      </c>
      <c r="E154">
        <f>HYPERLINK("https://www.otodom.pl/pl/oferta/m3-teofilow-z-balkonem-ID4qIaw.html", "https://www.otodom.pl/pl/oferta/m3-teofilow-z-balkonem-ID4qIaw.html")</f>
        <v/>
      </c>
      <c r="F154" t="inlineStr">
        <is>
          <t>rydzowa</t>
        </is>
      </c>
      <c r="G154" t="inlineStr">
        <is>
          <t>Teofilów</t>
        </is>
      </c>
      <c r="H154" t="inlineStr">
        <is>
          <t>Teofilów</t>
        </is>
      </c>
      <c r="I154" t="inlineStr">
        <is>
          <t>NIE</t>
        </is>
      </c>
      <c r="J154" t="inlineStr">
        <is>
          <t>TAK</t>
        </is>
      </c>
      <c r="K154" t="n">
        <v>797542793</v>
      </c>
      <c r="L154" t="n">
        <v>269000</v>
      </c>
      <c r="M154" t="n">
        <v>7349.726775956284</v>
      </c>
      <c r="N154" t="n">
        <v>36.6</v>
      </c>
      <c r="O154" t="inlineStr">
        <is>
          <t>2+k</t>
        </is>
      </c>
      <c r="P154" t="n">
        <v>4</v>
      </c>
      <c r="Q154" t="inlineStr">
        <is>
          <t>Puste</t>
        </is>
      </c>
      <c r="R154" t="inlineStr">
        <is>
          <t>nie sprzedaje się i zeszli z ceny do 285000. Było nieaktywne 24.06. wróciło 02.08 zeszli  07.08 było 289k. 10.08 było 279k</t>
        </is>
      </c>
    </row>
    <row r="155">
      <c r="A155" t="n">
        <v>154</v>
      </c>
      <c r="B155" s="3" t="n">
        <v>45434</v>
      </c>
      <c r="C155" s="3" t="n">
        <v>45532</v>
      </c>
      <c r="D155" t="inlineStr">
        <is>
          <t>https://www.olx.pl/d/oferta/m2-do-wlasnej-aranzacji-CID3-ID10iM4g.html</t>
        </is>
      </c>
      <c r="E155">
        <f>HYPERLINK("https://www.olx.pl/d/oferta/m2-do-wlasnej-aranzacji-CID3-ID10iM4g.html", "https://www.olx.pl/d/oferta/m2-do-wlasnej-aranzacji-CID3-ID10iM4g.html")</f>
        <v/>
      </c>
      <c r="F155" t="inlineStr">
        <is>
          <t>kraszewskiego</t>
        </is>
      </c>
      <c r="G155" t="inlineStr">
        <is>
          <t>Dąbrowa</t>
        </is>
      </c>
      <c r="H155" t="inlineStr">
        <is>
          <t>Dąbrowa</t>
        </is>
      </c>
      <c r="I155" t="inlineStr">
        <is>
          <t>TAK</t>
        </is>
      </c>
      <c r="J155" t="inlineStr">
        <is>
          <t>TAK</t>
        </is>
      </c>
      <c r="K155" t="n">
        <v>535128812</v>
      </c>
      <c r="L155" t="n">
        <v>357000</v>
      </c>
      <c r="M155" t="n">
        <v>6986.301369863014</v>
      </c>
      <c r="N155" t="n">
        <v>51.1</v>
      </c>
      <c r="O155" t="inlineStr">
        <is>
          <t>2+k</t>
        </is>
      </c>
      <c r="P155" t="n">
        <v>0</v>
      </c>
      <c r="Q155" t="inlineStr">
        <is>
          <t>Nie da się zamieszkać</t>
        </is>
      </c>
      <c r="R155" t="inlineStr">
        <is>
          <t xml:space="preserve">20.07 było 390k </t>
        </is>
      </c>
    </row>
    <row r="156">
      <c r="A156" t="n">
        <v>155</v>
      </c>
      <c r="B156" s="3" t="n">
        <v>45434</v>
      </c>
      <c r="D156" t="inlineStr">
        <is>
          <t>https://www.otodom.pl/pl/oferta/m-4-59-zgierska-baluty-4-pietro-wiezowiec-ID4pQN6.html</t>
        </is>
      </c>
      <c r="E156">
        <f>HYPERLINK("https://www.otodom.pl/pl/oferta/m-4-59-zgierska-baluty-4-pietro-wiezowiec-ID4pQN6.html", "https://www.otodom.pl/pl/oferta/m-4-59-zgierska-baluty-4-pietro-wiezowiec-ID4pQN6.html")</f>
        <v/>
      </c>
      <c r="F156" t="inlineStr">
        <is>
          <t>zgierska</t>
        </is>
      </c>
      <c r="G156" t="inlineStr">
        <is>
          <t>Bałuty</t>
        </is>
      </c>
      <c r="H156" t="inlineStr">
        <is>
          <t>Dalekie bałuty</t>
        </is>
      </c>
      <c r="I156" t="inlineStr">
        <is>
          <t>NIE</t>
        </is>
      </c>
      <c r="J156" t="inlineStr">
        <is>
          <t>TAK</t>
        </is>
      </c>
      <c r="K156" t="n">
        <v>502181201</v>
      </c>
      <c r="L156" t="n">
        <v>442000</v>
      </c>
      <c r="M156" t="n">
        <v>7491.525423728814</v>
      </c>
      <c r="N156" t="n">
        <v>59</v>
      </c>
      <c r="O156" t="inlineStr">
        <is>
          <t>3+k</t>
        </is>
      </c>
      <c r="P156" t="n">
        <v>4</v>
      </c>
      <c r="Q156" t="inlineStr">
        <is>
          <t>Nie da się zamieszkać</t>
        </is>
      </c>
    </row>
    <row r="157">
      <c r="A157" t="n">
        <v>156</v>
      </c>
      <c r="B157" s="3" t="n">
        <v>45434</v>
      </c>
      <c r="C157" s="3" t="n">
        <v>45467</v>
      </c>
      <c r="D157" t="inlineStr">
        <is>
          <t>https://www.otodom.pl/pl/oferta/sprzedam-2-pokojowe-sloneczne-mieszkanie-chojny-ID4q2je.html</t>
        </is>
      </c>
      <c r="E157">
        <f>HYPERLINK("https://www.otodom.pl/pl/oferta/sprzedam-2-pokojowe-sloneczne-mieszkanie-chojny-ID4q2je.html", "https://www.otodom.pl/pl/oferta/sprzedam-2-pokojowe-sloneczne-mieszkanie-chojny-ID4q2je.html")</f>
        <v/>
      </c>
      <c r="F157" t="inlineStr">
        <is>
          <t>potulna</t>
        </is>
      </c>
      <c r="G157" t="inlineStr">
        <is>
          <t>Górna</t>
        </is>
      </c>
      <c r="H157" t="inlineStr">
        <is>
          <t>Daleka górna</t>
        </is>
      </c>
      <c r="I157" t="inlineStr">
        <is>
          <t>TAK</t>
        </is>
      </c>
      <c r="J157" t="inlineStr">
        <is>
          <t>TAK</t>
        </is>
      </c>
      <c r="K157" t="n">
        <v>503433191</v>
      </c>
      <c r="L157" t="n">
        <v>357000</v>
      </c>
      <c r="M157" t="n">
        <v>6995.884773662551</v>
      </c>
      <c r="N157" t="n">
        <v>51.03</v>
      </c>
      <c r="O157" t="inlineStr">
        <is>
          <t>2+k</t>
        </is>
      </c>
      <c r="P157" t="n">
        <v>6</v>
      </c>
      <c r="Q157" t="inlineStr">
        <is>
          <t>Puste</t>
        </is>
      </c>
    </row>
    <row r="158">
      <c r="A158" t="n">
        <v>157</v>
      </c>
      <c r="B158" s="3" t="n">
        <v>45434</v>
      </c>
      <c r="C158" s="3" t="n">
        <v>45487</v>
      </c>
      <c r="D158" t="inlineStr">
        <is>
          <t>https://gratka.pl/nieruchomosci/mieszkanie-lodz-retkinia-ul-armii-krajowej/ob/34656101</t>
        </is>
      </c>
      <c r="E158">
        <f>HYPERLINK("https://gratka.pl/nieruchomosci/mieszkanie-lodz-retkinia-ul-armii-krajowej/ob/34656101", "https://gratka.pl/nieruchomosci/mieszkanie-lodz-retkinia-ul-armii-krajowej/ob/34656101")</f>
        <v/>
      </c>
      <c r="F158" t="inlineStr">
        <is>
          <t>armi krajowej</t>
        </is>
      </c>
      <c r="G158" t="inlineStr">
        <is>
          <t>Retkinia</t>
        </is>
      </c>
      <c r="H158" t="inlineStr">
        <is>
          <t>Retkinia</t>
        </is>
      </c>
      <c r="I158" t="inlineStr">
        <is>
          <t>TAK</t>
        </is>
      </c>
      <c r="J158" t="inlineStr">
        <is>
          <t>TAK</t>
        </is>
      </c>
      <c r="K158" t="n">
        <v>883120230</v>
      </c>
      <c r="L158" t="n">
        <v>328000</v>
      </c>
      <c r="M158" t="n">
        <v>7732.201791607732</v>
      </c>
      <c r="N158" t="n">
        <v>42.42</v>
      </c>
      <c r="O158" t="inlineStr">
        <is>
          <t>2+k</t>
        </is>
      </c>
      <c r="P158" t="n">
        <v>0</v>
      </c>
      <c r="Q158" t="inlineStr">
        <is>
          <t>Nie da się zamieszkać</t>
        </is>
      </c>
    </row>
    <row r="159">
      <c r="A159" t="n">
        <v>158</v>
      </c>
      <c r="B159" s="3" t="n">
        <v>45435</v>
      </c>
      <c r="C159" s="3" t="n">
        <v>45506</v>
      </c>
      <c r="D159" t="inlineStr">
        <is>
          <t>https://www.otodom.pl/pl/oferta/kawalerka-parter-blok-ciche-polozenie-ID4rCCZ</t>
        </is>
      </c>
      <c r="E159">
        <f>HYPERLINK("https://www.otodom.pl/pl/oferta/kawalerka-parter-blok-ciche-polozenie-ID4rCCZ", "https://www.otodom.pl/pl/oferta/kawalerka-parter-blok-ciche-polozenie-ID4rCCZ")</f>
        <v/>
      </c>
      <c r="F159" t="inlineStr">
        <is>
          <t>Lutomierska</t>
        </is>
      </c>
      <c r="G159" t="inlineStr">
        <is>
          <t>Bałuty</t>
        </is>
      </c>
      <c r="H159" t="inlineStr">
        <is>
          <t>Bałuty blisko centrum</t>
        </is>
      </c>
      <c r="I159" t="inlineStr">
        <is>
          <t>TAK</t>
        </is>
      </c>
      <c r="J159" t="inlineStr">
        <is>
          <t>NIE</t>
        </is>
      </c>
      <c r="K159" t="n">
        <v>536306686</v>
      </c>
      <c r="L159" t="n">
        <v>232600</v>
      </c>
      <c r="M159" t="n">
        <v>7268.75</v>
      </c>
      <c r="N159" t="n">
        <v>32</v>
      </c>
      <c r="O159" t="inlineStr">
        <is>
          <t>1+k</t>
        </is>
      </c>
      <c r="P159" t="n">
        <v>0</v>
      </c>
      <c r="Q159" t="inlineStr">
        <is>
          <t>Puste</t>
        </is>
      </c>
      <c r="R159" t="inlineStr">
        <is>
          <t>20.07 było 235k</t>
        </is>
      </c>
    </row>
    <row r="160">
      <c r="A160" t="n">
        <v>159</v>
      </c>
      <c r="B160" s="3" t="n">
        <v>45435</v>
      </c>
      <c r="D160" t="inlineStr">
        <is>
          <t>https://gratka.pl/nieruchomosci/mieszkanie-lodz-zarzew/ob/34665269</t>
        </is>
      </c>
      <c r="E160">
        <f>HYPERLINK("https://gratka.pl/nieruchomosci/mieszkanie-lodz-zarzew/ob/34665269", "https://gratka.pl/nieruchomosci/mieszkanie-lodz-zarzew/ob/34665269")</f>
        <v/>
      </c>
      <c r="F160" t="inlineStr">
        <is>
          <t>park podolskiego</t>
        </is>
      </c>
      <c r="G160" t="inlineStr">
        <is>
          <t>Dąbrowa</t>
        </is>
      </c>
      <c r="H160" t="inlineStr">
        <is>
          <t>Dąbrowa</t>
        </is>
      </c>
      <c r="I160" t="inlineStr">
        <is>
          <t>NIE</t>
        </is>
      </c>
      <c r="J160" t="inlineStr">
        <is>
          <t>TAK</t>
        </is>
      </c>
      <c r="K160" t="n">
        <v>730965991</v>
      </c>
      <c r="L160" t="n">
        <v>279000</v>
      </c>
      <c r="M160" t="n">
        <v>7440</v>
      </c>
      <c r="N160" t="n">
        <v>37.5</v>
      </c>
      <c r="O160" t="inlineStr">
        <is>
          <t>2+k</t>
        </is>
      </c>
      <c r="P160" t="n">
        <v>0</v>
      </c>
      <c r="Q160" t="inlineStr">
        <is>
          <t>Puste</t>
        </is>
      </c>
      <c r="R160" t="inlineStr">
        <is>
          <t>było 285000</t>
        </is>
      </c>
    </row>
    <row r="161">
      <c r="A161" t="n">
        <v>160</v>
      </c>
      <c r="B161" s="3" t="n">
        <v>45435</v>
      </c>
      <c r="C161" s="3" t="n">
        <v>45467</v>
      </c>
      <c r="D161" t="inlineStr">
        <is>
          <t>https://www.olx.pl/d/oferta/2-rozkladowe-pokoje-z-balkonem-na-zabiencu-CID3-ID10i7x3.html</t>
        </is>
      </c>
      <c r="E161">
        <f>HYPERLINK("https://www.olx.pl/d/oferta/2-rozkladowe-pokoje-z-balkonem-na-zabiencu-CID3-ID10i7x3.html", "https://www.olx.pl/d/oferta/2-rozkladowe-pokoje-z-balkonem-na-zabiencu-CID3-ID10i7x3.html")</f>
        <v/>
      </c>
      <c r="F161" t="inlineStr">
        <is>
          <t>łódź zabieniec</t>
        </is>
      </c>
      <c r="G161" t="inlineStr">
        <is>
          <t>Teofilów</t>
        </is>
      </c>
      <c r="H161" t="inlineStr">
        <is>
          <t>Teofilów</t>
        </is>
      </c>
      <c r="I161" t="inlineStr">
        <is>
          <t>TAK</t>
        </is>
      </c>
      <c r="J161" t="inlineStr">
        <is>
          <t>TAK</t>
        </is>
      </c>
      <c r="K161" t="n">
        <v>665832649</v>
      </c>
      <c r="L161" t="n">
        <v>320000</v>
      </c>
      <c r="M161" t="n">
        <v>7111.111111111111</v>
      </c>
      <c r="N161" t="n">
        <v>45</v>
      </c>
      <c r="O161" t="inlineStr">
        <is>
          <t>2+k</t>
        </is>
      </c>
      <c r="P161" t="n">
        <v>4</v>
      </c>
      <c r="Q161" t="inlineStr">
        <is>
          <t>Puste</t>
        </is>
      </c>
      <c r="R161" t="inlineStr">
        <is>
          <t>nie sprzedane, robią tam remont.</t>
        </is>
      </c>
    </row>
    <row r="162">
      <c r="A162" t="n">
        <v>161</v>
      </c>
      <c r="B162" s="3" t="n">
        <v>45435</v>
      </c>
      <c r="D162" t="inlineStr">
        <is>
          <t>https://www.olx.pl/d/oferta/widzew-m-4-60m-mieszkanie-do-wlasnej-aranzacji-CID3-ID10icMt.html?isPreviewActive=0&amp;sliderIndex=0</t>
        </is>
      </c>
      <c r="E162">
        <f>HYPERLINK("https://www.olx.pl/d/oferta/widzew-m-4-60m-mieszkanie-do-wlasnej-aranzacji-CID3-ID10icMt.html?isPreviewActive=0&amp;sliderIndex=0", "https://www.olx.pl/d/oferta/widzew-m-4-60m-mieszkanie-do-wlasnej-aranzacji-CID3-ID10icMt.html?isPreviewActive=0&amp;sliderIndex=0")</f>
        <v/>
      </c>
      <c r="F162" t="inlineStr">
        <is>
          <t>widzewski las</t>
        </is>
      </c>
      <c r="G162" t="inlineStr">
        <is>
          <t>Widzew</t>
        </is>
      </c>
      <c r="H162" t="inlineStr">
        <is>
          <t>Widzew</t>
        </is>
      </c>
      <c r="I162" t="inlineStr">
        <is>
          <t>NIE</t>
        </is>
      </c>
      <c r="J162" t="inlineStr">
        <is>
          <t>NIE</t>
        </is>
      </c>
      <c r="K162" t="n">
        <v>693376929</v>
      </c>
      <c r="L162" t="n">
        <v>420000</v>
      </c>
      <c r="M162" t="n">
        <v>7058.823529411765</v>
      </c>
      <c r="N162" t="n">
        <v>59.5</v>
      </c>
      <c r="O162" t="inlineStr">
        <is>
          <t>3+k</t>
        </is>
      </c>
      <c r="P162" t="n">
        <v>0</v>
      </c>
      <c r="Q162" t="inlineStr">
        <is>
          <t>Puste</t>
        </is>
      </c>
      <c r="R162" t="inlineStr">
        <is>
          <t>31.07 było 445k</t>
        </is>
      </c>
    </row>
    <row r="163">
      <c r="A163" t="n">
        <v>162</v>
      </c>
      <c r="B163" s="3" t="n">
        <v>45435</v>
      </c>
      <c r="C163" s="3" t="n">
        <v>45467</v>
      </c>
      <c r="D163" t="inlineStr">
        <is>
          <t>https://www.olx.pl/d/oferta/m3-43-m2-lodz-zarzew-rozkladowe-CID3-ID10igRn.html?isPreviewActive=0&amp;sliderIndex=0</t>
        </is>
      </c>
      <c r="E163">
        <f>HYPERLINK("https://www.olx.pl/d/oferta/m3-43-m2-lodz-zarzew-rozkladowe-CID3-ID10igRn.html?isPreviewActive=0&amp;sliderIndex=0", "https://www.olx.pl/d/oferta/m3-43-m2-lodz-zarzew-rozkladowe-CID3-ID10igRn.html?isPreviewActive=0&amp;sliderIndex=0")</f>
        <v/>
      </c>
      <c r="F163" t="inlineStr">
        <is>
          <t xml:space="preserve">smigłego rydza </t>
        </is>
      </c>
      <c r="G163" t="inlineStr">
        <is>
          <t>Górna</t>
        </is>
      </c>
      <c r="H163" t="inlineStr">
        <is>
          <t>Górna blisko centrum</t>
        </is>
      </c>
      <c r="I163" t="inlineStr">
        <is>
          <t>TAK</t>
        </is>
      </c>
      <c r="J163" t="inlineStr">
        <is>
          <t>NIE</t>
        </is>
      </c>
      <c r="K163" t="n">
        <v>602122209</v>
      </c>
      <c r="L163" t="n">
        <v>329000</v>
      </c>
      <c r="M163" t="n">
        <v>7651.162790697675</v>
      </c>
      <c r="N163" t="n">
        <v>43</v>
      </c>
      <c r="O163" t="inlineStr">
        <is>
          <t>2+k</t>
        </is>
      </c>
      <c r="P163" t="n">
        <v>8</v>
      </c>
      <c r="Q163" t="inlineStr">
        <is>
          <t>Da się zamieszkać</t>
        </is>
      </c>
      <c r="R163" t="inlineStr">
        <is>
          <t>nie sprzedaje sie i zeszli z ceny do 319000</t>
        </is>
      </c>
    </row>
    <row r="164">
      <c r="A164" t="n">
        <v>163</v>
      </c>
      <c r="B164" s="3" t="n">
        <v>45435</v>
      </c>
      <c r="C164" s="3" t="n">
        <v>45471</v>
      </c>
      <c r="D164" t="inlineStr">
        <is>
          <t>https://gratka.pl/nieruchomosci/mieszkanie-lodz-ul-pieniny/ob/34667327</t>
        </is>
      </c>
      <c r="E164">
        <f>HYPERLINK("https://gratka.pl/nieruchomosci/mieszkanie-lodz-ul-pieniny/ob/34667327", "https://gratka.pl/nieruchomosci/mieszkanie-lodz-ul-pieniny/ob/34667327")</f>
        <v/>
      </c>
      <c r="F164" t="inlineStr">
        <is>
          <t>Pieniny</t>
        </is>
      </c>
      <c r="G164" t="inlineStr">
        <is>
          <t>Widzew</t>
        </is>
      </c>
      <c r="H164" t="inlineStr">
        <is>
          <t>Widzew blisko centrum</t>
        </is>
      </c>
      <c r="I164" t="inlineStr">
        <is>
          <t>TAK</t>
        </is>
      </c>
      <c r="J164" t="inlineStr">
        <is>
          <t>TAK</t>
        </is>
      </c>
      <c r="K164" t="n">
        <v>883334777</v>
      </c>
      <c r="L164" t="n">
        <v>359000</v>
      </c>
      <c r="M164" t="n">
        <v>7113.136516742619</v>
      </c>
      <c r="N164" t="n">
        <v>50.47</v>
      </c>
      <c r="O164" t="inlineStr">
        <is>
          <t>2+k</t>
        </is>
      </c>
      <c r="P164" t="n">
        <v>0</v>
      </c>
      <c r="Q164" t="inlineStr">
        <is>
          <t>Puste</t>
        </is>
      </c>
    </row>
    <row r="165">
      <c r="A165" t="n">
        <v>164</v>
      </c>
      <c r="B165" s="3" t="n">
        <v>45435</v>
      </c>
      <c r="C165" s="3" t="n">
        <v>45446</v>
      </c>
      <c r="D165" t="inlineStr">
        <is>
          <t>https://www.olx.pl/d/oferta/mieszkanie-dla-inwestorow-CID3-IDZef82.html?isPreviewActive=0&amp;sliderIndex=9</t>
        </is>
      </c>
      <c r="E165">
        <f>HYPERLINK("https://www.olx.pl/d/oferta/mieszkanie-dla-inwestorow-CID3-IDZef82.html?isPreviewActive=0&amp;sliderIndex=9", "https://www.olx.pl/d/oferta/mieszkanie-dla-inwestorow-CID3-IDZef82.html?isPreviewActive=0&amp;sliderIndex=9")</f>
        <v/>
      </c>
      <c r="F165" t="inlineStr">
        <is>
          <t>.</t>
        </is>
      </c>
      <c r="G165" t="inlineStr">
        <is>
          <t>Bałuty</t>
        </is>
      </c>
      <c r="H165" t="inlineStr">
        <is>
          <t>Bałuty</t>
        </is>
      </c>
      <c r="I165" t="inlineStr">
        <is>
          <t>TAK</t>
        </is>
      </c>
      <c r="J165" t="inlineStr">
        <is>
          <t>NIE</t>
        </is>
      </c>
      <c r="K165" t="n">
        <v>503191527</v>
      </c>
      <c r="L165" t="n">
        <v>357000</v>
      </c>
      <c r="M165" t="n">
        <v>6677.890011223344</v>
      </c>
      <c r="N165" t="n">
        <v>53.46</v>
      </c>
      <c r="O165" t="inlineStr">
        <is>
          <t>3+k</t>
        </is>
      </c>
      <c r="P165" t="n">
        <v>4</v>
      </c>
      <c r="Q165" t="inlineStr">
        <is>
          <t>Puste</t>
        </is>
      </c>
    </row>
    <row r="166">
      <c r="A166" t="n">
        <v>165</v>
      </c>
      <c r="B166" s="3" t="n">
        <v>45435</v>
      </c>
      <c r="C166" s="3" t="n">
        <v>45456</v>
      </c>
      <c r="D166" t="inlineStr">
        <is>
          <t>https://www.morizon.pl/oferta/sprzedaz-mieszkanie-lodz-47m2-mzn2043846889</t>
        </is>
      </c>
      <c r="E166">
        <f>HYPERLINK("https://www.morizon.pl/oferta/sprzedaz-mieszkanie-lodz-47m2-mzn2043846889", "https://www.morizon.pl/oferta/sprzedaz-mieszkanie-lodz-47m2-mzn2043846889")</f>
        <v/>
      </c>
      <c r="F166" t="inlineStr">
        <is>
          <t>rondo Lotników</t>
        </is>
      </c>
      <c r="G166" t="inlineStr">
        <is>
          <t>Górna</t>
        </is>
      </c>
      <c r="H166" t="inlineStr">
        <is>
          <t>Górna</t>
        </is>
      </c>
      <c r="I166" t="inlineStr">
        <is>
          <t>TAK</t>
        </is>
      </c>
      <c r="J166" t="inlineStr">
        <is>
          <t>NIE</t>
        </is>
      </c>
      <c r="K166" t="n">
        <v>608313120</v>
      </c>
      <c r="L166" t="n">
        <v>359000</v>
      </c>
      <c r="M166" t="n">
        <v>7499.477752245666</v>
      </c>
      <c r="N166" t="n">
        <v>47.87</v>
      </c>
      <c r="O166" t="inlineStr">
        <is>
          <t>2+k</t>
        </is>
      </c>
      <c r="P166" t="n">
        <v>0</v>
      </c>
      <c r="Q166" t="inlineStr">
        <is>
          <t>Nie da się zamieszkać</t>
        </is>
      </c>
    </row>
    <row r="167">
      <c r="A167" t="n">
        <v>166</v>
      </c>
      <c r="B167" s="3" t="n">
        <v>45436</v>
      </c>
      <c r="C167" s="3" t="n">
        <v>45467</v>
      </c>
      <c r="D167" t="inlineStr">
        <is>
          <t>https://www.olx.pl/d/oferta/m3-doly-CID3-ID10iCe7.html</t>
        </is>
      </c>
      <c r="E167">
        <f>HYPERLINK("https://www.olx.pl/d/oferta/m3-doly-CID3-ID10iCe7.html", "https://www.olx.pl/d/oferta/m3-doly-CID3-ID10iCe7.html")</f>
        <v/>
      </c>
      <c r="F167" t="inlineStr">
        <is>
          <t>marynarska</t>
        </is>
      </c>
      <c r="G167" t="inlineStr">
        <is>
          <t>Bałuty</t>
        </is>
      </c>
      <c r="H167" t="inlineStr">
        <is>
          <t>Bałuty</t>
        </is>
      </c>
      <c r="I167" t="inlineStr">
        <is>
          <t>TAK</t>
        </is>
      </c>
      <c r="J167" t="inlineStr">
        <is>
          <t>TAK</t>
        </is>
      </c>
      <c r="K167" t="n">
        <v>797542793</v>
      </c>
      <c r="L167" t="n">
        <v>349000</v>
      </c>
      <c r="M167" t="n">
        <v>7270.833333333333</v>
      </c>
      <c r="N167" t="n">
        <v>48</v>
      </c>
      <c r="O167" t="inlineStr">
        <is>
          <t>2+k</t>
        </is>
      </c>
      <c r="P167" t="n">
        <v>0</v>
      </c>
      <c r="Q167" t="inlineStr">
        <is>
          <t>Nie da się zamieszkać</t>
        </is>
      </c>
    </row>
    <row r="168">
      <c r="A168" t="n">
        <v>167</v>
      </c>
      <c r="B168" s="3" t="n">
        <v>45436</v>
      </c>
      <c r="C168" s="3" t="n">
        <v>45522</v>
      </c>
      <c r="D168" t="inlineStr">
        <is>
          <t>https://www.olx.pl/d/oferta/wygodne-3-pokoje-w-dogodnej-lokalizacji-dabrowa-CID3-ID10iCon.html</t>
        </is>
      </c>
      <c r="E168">
        <f>HYPERLINK("https://www.olx.pl/d/oferta/wygodne-3-pokoje-w-dogodnej-lokalizacji-dabrowa-CID3-ID10iCon.html", "https://www.olx.pl/d/oferta/wygodne-3-pokoje-w-dogodnej-lokalizacji-dabrowa-CID3-ID10iCon.html")</f>
        <v/>
      </c>
      <c r="F168" t="inlineStr">
        <is>
          <t>.</t>
        </is>
      </c>
      <c r="G168" t="inlineStr">
        <is>
          <t>Dąbrowa</t>
        </is>
      </c>
      <c r="H168" t="inlineStr">
        <is>
          <t>Dąbrowa</t>
        </is>
      </c>
      <c r="I168" t="inlineStr">
        <is>
          <t>TAK</t>
        </is>
      </c>
      <c r="J168" t="inlineStr">
        <is>
          <t>TAK</t>
        </is>
      </c>
      <c r="K168" t="n">
        <v>422922055</v>
      </c>
      <c r="L168" t="n">
        <v>320000</v>
      </c>
      <c r="M168" t="n">
        <v>6776.789495976282</v>
      </c>
      <c r="N168" t="n">
        <v>47.22</v>
      </c>
      <c r="O168" t="inlineStr">
        <is>
          <t>2+k</t>
        </is>
      </c>
      <c r="P168" t="n">
        <v>8</v>
      </c>
      <c r="Q168" t="inlineStr">
        <is>
          <t>Nie da się zamieszkać</t>
        </is>
      </c>
      <c r="R168" t="inlineStr">
        <is>
          <t>Było nie aktywne od 24.06 wróciło w czasie do 02.08</t>
        </is>
      </c>
    </row>
    <row r="169">
      <c r="A169" t="n">
        <v>168</v>
      </c>
      <c r="B169" s="3" t="n">
        <v>45436</v>
      </c>
      <c r="C169" s="3" t="n">
        <v>45497</v>
      </c>
      <c r="D169" t="inlineStr">
        <is>
          <t>https://www.olx.pl/d/oferta/3-pokojowe-gorna-blisko-ronda-lotnikow-okazja-CID3-ID10iEu1.html</t>
        </is>
      </c>
      <c r="E169">
        <f>HYPERLINK("https://www.olx.pl/d/oferta/3-pokojowe-gorna-blisko-ronda-lotnikow-okazja-CID3-ID10iEu1.html", "https://www.olx.pl/d/oferta/3-pokojowe-gorna-blisko-ronda-lotnikow-okazja-CID3-ID10iEu1.html")</f>
        <v/>
      </c>
      <c r="F169" t="inlineStr">
        <is>
          <t>Rondo Lotników</t>
        </is>
      </c>
      <c r="G169" t="inlineStr">
        <is>
          <t>Górna</t>
        </is>
      </c>
      <c r="H169" t="inlineStr">
        <is>
          <t>Górna</t>
        </is>
      </c>
      <c r="I169" t="inlineStr">
        <is>
          <t>TAK</t>
        </is>
      </c>
      <c r="J169" t="inlineStr">
        <is>
          <t>NIE</t>
        </is>
      </c>
      <c r="K169" t="n">
        <v>514416099</v>
      </c>
      <c r="L169" t="n">
        <v>379000</v>
      </c>
      <c r="M169" t="n">
        <v>6970.755931579915</v>
      </c>
      <c r="N169" t="n">
        <v>54.37</v>
      </c>
      <c r="O169" t="inlineStr">
        <is>
          <t>3+k</t>
        </is>
      </c>
      <c r="P169" t="n">
        <v>3</v>
      </c>
      <c r="Q169" t="inlineStr">
        <is>
          <t>Puste posprzątane</t>
        </is>
      </c>
    </row>
    <row r="170">
      <c r="A170" t="n">
        <v>169</v>
      </c>
      <c r="B170" s="3" t="n">
        <v>45436</v>
      </c>
      <c r="C170" s="3" t="n">
        <v>45467</v>
      </c>
      <c r="D170" t="inlineStr">
        <is>
          <t>https://gratka.pl/nieruchomosci/mieszkanie-lodz-widzew-ul-konstytucyjna/ob/34679521</t>
        </is>
      </c>
      <c r="E170">
        <f>HYPERLINK("https://gratka.pl/nieruchomosci/mieszkanie-lodz-widzew-ul-konstytucyjna/ob/34679521", "https://gratka.pl/nieruchomosci/mieszkanie-lodz-widzew-ul-konstytucyjna/ob/34679521")</f>
        <v/>
      </c>
      <c r="F170" t="inlineStr">
        <is>
          <t>konstutucyjna</t>
        </is>
      </c>
      <c r="G170" t="inlineStr">
        <is>
          <t>Widzew</t>
        </is>
      </c>
      <c r="H170" t="inlineStr">
        <is>
          <t>Widzew blisko centrum</t>
        </is>
      </c>
      <c r="I170" t="inlineStr">
        <is>
          <t>TAK</t>
        </is>
      </c>
      <c r="J170" t="inlineStr">
        <is>
          <t>TAK</t>
        </is>
      </c>
      <c r="K170" t="n">
        <v>781290248</v>
      </c>
      <c r="L170" t="n">
        <v>249000</v>
      </c>
      <c r="M170" t="n">
        <v>7432.835820895522</v>
      </c>
      <c r="N170" t="n">
        <v>33.5</v>
      </c>
      <c r="O170" t="inlineStr">
        <is>
          <t>1+k</t>
        </is>
      </c>
      <c r="P170" t="n">
        <v>1</v>
      </c>
      <c r="Q170" t="inlineStr">
        <is>
          <t>Da się zamieszkać</t>
        </is>
      </c>
    </row>
    <row r="171">
      <c r="A171" t="n">
        <v>170</v>
      </c>
      <c r="B171" s="3" t="n">
        <v>45436</v>
      </c>
      <c r="C171" s="3" t="n">
        <v>45467</v>
      </c>
      <c r="D171" t="inlineStr">
        <is>
          <t>https://www.olx.pl/d/oferta/2-poknowa-cena-manu-winda-balkon-CID3-ID10iKaN.html?isPreviewActive=0&amp;sliderIndex=0</t>
        </is>
      </c>
      <c r="E171">
        <f>HYPERLINK("https://www.olx.pl/d/oferta/2-poknowa-cena-manu-winda-balkon-CID3-ID10iKaN.html?isPreviewActive=0&amp;sliderIndex=0", "https://www.olx.pl/d/oferta/2-poknowa-cena-manu-winda-balkon-CID3-ID10iKaN.html?isPreviewActive=0&amp;sliderIndex=0")</f>
        <v/>
      </c>
      <c r="F171" t="inlineStr">
        <is>
          <t>obok manu</t>
        </is>
      </c>
      <c r="G171" t="inlineStr">
        <is>
          <t>Bałuty</t>
        </is>
      </c>
      <c r="H171" t="inlineStr">
        <is>
          <t>Bałuty blisko centrum</t>
        </is>
      </c>
      <c r="I171" t="inlineStr">
        <is>
          <t>TAK</t>
        </is>
      </c>
      <c r="J171" t="inlineStr">
        <is>
          <t>NIE</t>
        </is>
      </c>
      <c r="K171" t="n">
        <v>798448397</v>
      </c>
      <c r="L171" t="n">
        <v>310000</v>
      </c>
      <c r="M171" t="n">
        <v>6645.230439442658</v>
      </c>
      <c r="N171" t="n">
        <v>46.65</v>
      </c>
      <c r="O171" t="inlineStr">
        <is>
          <t>2+k</t>
        </is>
      </c>
      <c r="P171" t="n">
        <v>10</v>
      </c>
      <c r="Q171" t="inlineStr">
        <is>
          <t>Puste posprzątane</t>
        </is>
      </c>
    </row>
    <row r="172">
      <c r="A172" t="n">
        <v>171</v>
      </c>
      <c r="B172" s="3" t="n">
        <v>45436</v>
      </c>
      <c r="C172" s="3" t="n">
        <v>45467</v>
      </c>
      <c r="D172" t="inlineStr">
        <is>
          <t>https://www.olx.pl/d/oferta/sprzedam-mieszkanie-2-pokoje-karolew-CID3-ID10jael.html</t>
        </is>
      </c>
      <c r="E172">
        <f>HYPERLINK("https://www.olx.pl/d/oferta/sprzedam-mieszkanie-2-pokoje-karolew-CID3-ID10jael.html", "https://www.olx.pl/d/oferta/sprzedam-mieszkanie-2-pokoje-karolew-CID3-ID10jael.html")</f>
        <v/>
      </c>
      <c r="F172" t="inlineStr">
        <is>
          <t>bratysławska</t>
        </is>
      </c>
      <c r="G172" t="inlineStr">
        <is>
          <t>Retkinia</t>
        </is>
      </c>
      <c r="H172" t="inlineStr">
        <is>
          <t>Retkinia blisko centrum</t>
        </is>
      </c>
      <c r="I172" t="inlineStr">
        <is>
          <t>TAK</t>
        </is>
      </c>
      <c r="J172" t="inlineStr">
        <is>
          <t>NIE</t>
        </is>
      </c>
      <c r="K172" t="n">
        <v>783652395</v>
      </c>
      <c r="L172" t="n">
        <v>339000</v>
      </c>
      <c r="M172" t="n">
        <v>7080.200501253133</v>
      </c>
      <c r="N172" t="n">
        <v>47.88</v>
      </c>
      <c r="O172" t="inlineStr">
        <is>
          <t>2+k</t>
        </is>
      </c>
      <c r="P172" t="n">
        <v>1</v>
      </c>
      <c r="Q172" t="inlineStr">
        <is>
          <t>Nie da się zamieszkać</t>
        </is>
      </c>
    </row>
    <row r="173">
      <c r="A173" t="n">
        <v>172</v>
      </c>
      <c r="B173" s="3" t="n">
        <v>45437</v>
      </c>
      <c r="D173" t="inlineStr">
        <is>
          <t>https://www.okolica.pl/offer/show/78735-S-0e9d9/formular</t>
        </is>
      </c>
      <c r="E173">
        <f>HYPERLINK("https://www.okolica.pl/offer/show/78735-S-0e9d9/formular", "https://www.okolica.pl/offer/show/78735-S-0e9d9/formular")</f>
        <v/>
      </c>
      <c r="F173" t="inlineStr">
        <is>
          <t>obywatelska</t>
        </is>
      </c>
      <c r="G173" t="inlineStr">
        <is>
          <t>Retkinia</t>
        </is>
      </c>
      <c r="H173" t="inlineStr">
        <is>
          <t>Retkinia blisko centrum</t>
        </is>
      </c>
      <c r="I173" t="inlineStr">
        <is>
          <t>NIE</t>
        </is>
      </c>
      <c r="J173" t="inlineStr">
        <is>
          <t>NIE</t>
        </is>
      </c>
      <c r="K173" t="n">
        <v>601802664</v>
      </c>
      <c r="L173" t="n">
        <v>349000</v>
      </c>
      <c r="M173" t="n">
        <v>7122.448979591837</v>
      </c>
      <c r="N173" t="n">
        <v>49</v>
      </c>
      <c r="O173" t="inlineStr">
        <is>
          <t>2+k</t>
        </is>
      </c>
      <c r="P173" t="n">
        <v>3</v>
      </c>
      <c r="Q173" t="inlineStr">
        <is>
          <t>Puste</t>
        </is>
      </c>
      <c r="R173" t="inlineStr">
        <is>
          <t>było 379000. Było nieaktywne od 24.06 wróciło 02.08 03.09 było 369k</t>
        </is>
      </c>
    </row>
    <row r="174">
      <c r="A174" t="n">
        <v>173</v>
      </c>
      <c r="B174" s="3" t="n">
        <v>45437</v>
      </c>
      <c r="D174" t="inlineStr">
        <is>
          <t>https://www.otodom.pl/pl/oferta/parter-do-remontu-ID4qLxp</t>
        </is>
      </c>
      <c r="E174">
        <f>HYPERLINK("https://www.otodom.pl/pl/oferta/parter-do-remontu-ID4qLxp", "https://www.otodom.pl/pl/oferta/parter-do-remontu-ID4qLxp")</f>
        <v/>
      </c>
      <c r="F174" t="inlineStr">
        <is>
          <t>łanowa</t>
        </is>
      </c>
      <c r="G174" t="inlineStr">
        <is>
          <t>Teofilów</t>
        </is>
      </c>
      <c r="H174" t="inlineStr">
        <is>
          <t>Teofilów</t>
        </is>
      </c>
      <c r="I174" t="inlineStr">
        <is>
          <t>NIE</t>
        </is>
      </c>
      <c r="J174" t="inlineStr">
        <is>
          <t>TAK</t>
        </is>
      </c>
      <c r="K174" t="n">
        <v>735957444</v>
      </c>
      <c r="L174" t="n">
        <v>269000</v>
      </c>
      <c r="M174" t="n">
        <v>6005.804867157848</v>
      </c>
      <c r="N174" t="n">
        <v>44.79</v>
      </c>
      <c r="O174" t="inlineStr">
        <is>
          <t>2+k</t>
        </is>
      </c>
      <c r="P174" t="n">
        <v>0</v>
      </c>
      <c r="Q174" t="inlineStr">
        <is>
          <t>Nie da się zamieszkać</t>
        </is>
      </c>
      <c r="R174" t="inlineStr">
        <is>
          <t>kontakt 10.07 rezerwacja. Ktoś odpadł i mieszkanie aktualne wizyta 18.07 godz 11. Po wizycie okazało się ze minimum jakie włascicele chcą to 266+5500 prowizji posrednika. Trzeba zejsc do 255+ prowizja lub 260 z prowizją. 22.07 Złozona oferta telefonicznie na 255000 + 5500. Oddzwonił pośrednik 266 nadal ale prowizja dla pośrednika zeszła o połowo. Na 2500 do łapy lub 3125 na fakture. Zadzwonione 23.08.2024 - status ten sam co miesiąc temu. Aktualne - w kontakcie.</t>
        </is>
      </c>
    </row>
    <row r="175">
      <c r="A175" t="n">
        <v>174</v>
      </c>
      <c r="B175" s="3" t="n">
        <v>45437</v>
      </c>
      <c r="C175" s="3" t="n">
        <v>45471</v>
      </c>
      <c r="D175" t="inlineStr">
        <is>
          <t>https://www.olx.pl/d/oferta/sprzedam-m3-40-m2-ulica-wygodna-lodz-CID3-ID10jQIx.html</t>
        </is>
      </c>
      <c r="E175">
        <f>HYPERLINK("https://www.olx.pl/d/oferta/sprzedam-m3-40-m2-ulica-wygodna-lodz-CID3-ID10jQIx.html", "https://www.olx.pl/d/oferta/sprzedam-m3-40-m2-ulica-wygodna-lodz-CID3-ID10jQIx.html")</f>
        <v/>
      </c>
      <c r="F175" t="inlineStr">
        <is>
          <t>wygodna</t>
        </is>
      </c>
      <c r="G175" t="inlineStr">
        <is>
          <t>Retkinia</t>
        </is>
      </c>
      <c r="H175" t="inlineStr">
        <is>
          <t>Retkinia blisko centrum</t>
        </is>
      </c>
      <c r="I175" t="inlineStr">
        <is>
          <t>TAK</t>
        </is>
      </c>
      <c r="J175" t="inlineStr">
        <is>
          <t>NIE</t>
        </is>
      </c>
      <c r="K175" t="n">
        <v>662517859</v>
      </c>
      <c r="L175" t="n">
        <v>310000</v>
      </c>
      <c r="M175" t="n">
        <v>7750</v>
      </c>
      <c r="N175" t="n">
        <v>40</v>
      </c>
      <c r="O175" t="inlineStr">
        <is>
          <t>2+k</t>
        </is>
      </c>
      <c r="P175" t="n">
        <v>1</v>
      </c>
      <c r="Q175" t="inlineStr">
        <is>
          <t>Nie da się zamieszkać</t>
        </is>
      </c>
    </row>
    <row r="176">
      <c r="A176" t="n">
        <v>175</v>
      </c>
      <c r="B176" s="3" t="n">
        <v>45437</v>
      </c>
      <c r="C176" s="3" t="n">
        <v>45471</v>
      </c>
      <c r="D176" t="inlineStr">
        <is>
          <t>https://www.otodom.pl/pl/oferta/sprzedam-2-pok-mieszkanie-z-balkonem-w-wiezowcu-ID4qLE9.html</t>
        </is>
      </c>
      <c r="E176">
        <f>HYPERLINK("https://www.otodom.pl/pl/oferta/sprzedam-2-pok-mieszkanie-z-balkonem-w-wiezowcu-ID4qLE9.html", "https://www.otodom.pl/pl/oferta/sprzedam-2-pok-mieszkanie-z-balkonem-w-wiezowcu-ID4qLE9.html")</f>
        <v/>
      </c>
      <c r="F176" t="inlineStr">
        <is>
          <t>lokatorska 17</t>
        </is>
      </c>
      <c r="G176" t="inlineStr">
        <is>
          <t>Górna</t>
        </is>
      </c>
      <c r="H176" t="inlineStr">
        <is>
          <t>Górna</t>
        </is>
      </c>
      <c r="I176" t="inlineStr">
        <is>
          <t>TAK</t>
        </is>
      </c>
      <c r="J176" t="inlineStr">
        <is>
          <t>NIE</t>
        </is>
      </c>
      <c r="K176" t="n">
        <v>725770776</v>
      </c>
      <c r="L176" t="n">
        <v>305000</v>
      </c>
      <c r="M176" t="n">
        <v>7061.819865709655</v>
      </c>
      <c r="N176" t="n">
        <v>43.19</v>
      </c>
      <c r="O176" t="inlineStr">
        <is>
          <t>2+k</t>
        </is>
      </c>
      <c r="P176" t="n">
        <v>3</v>
      </c>
      <c r="Q176" t="inlineStr">
        <is>
          <t>Nie da się zamieszkać</t>
        </is>
      </c>
    </row>
    <row r="177">
      <c r="A177" t="n">
        <v>176</v>
      </c>
      <c r="B177" s="3" t="n">
        <v>45437</v>
      </c>
      <c r="C177" s="3" t="n">
        <v>45471</v>
      </c>
      <c r="D177" t="inlineStr">
        <is>
          <t>https://www.otodom.pl/pl/oferta/m3-od-zaraz-teofilow-do-remontu-ID4qLJs.html</t>
        </is>
      </c>
      <c r="E177">
        <f>HYPERLINK("https://www.otodom.pl/pl/oferta/m3-od-zaraz-teofilow-do-remontu-ID4qLJs.html", "https://www.otodom.pl/pl/oferta/m3-od-zaraz-teofilow-do-remontu-ID4qLJs.html")</f>
        <v/>
      </c>
      <c r="F177" t="inlineStr">
        <is>
          <t>wici</t>
        </is>
      </c>
      <c r="G177" t="inlineStr">
        <is>
          <t>Teofilów</t>
        </is>
      </c>
      <c r="H177" t="inlineStr">
        <is>
          <t>Teofilów</t>
        </is>
      </c>
      <c r="I177" t="inlineStr">
        <is>
          <t>TAK</t>
        </is>
      </c>
      <c r="J177" t="inlineStr">
        <is>
          <t>TAK</t>
        </is>
      </c>
      <c r="K177" t="n">
        <v>733088878</v>
      </c>
      <c r="L177" t="n">
        <v>330000</v>
      </c>
      <c r="M177" t="n">
        <v>7089.151450053706</v>
      </c>
      <c r="N177" t="n">
        <v>46.55</v>
      </c>
      <c r="O177" t="inlineStr">
        <is>
          <t>2+k</t>
        </is>
      </c>
      <c r="P177" t="n">
        <v>9</v>
      </c>
      <c r="Q177" t="inlineStr">
        <is>
          <t>Puste posprzątane</t>
        </is>
      </c>
    </row>
    <row r="178">
      <c r="A178" t="n">
        <v>177</v>
      </c>
      <c r="B178" s="3" t="n">
        <v>45437</v>
      </c>
      <c r="C178" s="3" t="n">
        <v>45446</v>
      </c>
      <c r="D178" t="inlineStr">
        <is>
          <t>https://www.olx.pl/d/oferta/ciche-mieszkanie-z-potencjalem-2-pokoje-CID3-IDZKtMq.html</t>
        </is>
      </c>
      <c r="E178">
        <f>HYPERLINK("https://www.olx.pl/d/oferta/ciche-mieszkanie-z-potencjalem-2-pokoje-CID3-IDZKtMq.html", "https://www.olx.pl/d/oferta/ciche-mieszkanie-z-potencjalem-2-pokoje-CID3-IDZKtMq.html")</f>
        <v/>
      </c>
      <c r="F178" t="inlineStr">
        <is>
          <t>łódź zabieniec</t>
        </is>
      </c>
      <c r="G178" t="inlineStr">
        <is>
          <t>Teofilów</t>
        </is>
      </c>
      <c r="H178" t="inlineStr">
        <is>
          <t>Teofilów</t>
        </is>
      </c>
      <c r="I178" t="inlineStr">
        <is>
          <t>TAK</t>
        </is>
      </c>
      <c r="J178" t="inlineStr">
        <is>
          <t>TAK</t>
        </is>
      </c>
      <c r="K178" t="n">
        <v>572418750</v>
      </c>
      <c r="L178" t="n">
        <v>298000</v>
      </c>
      <c r="M178" t="n">
        <v>6666.666666666666</v>
      </c>
      <c r="N178" t="n">
        <v>44.7</v>
      </c>
      <c r="O178" t="inlineStr">
        <is>
          <t>2+k</t>
        </is>
      </c>
      <c r="P178" t="n">
        <v>0</v>
      </c>
      <c r="Q178" t="inlineStr">
        <is>
          <t>Nie da się zamieszkać</t>
        </is>
      </c>
    </row>
    <row r="179">
      <c r="A179" t="n">
        <v>178</v>
      </c>
      <c r="B179" s="3" t="n">
        <v>45437</v>
      </c>
      <c r="C179" s="3" t="n">
        <v>45506</v>
      </c>
      <c r="D179" t="inlineStr">
        <is>
          <t>https://www.morizon.pl/oferta/sprzedaz-mieszkanie-lodz-baluty-lagiewnicka-53m2-mzn2043914343</t>
        </is>
      </c>
      <c r="E179">
        <f>HYPERLINK("https://www.morizon.pl/oferta/sprzedaz-mieszkanie-lodz-baluty-lagiewnicka-53m2-mzn2043914343", "https://www.morizon.pl/oferta/sprzedaz-mieszkanie-lodz-baluty-lagiewnicka-53m2-mzn2043914343")</f>
        <v/>
      </c>
      <c r="F179" t="inlineStr">
        <is>
          <t>łagiewnicka</t>
        </is>
      </c>
      <c r="G179" t="inlineStr">
        <is>
          <t>Bałuty</t>
        </is>
      </c>
      <c r="H179" t="inlineStr">
        <is>
          <t>Bałuty</t>
        </is>
      </c>
      <c r="I179" t="inlineStr">
        <is>
          <t>TAK</t>
        </is>
      </c>
      <c r="J179" t="inlineStr">
        <is>
          <t>TAK</t>
        </is>
      </c>
      <c r="K179" t="n">
        <v>791530456</v>
      </c>
      <c r="L179" t="n">
        <v>357700</v>
      </c>
      <c r="M179" t="n">
        <v>6690.983913206135</v>
      </c>
      <c r="N179" t="n">
        <v>53.46</v>
      </c>
      <c r="O179" t="inlineStr">
        <is>
          <t>2+k</t>
        </is>
      </c>
      <c r="P179" t="n">
        <v>4</v>
      </c>
      <c r="Q179" t="inlineStr">
        <is>
          <t>Nie da się zamieszkać</t>
        </is>
      </c>
    </row>
    <row r="180">
      <c r="A180" t="n">
        <v>179</v>
      </c>
      <c r="B180" s="3" t="n">
        <v>45437</v>
      </c>
      <c r="C180" s="3" t="n">
        <v>45446</v>
      </c>
      <c r="D180" t="inlineStr">
        <is>
          <t>https://www.olx.pl/d/oferta/kawalerka-27m2-na-teofilowie-CID3-ID10kFFR.html</t>
        </is>
      </c>
      <c r="E180">
        <f>HYPERLINK("https://www.olx.pl/d/oferta/kawalerka-27m2-na-teofilowie-CID3-ID10kFFR.html", "https://www.olx.pl/d/oferta/kawalerka-27m2-na-teofilowie-CID3-ID10kFFR.html")</f>
        <v/>
      </c>
      <c r="F180" t="inlineStr">
        <is>
          <t>traktorowa</t>
        </is>
      </c>
      <c r="G180" t="inlineStr">
        <is>
          <t>Teofilów</t>
        </is>
      </c>
      <c r="H180" t="inlineStr">
        <is>
          <t>Teofilów</t>
        </is>
      </c>
      <c r="I180" t="inlineStr">
        <is>
          <t>TAK</t>
        </is>
      </c>
      <c r="J180" t="inlineStr">
        <is>
          <t>NIE</t>
        </is>
      </c>
      <c r="K180" t="n">
        <v>506032074</v>
      </c>
      <c r="L180" t="n">
        <v>200000</v>
      </c>
      <c r="M180" t="n">
        <v>7407.407407407408</v>
      </c>
      <c r="N180" t="n">
        <v>27</v>
      </c>
      <c r="O180" t="inlineStr">
        <is>
          <t>1+k</t>
        </is>
      </c>
      <c r="P180" t="n">
        <v>3</v>
      </c>
      <c r="Q180" t="inlineStr">
        <is>
          <t>Da się zamieszkać</t>
        </is>
      </c>
    </row>
    <row r="181">
      <c r="A181" t="n">
        <v>180</v>
      </c>
      <c r="B181" s="3" t="n">
        <v>45438</v>
      </c>
      <c r="D181" t="inlineStr">
        <is>
          <t>https://www.olx.pl/d/oferta/2-pokojowe-swietny-punkt-blisko-politechniki-CID3-IDZSWXY.html</t>
        </is>
      </c>
      <c r="E181">
        <f>HYPERLINK("https://www.olx.pl/d/oferta/2-pokojowe-swietny-punkt-blisko-politechniki-CID3-IDZSWXY.html", "https://www.olx.pl/d/oferta/2-pokojowe-swietny-punkt-blisko-politechniki-CID3-IDZSWXY.html")</f>
        <v/>
      </c>
      <c r="F181" t="inlineStr">
        <is>
          <t>Paderewskiego</t>
        </is>
      </c>
      <c r="G181" t="inlineStr">
        <is>
          <t>Górna</t>
        </is>
      </c>
      <c r="H181" t="inlineStr">
        <is>
          <t>Górna</t>
        </is>
      </c>
      <c r="I181" t="inlineStr">
        <is>
          <t>NIE</t>
        </is>
      </c>
      <c r="J181" t="inlineStr">
        <is>
          <t>NIE</t>
        </is>
      </c>
      <c r="K181" t="n">
        <v>883120230</v>
      </c>
      <c r="L181" t="n">
        <v>320000</v>
      </c>
      <c r="M181" t="n">
        <v>6986.899563318778</v>
      </c>
      <c r="N181" t="n">
        <v>45.8</v>
      </c>
      <c r="O181" t="inlineStr">
        <is>
          <t>2+k</t>
        </is>
      </c>
      <c r="P181" t="n">
        <v>10</v>
      </c>
      <c r="Q181" t="inlineStr">
        <is>
          <t>Nie da się zamieszkać</t>
        </is>
      </c>
      <c r="R181" t="inlineStr">
        <is>
          <t>18.08 było 350k</t>
        </is>
      </c>
    </row>
    <row r="182">
      <c r="A182" t="n">
        <v>181</v>
      </c>
      <c r="B182" s="3" t="n">
        <v>45438</v>
      </c>
      <c r="C182" s="3" t="n">
        <v>45510</v>
      </c>
      <c r="D182" t="inlineStr">
        <is>
          <t>https://www.otodom.pl/pl/oferta/sprzedam-mieszkanie-na-balutach-m3-ul-bydgoska-ID4qMU1.html</t>
        </is>
      </c>
      <c r="E182">
        <f>HYPERLINK("https://www.otodom.pl/pl/oferta/sprzedam-mieszkanie-na-balutach-m3-ul-bydgoska-ID4qMU1.html", "https://www.otodom.pl/pl/oferta/sprzedam-mieszkanie-na-balutach-m3-ul-bydgoska-ID4qMU1.html")</f>
        <v/>
      </c>
      <c r="F182" t="inlineStr">
        <is>
          <t>bydgoska</t>
        </is>
      </c>
      <c r="G182" t="inlineStr">
        <is>
          <t>Polesie</t>
        </is>
      </c>
      <c r="H182" t="inlineStr">
        <is>
          <t>Polesie</t>
        </is>
      </c>
      <c r="I182" t="inlineStr">
        <is>
          <t>TAK</t>
        </is>
      </c>
      <c r="J182" t="inlineStr">
        <is>
          <t>TAK</t>
        </is>
      </c>
      <c r="K182" t="n">
        <v>605244884</v>
      </c>
      <c r="L182" t="n">
        <v>345000</v>
      </c>
      <c r="M182" t="n">
        <v>7500</v>
      </c>
      <c r="N182" t="n">
        <v>46</v>
      </c>
      <c r="O182" t="inlineStr">
        <is>
          <t>2+k</t>
        </is>
      </c>
      <c r="P182" t="n">
        <v>0</v>
      </c>
      <c r="Q182" t="inlineStr">
        <is>
          <t>Nie da się zamieszkać</t>
        </is>
      </c>
      <c r="R182" t="inlineStr">
        <is>
          <t>było 360000</t>
        </is>
      </c>
      <c r="T182" t="inlineStr">
        <is>
          <t>799</t>
        </is>
      </c>
    </row>
    <row r="183">
      <c r="A183" t="n">
        <v>182</v>
      </c>
      <c r="B183" s="3" t="n">
        <v>45438</v>
      </c>
      <c r="C183" s="3" t="n">
        <v>45506</v>
      </c>
      <c r="D183" t="inlineStr">
        <is>
          <t>https://www.okolica.pl/offer/show/38983-S-81_8567_OMS/formular</t>
        </is>
      </c>
      <c r="E183">
        <f>HYPERLINK("https://www.okolica.pl/offer/show/38983-S-81_8567_OMS/formular", "https://www.okolica.pl/offer/show/38983-S-81_8567_OMS/formular")</f>
        <v/>
      </c>
      <c r="F183" t="inlineStr">
        <is>
          <t>zielona</t>
        </is>
      </c>
      <c r="G183" t="inlineStr">
        <is>
          <t>Polesie</t>
        </is>
      </c>
      <c r="H183" t="inlineStr">
        <is>
          <t>Polesie</t>
        </is>
      </c>
      <c r="I183" t="inlineStr">
        <is>
          <t>TAK</t>
        </is>
      </c>
      <c r="J183" t="inlineStr">
        <is>
          <t>TAK</t>
        </is>
      </c>
      <c r="K183" t="n">
        <v>579523584</v>
      </c>
      <c r="L183" t="n">
        <v>349500</v>
      </c>
      <c r="M183" t="n">
        <v>7564.935064935064</v>
      </c>
      <c r="N183" t="n">
        <v>46.2</v>
      </c>
      <c r="O183" t="inlineStr">
        <is>
          <t>2+k</t>
        </is>
      </c>
      <c r="P183" t="n">
        <v>3</v>
      </c>
      <c r="Q183" t="inlineStr">
        <is>
          <t>Nie da się zamieszkać</t>
        </is>
      </c>
      <c r="T183" t="inlineStr">
        <is>
          <t>745</t>
        </is>
      </c>
    </row>
    <row r="184">
      <c r="A184" t="n">
        <v>183</v>
      </c>
      <c r="B184" s="3" t="n">
        <v>45438</v>
      </c>
      <c r="C184" t="inlineStr">
        <is>
          <t>28.06.20224</t>
        </is>
      </c>
      <c r="D184" t="inlineStr">
        <is>
          <t>https://www.olx.pl/d/oferta/2-pokoje-parter-dabrowa-najtaniej-CID3-ID10lC6i.html</t>
        </is>
      </c>
      <c r="E184">
        <f>HYPERLINK("https://www.olx.pl/d/oferta/2-pokoje-parter-dabrowa-najtaniej-CID3-ID10lC6i.html", "https://www.olx.pl/d/oferta/2-pokoje-parter-dabrowa-najtaniej-CID3-ID10lC6i.html")</f>
        <v/>
      </c>
      <c r="F184" t="inlineStr">
        <is>
          <t>kadłubka</t>
        </is>
      </c>
      <c r="G184" t="inlineStr">
        <is>
          <t>Dąbrowa</t>
        </is>
      </c>
      <c r="H184" t="inlineStr">
        <is>
          <t>Dąbrowa</t>
        </is>
      </c>
      <c r="I184" t="inlineStr">
        <is>
          <t>TAK</t>
        </is>
      </c>
      <c r="J184" t="inlineStr">
        <is>
          <t>NIE</t>
        </is>
      </c>
      <c r="K184" t="n">
        <v>660772403</v>
      </c>
      <c r="L184" t="n">
        <v>245000</v>
      </c>
      <c r="M184" t="n">
        <v>6668.481219379422</v>
      </c>
      <c r="N184" t="n">
        <v>36.74</v>
      </c>
      <c r="O184" t="inlineStr">
        <is>
          <t>2+k</t>
        </is>
      </c>
      <c r="P184" t="n">
        <v>0</v>
      </c>
      <c r="Q184" t="inlineStr">
        <is>
          <t>Nie da się zamieszkać</t>
        </is>
      </c>
    </row>
    <row r="185">
      <c r="A185" t="n">
        <v>184</v>
      </c>
      <c r="B185" s="3" t="n">
        <v>45438</v>
      </c>
      <c r="D185" t="inlineStr">
        <is>
          <t>http://bezposrednie.com/mieszkanie-na-sprzedaz-d-grna,1538868767</t>
        </is>
      </c>
      <c r="E185">
        <f>HYPERLINK("http://bezposrednie.com/mieszkanie-na-sprzedaz-d-grna,1538868767", "http://bezposrednie.com/mieszkanie-na-sprzedaz-d-grna,1538868767")</f>
        <v/>
      </c>
      <c r="F185" t="inlineStr">
        <is>
          <t>gojawiczyńska</t>
        </is>
      </c>
      <c r="G185" t="inlineStr">
        <is>
          <t>Dąbrowa</t>
        </is>
      </c>
      <c r="H185" t="inlineStr">
        <is>
          <t>Dąbrowa</t>
        </is>
      </c>
      <c r="I185" t="inlineStr">
        <is>
          <t>NIE</t>
        </is>
      </c>
      <c r="J185" t="inlineStr">
        <is>
          <t>NIE</t>
        </is>
      </c>
      <c r="K185" t="n">
        <v>880136469</v>
      </c>
      <c r="L185" t="n">
        <v>320000</v>
      </c>
      <c r="M185" t="n">
        <v>7048.458149779736</v>
      </c>
      <c r="N185" t="n">
        <v>45.4</v>
      </c>
      <c r="O185" t="inlineStr">
        <is>
          <t>2+k</t>
        </is>
      </c>
      <c r="P185" t="n">
        <v>3</v>
      </c>
      <c r="Q185" t="inlineStr">
        <is>
          <t>Puste</t>
        </is>
      </c>
      <c r="R185" t="inlineStr">
        <is>
          <t xml:space="preserve">było nie aktywne 28.06 wróciło 13.09 </t>
        </is>
      </c>
    </row>
    <row r="186">
      <c r="A186" t="n">
        <v>185</v>
      </c>
      <c r="B186" s="3" t="n">
        <v>45438</v>
      </c>
      <c r="C186" s="3" t="n">
        <v>45506</v>
      </c>
      <c r="D186" t="inlineStr">
        <is>
          <t>https://gratka.pl/nieruchomosci/mieszkanie-lodz-baluty/ob/34709419</t>
        </is>
      </c>
      <c r="E186">
        <f>HYPERLINK("https://gratka.pl/nieruchomosci/mieszkanie-lodz-baluty/ob/34709419", "https://gratka.pl/nieruchomosci/mieszkanie-lodz-baluty/ob/34709419")</f>
        <v/>
      </c>
      <c r="F186" t="inlineStr">
        <is>
          <t>marynarska</t>
        </is>
      </c>
      <c r="G186" t="inlineStr">
        <is>
          <t>Bałuty</t>
        </is>
      </c>
      <c r="H186" t="inlineStr">
        <is>
          <t>Bałuty</t>
        </is>
      </c>
      <c r="I186" t="inlineStr">
        <is>
          <t>TAK</t>
        </is>
      </c>
      <c r="J186" t="inlineStr">
        <is>
          <t>TAK</t>
        </is>
      </c>
      <c r="K186" t="n">
        <v>886642062</v>
      </c>
      <c r="L186" t="n">
        <v>349000</v>
      </c>
      <c r="M186" t="n">
        <v>7270.833333333333</v>
      </c>
      <c r="N186" t="n">
        <v>48</v>
      </c>
      <c r="O186" t="inlineStr">
        <is>
          <t>2+k</t>
        </is>
      </c>
      <c r="P186" t="n">
        <v>3</v>
      </c>
      <c r="Q186" t="inlineStr">
        <is>
          <t>Nie da się zamieszkać</t>
        </is>
      </c>
    </row>
    <row r="187">
      <c r="A187" t="n">
        <v>186</v>
      </c>
      <c r="B187" s="3" t="n">
        <v>45438</v>
      </c>
      <c r="D187" t="inlineStr">
        <is>
          <t>https://gratka.pl/nieruchomosci/mieszkanie-lodz-baluty/ob/34709709</t>
        </is>
      </c>
      <c r="E187">
        <f>HYPERLINK("https://gratka.pl/nieruchomosci/mieszkanie-lodz-baluty/ob/34709709", "https://gratka.pl/nieruchomosci/mieszkanie-lodz-baluty/ob/34709709")</f>
        <v/>
      </c>
      <c r="F187" t="inlineStr">
        <is>
          <t>smutna</t>
        </is>
      </c>
      <c r="G187" t="inlineStr">
        <is>
          <t>Bałuty</t>
        </is>
      </c>
      <c r="H187" t="inlineStr">
        <is>
          <t>Bałuty</t>
        </is>
      </c>
      <c r="I187" t="inlineStr">
        <is>
          <t>NIE</t>
        </is>
      </c>
      <c r="J187" t="inlineStr">
        <is>
          <t>TAK</t>
        </is>
      </c>
      <c r="K187" t="n">
        <v>789258167</v>
      </c>
      <c r="L187" t="n">
        <v>370000</v>
      </c>
      <c r="M187" t="n">
        <v>8222.222222222223</v>
      </c>
      <c r="N187" t="n">
        <v>45</v>
      </c>
      <c r="O187" t="inlineStr">
        <is>
          <t>2+k</t>
        </is>
      </c>
      <c r="P187" t="n">
        <v>2</v>
      </c>
      <c r="Q187" t="inlineStr">
        <is>
          <t>Puste posprzątane i odświeżone</t>
        </is>
      </c>
    </row>
    <row r="188">
      <c r="A188" t="n">
        <v>187</v>
      </c>
      <c r="B188" s="3" t="n">
        <v>45469</v>
      </c>
      <c r="D188" t="inlineStr">
        <is>
          <t>https://szybko.pl/o/na-sprzedaz/lokal-mieszkalny+mieszkanie/Łódź+Górna/oferta-15417139</t>
        </is>
      </c>
      <c r="E188">
        <f>HYPERLINK("https://szybko.pl/o/na-sprzedaz/lokal-mieszkalny+mieszkanie/Łódź+Górna/oferta-15417139", "https://szybko.pl/o/na-sprzedaz/lokal-mieszkalny+mieszkanie/Łódź+Górna/oferta-15417139")</f>
        <v/>
      </c>
      <c r="F188" t="inlineStr">
        <is>
          <t>kossaka</t>
        </is>
      </c>
      <c r="G188" t="inlineStr">
        <is>
          <t>Dąbrowa</t>
        </is>
      </c>
      <c r="H188" t="inlineStr">
        <is>
          <t>Dąbrowa</t>
        </is>
      </c>
      <c r="I188" t="inlineStr">
        <is>
          <t>NIE</t>
        </is>
      </c>
      <c r="J188" t="inlineStr">
        <is>
          <t>TAK</t>
        </is>
      </c>
      <c r="K188" t="n">
        <v>500844148</v>
      </c>
      <c r="L188" t="n">
        <v>289000</v>
      </c>
      <c r="M188" t="n">
        <v>6120.288013553579</v>
      </c>
      <c r="N188" t="n">
        <v>47.22</v>
      </c>
      <c r="O188" t="inlineStr">
        <is>
          <t>2+k</t>
        </is>
      </c>
      <c r="P188" t="n">
        <v>4</v>
      </c>
      <c r="Q188" t="inlineStr">
        <is>
          <t>Puste</t>
        </is>
      </c>
      <c r="R188" t="inlineStr">
        <is>
          <t>było 299999</t>
        </is>
      </c>
    </row>
    <row r="189">
      <c r="A189" t="n">
        <v>188</v>
      </c>
      <c r="B189" s="3" t="n">
        <v>45439</v>
      </c>
      <c r="C189" s="3" t="n">
        <v>45456</v>
      </c>
      <c r="D189" t="inlineStr">
        <is>
          <t>https://adresowo.pl/o/e8o5c6</t>
        </is>
      </c>
      <c r="E189">
        <f>HYPERLINK("https://adresowo.pl/o/e8o5c6", "https://adresowo.pl/o/e8o5c6")</f>
        <v/>
      </c>
      <c r="F189" t="inlineStr">
        <is>
          <t>.</t>
        </is>
      </c>
      <c r="G189" t="inlineStr">
        <is>
          <t>Widzew</t>
        </is>
      </c>
      <c r="H189" t="inlineStr">
        <is>
          <t>Widzew</t>
        </is>
      </c>
      <c r="I189" t="inlineStr">
        <is>
          <t>TAK</t>
        </is>
      </c>
      <c r="J189" t="inlineStr">
        <is>
          <t>NIE</t>
        </is>
      </c>
      <c r="L189" t="n">
        <v>260000</v>
      </c>
      <c r="M189" t="n">
        <v>7027.027027027027</v>
      </c>
      <c r="N189" t="n">
        <v>37</v>
      </c>
      <c r="O189" t="inlineStr">
        <is>
          <t>2+k</t>
        </is>
      </c>
      <c r="P189" t="n">
        <v>0</v>
      </c>
      <c r="Q189" t="inlineStr">
        <is>
          <t>Nie da się zamieszkać</t>
        </is>
      </c>
    </row>
    <row r="190">
      <c r="A190" t="n">
        <v>189</v>
      </c>
      <c r="B190" s="3" t="n">
        <v>45439</v>
      </c>
      <c r="C190" s="3" t="n">
        <v>45456</v>
      </c>
      <c r="D190" t="inlineStr">
        <is>
          <t>https://adresowo.pl/o/p2f8t5</t>
        </is>
      </c>
      <c r="E190">
        <f>HYPERLINK("https://adresowo.pl/o/p2f8t5", "https://adresowo.pl/o/p2f8t5")</f>
        <v/>
      </c>
      <c r="F190" t="inlineStr">
        <is>
          <t>traktorowa</t>
        </is>
      </c>
      <c r="G190" t="inlineStr">
        <is>
          <t>Teofilów</t>
        </is>
      </c>
      <c r="H190" t="inlineStr">
        <is>
          <t>Teofilów</t>
        </is>
      </c>
      <c r="I190" t="inlineStr">
        <is>
          <t>TAK</t>
        </is>
      </c>
      <c r="J190" t="inlineStr">
        <is>
          <t>NIE</t>
        </is>
      </c>
      <c r="L190" t="n">
        <v>329000</v>
      </c>
      <c r="M190" t="n">
        <v>7294.90022172949</v>
      </c>
      <c r="N190" t="n">
        <v>45.1</v>
      </c>
      <c r="O190" t="inlineStr">
        <is>
          <t>2+k</t>
        </is>
      </c>
      <c r="P190" t="n">
        <v>0</v>
      </c>
      <c r="Q190" t="inlineStr">
        <is>
          <t>Puste posprzątane i odświeżone</t>
        </is>
      </c>
    </row>
    <row r="191">
      <c r="A191" t="n">
        <v>190</v>
      </c>
      <c r="B191" s="3" t="n">
        <v>45440</v>
      </c>
      <c r="C191" s="3" t="n">
        <v>45467</v>
      </c>
      <c r="D191" t="inlineStr">
        <is>
          <t>https://www.olx.pl/d/oferta/sprzedam-m4-46-65m2-ul-nalkowskiej-w-lodzi-CID3-ID10m7d3.html</t>
        </is>
      </c>
      <c r="E191">
        <f>HYPERLINK("https://www.olx.pl/d/oferta/sprzedam-m4-46-65m2-ul-nalkowskiej-w-lodzi-CID3-ID10m7d3.html", "https://www.olx.pl/d/oferta/sprzedam-m4-46-65m2-ul-nalkowskiej-w-lodzi-CID3-ID10m7d3.html")</f>
        <v/>
      </c>
      <c r="F191" t="inlineStr">
        <is>
          <t>nałkowska</t>
        </is>
      </c>
      <c r="G191" t="inlineStr">
        <is>
          <t>Dąbrowa</t>
        </is>
      </c>
      <c r="H191" t="inlineStr">
        <is>
          <t>Dąbrowa</t>
        </is>
      </c>
      <c r="I191" t="inlineStr">
        <is>
          <t>TAK</t>
        </is>
      </c>
      <c r="J191" t="inlineStr">
        <is>
          <t>NIE</t>
        </is>
      </c>
      <c r="K191" t="n">
        <v>535098672</v>
      </c>
      <c r="L191" t="n">
        <v>299000</v>
      </c>
      <c r="M191" t="n">
        <v>6409.431939978564</v>
      </c>
      <c r="N191" t="n">
        <v>46.65</v>
      </c>
      <c r="O191" t="inlineStr">
        <is>
          <t>3+k</t>
        </is>
      </c>
      <c r="P191" t="n">
        <v>8</v>
      </c>
      <c r="Q191" t="inlineStr">
        <is>
          <t>Puste</t>
        </is>
      </c>
    </row>
    <row r="192">
      <c r="A192" t="n">
        <v>191</v>
      </c>
      <c r="B192" s="3" t="n">
        <v>45440</v>
      </c>
      <c r="C192" t="inlineStr">
        <is>
          <t>28.06.20224</t>
        </is>
      </c>
      <c r="D192" t="inlineStr">
        <is>
          <t>https://www.olx.pl/d/oferta/2-pokoje-z-duzym-balkonem-rozkladowe-retkinia-CID3-IDZ6zdO.html</t>
        </is>
      </c>
      <c r="E192">
        <f>HYPERLINK("https://www.olx.pl/d/oferta/2-pokoje-z-duzym-balkonem-rozkladowe-retkinia-CID3-IDZ6zdO.html", "https://www.olx.pl/d/oferta/2-pokoje-z-duzym-balkonem-rozkladowe-retkinia-CID3-IDZ6zdO.html")</f>
        <v/>
      </c>
      <c r="F192" t="inlineStr">
        <is>
          <t>batalionów chłopskich</t>
        </is>
      </c>
      <c r="G192" t="inlineStr">
        <is>
          <t>Retkinia</t>
        </is>
      </c>
      <c r="H192" t="inlineStr">
        <is>
          <t>Retkinia</t>
        </is>
      </c>
      <c r="I192" t="inlineStr">
        <is>
          <t>TAK</t>
        </is>
      </c>
      <c r="J192" t="inlineStr">
        <is>
          <t>TAK</t>
        </is>
      </c>
      <c r="K192" t="n">
        <v>798907229</v>
      </c>
      <c r="L192" t="n">
        <v>358000</v>
      </c>
      <c r="M192" t="n">
        <v>7283.82502543235</v>
      </c>
      <c r="N192" t="n">
        <v>49.15</v>
      </c>
      <c r="O192" t="inlineStr">
        <is>
          <t>2+k</t>
        </is>
      </c>
      <c r="P192" t="n">
        <v>2</v>
      </c>
      <c r="Q192" t="inlineStr">
        <is>
          <t>Nie da się zamieszkać</t>
        </is>
      </c>
    </row>
    <row r="193">
      <c r="A193" t="n">
        <v>192</v>
      </c>
      <c r="B193" s="3" t="n">
        <v>45440</v>
      </c>
      <c r="C193" s="3" t="n">
        <v>45506</v>
      </c>
      <c r="D193" t="inlineStr">
        <is>
          <t>https://lodz.nieruchomosci-online.pl/mieszkanie-w-bloku-mieszkalnym,do-odswiezenia/24976555.html</t>
        </is>
      </c>
      <c r="E193">
        <f>HYPERLINK("https://lodz.nieruchomosci-online.pl/mieszkanie-w-bloku-mieszkalnym,do-odswiezenia/24976555.html", "https://lodz.nieruchomosci-online.pl/mieszkanie-w-bloku-mieszkalnym,do-odswiezenia/24976555.html")</f>
        <v/>
      </c>
      <c r="F193" t="inlineStr">
        <is>
          <t>park helenów</t>
        </is>
      </c>
      <c r="G193" t="inlineStr">
        <is>
          <t>Bałuty</t>
        </is>
      </c>
      <c r="H193" t="inlineStr">
        <is>
          <t>Bałuty blisko centrum</t>
        </is>
      </c>
      <c r="I193" t="inlineStr">
        <is>
          <t>TAK</t>
        </is>
      </c>
      <c r="J193" t="inlineStr">
        <is>
          <t>TAK</t>
        </is>
      </c>
      <c r="K193" t="n">
        <v>886642062</v>
      </c>
      <c r="L193" t="n">
        <v>329000</v>
      </c>
      <c r="M193" t="n">
        <v>6854.166666666667</v>
      </c>
      <c r="N193" t="n">
        <v>48</v>
      </c>
      <c r="O193" t="inlineStr">
        <is>
          <t>2+k</t>
        </is>
      </c>
      <c r="P193" t="n">
        <v>3</v>
      </c>
      <c r="Q193" t="inlineStr">
        <is>
          <t>Nie da się zamieszkać</t>
        </is>
      </c>
      <c r="R193" t="inlineStr">
        <is>
          <t>15.07 było 349000</t>
        </is>
      </c>
    </row>
    <row r="194">
      <c r="A194" t="n">
        <v>193</v>
      </c>
      <c r="B194" s="3" t="n">
        <v>45440</v>
      </c>
      <c r="C194" s="3" t="n">
        <v>45506</v>
      </c>
      <c r="D194" t="inlineStr">
        <is>
          <t>https://www.olx.pl/d/oferta/2-pokoje-48m2-parter-okolice-srebrzynskiej-i-solec-CID3-ID10PjRV.html</t>
        </is>
      </c>
      <c r="E194">
        <f>HYPERLINK("https://www.olx.pl/d/oferta/2-pokoje-48m2-parter-okolice-srebrzynskiej-i-solec-CID3-ID10PjRV.html", "https://www.olx.pl/d/oferta/2-pokoje-48m2-parter-okolice-srebrzynskiej-i-solec-CID3-ID10PjRV.html")</f>
        <v/>
      </c>
      <c r="F194" t="inlineStr">
        <is>
          <t>jarzynowa</t>
        </is>
      </c>
      <c r="G194" t="inlineStr">
        <is>
          <t>Polesie</t>
        </is>
      </c>
      <c r="H194" t="inlineStr">
        <is>
          <t>Polesie</t>
        </is>
      </c>
      <c r="I194" t="inlineStr">
        <is>
          <t>TAK</t>
        </is>
      </c>
      <c r="J194" t="inlineStr">
        <is>
          <t>TAK</t>
        </is>
      </c>
      <c r="K194" t="n">
        <v>690269600</v>
      </c>
      <c r="L194" t="n">
        <v>339000</v>
      </c>
      <c r="M194" t="n">
        <v>7062.5</v>
      </c>
      <c r="N194" t="n">
        <v>48</v>
      </c>
      <c r="O194" t="inlineStr">
        <is>
          <t>2+k</t>
        </is>
      </c>
      <c r="P194" t="n">
        <v>0</v>
      </c>
      <c r="Q194" t="inlineStr">
        <is>
          <t>Nie da się zamieszkać</t>
        </is>
      </c>
      <c r="R194" t="inlineStr">
        <is>
          <t>było 349000</t>
        </is>
      </c>
    </row>
    <row r="195">
      <c r="A195" t="n">
        <v>194</v>
      </c>
      <c r="B195" s="3" t="n">
        <v>45440</v>
      </c>
      <c r="D195" t="inlineStr">
        <is>
          <t>https://www.olx.pl/d/oferta/m-3-45-m2-teofilow-do-remontu-CID3-ID10mdMm.html?isPreviewActive=0&amp;sliderIndex=0</t>
        </is>
      </c>
      <c r="E195">
        <f>HYPERLINK("https://www.olx.pl/d/oferta/m-3-45-m2-teofilow-do-remontu-CID3-ID10mdMm.html?isPreviewActive=0&amp;sliderIndex=0", "https://www.olx.pl/d/oferta/m-3-45-m2-teofilow-do-remontu-CID3-ID10mdMm.html?isPreviewActive=0&amp;sliderIndex=0")</f>
        <v/>
      </c>
      <c r="F195" t="inlineStr">
        <is>
          <t>.</t>
        </is>
      </c>
      <c r="G195" t="inlineStr">
        <is>
          <t>Teofilów</t>
        </is>
      </c>
      <c r="H195" t="inlineStr">
        <is>
          <t>Teofilów</t>
        </is>
      </c>
      <c r="I195" t="inlineStr">
        <is>
          <t>NIE</t>
        </is>
      </c>
      <c r="J195" t="inlineStr">
        <is>
          <t>TAK</t>
        </is>
      </c>
      <c r="K195" t="n">
        <v>506668062</v>
      </c>
      <c r="L195" t="n">
        <v>309200</v>
      </c>
      <c r="M195" t="n">
        <v>6871.111111111111</v>
      </c>
      <c r="N195" t="n">
        <v>45</v>
      </c>
      <c r="O195" t="inlineStr">
        <is>
          <t>2+k</t>
        </is>
      </c>
      <c r="P195" t="n">
        <v>7</v>
      </c>
      <c r="Q195" t="inlineStr">
        <is>
          <t>Puste</t>
        </is>
      </c>
      <c r="R195" t="inlineStr">
        <is>
          <t>było 321000 było nieaktywne 18.08 wróciło 13.09</t>
        </is>
      </c>
    </row>
    <row r="196">
      <c r="A196" t="n">
        <v>195</v>
      </c>
      <c r="B196" s="3" t="n">
        <v>45440</v>
      </c>
      <c r="C196" s="3" t="n">
        <v>45506</v>
      </c>
      <c r="D196" t="inlineStr">
        <is>
          <t>https://gratka.pl/nieruchomosci/mieszkanie-lodz-widzew/ob/34714045</t>
        </is>
      </c>
      <c r="E196">
        <f>HYPERLINK("https://gratka.pl/nieruchomosci/mieszkanie-lodz-widzew/ob/34714045", "https://gratka.pl/nieruchomosci/mieszkanie-lodz-widzew/ob/34714045")</f>
        <v/>
      </c>
      <c r="F196" t="inlineStr">
        <is>
          <t>obok stacji kolejowej łódź widzew</t>
        </is>
      </c>
      <c r="G196" t="inlineStr">
        <is>
          <t>Widzew</t>
        </is>
      </c>
      <c r="H196" t="inlineStr">
        <is>
          <t>Widzew</t>
        </is>
      </c>
      <c r="I196" t="inlineStr">
        <is>
          <t>TAK</t>
        </is>
      </c>
      <c r="J196" t="inlineStr">
        <is>
          <t>TAK</t>
        </is>
      </c>
      <c r="K196" t="n">
        <v>576317000</v>
      </c>
      <c r="L196" t="n">
        <v>419000</v>
      </c>
      <c r="M196" t="n">
        <v>7312.39092495637</v>
      </c>
      <c r="N196" t="n">
        <v>57.3</v>
      </c>
      <c r="O196" t="inlineStr">
        <is>
          <t>3+k</t>
        </is>
      </c>
      <c r="P196" t="n">
        <v>4</v>
      </c>
      <c r="Q196" t="inlineStr">
        <is>
          <t>Nie da się zamieszkać</t>
        </is>
      </c>
    </row>
    <row r="197">
      <c r="A197" t="n">
        <v>196</v>
      </c>
      <c r="B197" s="3" t="n">
        <v>45440</v>
      </c>
      <c r="C197" s="3" t="n">
        <v>45446</v>
      </c>
      <c r="D197" t="inlineStr">
        <is>
          <t>https://www.olx.pl/d/oferta/sprzedam-mieszkanie-w-lodzi-46m-2pok-CID3-ID10mikp.html?isPreviewActive=0&amp;sliderIndex=7</t>
        </is>
      </c>
      <c r="E197">
        <f>HYPERLINK("https://www.olx.pl/d/oferta/sprzedam-mieszkanie-w-lodzi-46m-2pok-CID3-ID10mikp.html?isPreviewActive=0&amp;sliderIndex=7", "https://www.olx.pl/d/oferta/sprzedam-mieszkanie-w-lodzi-46m-2pok-CID3-ID10mikp.html?isPreviewActive=0&amp;sliderIndex=7")</f>
        <v/>
      </c>
      <c r="F197" t="inlineStr">
        <is>
          <t>grota rowieckiego</t>
        </is>
      </c>
      <c r="G197" t="inlineStr">
        <is>
          <t>Widzew</t>
        </is>
      </c>
      <c r="H197" t="inlineStr">
        <is>
          <t>Widzew blisko centrum</t>
        </is>
      </c>
      <c r="I197" t="inlineStr">
        <is>
          <t>TAK</t>
        </is>
      </c>
      <c r="J197" t="inlineStr">
        <is>
          <t>TAK</t>
        </is>
      </c>
      <c r="L197" t="n">
        <v>310000</v>
      </c>
      <c r="M197" t="n">
        <v>6724.511930585683</v>
      </c>
      <c r="N197" t="n">
        <v>46.1</v>
      </c>
      <c r="O197" t="inlineStr">
        <is>
          <t>2+k</t>
        </is>
      </c>
      <c r="P197" t="n">
        <v>1</v>
      </c>
      <c r="Q197" t="inlineStr">
        <is>
          <t>Nie da się zamieszkać</t>
        </is>
      </c>
    </row>
    <row r="198">
      <c r="A198" t="n">
        <v>197</v>
      </c>
      <c r="B198" s="3" t="n">
        <v>45440</v>
      </c>
      <c r="C198" s="3" t="n">
        <v>45456</v>
      </c>
      <c r="D198" t="inlineStr">
        <is>
          <t>https://www.otodom.pl/pl/oferta/mieszkanie-43-m2-lodz-retkinia-ul-przelajowa-ID4qlTi.html</t>
        </is>
      </c>
      <c r="E198">
        <f>HYPERLINK("https://www.otodom.pl/pl/oferta/mieszkanie-43-m2-lodz-retkinia-ul-przelajowa-ID4qlTi.html", "https://www.otodom.pl/pl/oferta/mieszkanie-43-m2-lodz-retkinia-ul-przelajowa-ID4qlTi.html")</f>
        <v/>
      </c>
      <c r="F198" t="inlineStr">
        <is>
          <t>przełajowa</t>
        </is>
      </c>
      <c r="G198" t="inlineStr">
        <is>
          <t>Retkinia</t>
        </is>
      </c>
      <c r="H198" t="inlineStr">
        <is>
          <t>Retkinia</t>
        </is>
      </c>
      <c r="I198" t="inlineStr">
        <is>
          <t>TAK</t>
        </is>
      </c>
      <c r="J198" t="inlineStr">
        <is>
          <t>NIE</t>
        </is>
      </c>
      <c r="K198" t="n">
        <v>507481488</v>
      </c>
      <c r="L198" t="n">
        <v>330000</v>
      </c>
      <c r="M198" t="n">
        <v>7674.418604651163</v>
      </c>
      <c r="N198" t="n">
        <v>43</v>
      </c>
      <c r="O198" t="inlineStr">
        <is>
          <t>2+k</t>
        </is>
      </c>
      <c r="P198" t="n">
        <v>0</v>
      </c>
      <c r="Q198" t="inlineStr">
        <is>
          <t>Nie da się zamieszkać</t>
        </is>
      </c>
    </row>
    <row r="199">
      <c r="A199" t="n">
        <v>198</v>
      </c>
      <c r="B199" s="3" t="n">
        <v>45440</v>
      </c>
      <c r="C199" t="inlineStr">
        <is>
          <t>28.06.20224</t>
        </is>
      </c>
      <c r="D199" t="inlineStr">
        <is>
          <t>https://www.olx.pl/d/oferta/bezposrednio-ul-przybyszewskiego-29-rozkladowe-2-pokoje-53m2-CID3-ID10mqgP.html</t>
        </is>
      </c>
      <c r="E199">
        <f>HYPERLINK("https://www.olx.pl/d/oferta/bezposrednio-ul-przybyszewskiego-29-rozkladowe-2-pokoje-53m2-CID3-ID10mqgP.html", "https://www.olx.pl/d/oferta/bezposrednio-ul-przybyszewskiego-29-rozkladowe-2-pokoje-53m2-CID3-ID10mqgP.html")</f>
        <v/>
      </c>
      <c r="F199" t="inlineStr">
        <is>
          <t>przybyszewskiego</t>
        </is>
      </c>
      <c r="G199" t="inlineStr">
        <is>
          <t>Dąbrowa</t>
        </is>
      </c>
      <c r="H199" t="inlineStr">
        <is>
          <t>Dąbrowa</t>
        </is>
      </c>
      <c r="I199" t="inlineStr">
        <is>
          <t>TAK</t>
        </is>
      </c>
      <c r="J199" t="inlineStr">
        <is>
          <t>NIE</t>
        </is>
      </c>
      <c r="K199" t="n">
        <v>504645509</v>
      </c>
      <c r="L199" t="n">
        <v>359000</v>
      </c>
      <c r="M199" t="n">
        <v>6740.518212542246</v>
      </c>
      <c r="N199" t="n">
        <v>53.26</v>
      </c>
      <c r="O199" t="inlineStr">
        <is>
          <t>2+k</t>
        </is>
      </c>
      <c r="P199" t="n">
        <v>4</v>
      </c>
      <c r="Q199" t="inlineStr">
        <is>
          <t>Nie da się zamieszkać</t>
        </is>
      </c>
      <c r="R199" t="inlineStr">
        <is>
          <t>było 369000</t>
        </is>
      </c>
    </row>
    <row r="200">
      <c r="A200" t="n">
        <v>199</v>
      </c>
      <c r="B200" s="3" t="n">
        <v>45440</v>
      </c>
      <c r="C200" s="3" t="n">
        <v>45512</v>
      </c>
      <c r="D200" t="inlineStr">
        <is>
          <t>https://www.olx.pl/d/oferta/mieszkanie-25m-kawalerka-karolew-piwnica-3m-okazja-nowa-cena-CID3-IDZ3AIk.html</t>
        </is>
      </c>
      <c r="E200">
        <f>HYPERLINK("https://www.olx.pl/d/oferta/mieszkanie-25m-kawalerka-karolew-piwnica-3m-okazja-nowa-cena-CID3-IDZ3AIk.html", "https://www.olx.pl/d/oferta/mieszkanie-25m-kawalerka-karolew-piwnica-3m-okazja-nowa-cena-CID3-IDZ3AIk.html")</f>
        <v/>
      </c>
      <c r="F200" t="inlineStr">
        <is>
          <t>wileńska</t>
        </is>
      </c>
      <c r="G200" t="inlineStr">
        <is>
          <t>Retkinia</t>
        </is>
      </c>
      <c r="H200" t="inlineStr">
        <is>
          <t>Retkinia blisko centrum</t>
        </is>
      </c>
      <c r="I200" t="inlineStr">
        <is>
          <t>TAK</t>
        </is>
      </c>
      <c r="J200" t="inlineStr">
        <is>
          <t>NIE</t>
        </is>
      </c>
      <c r="K200" t="n">
        <v>501069460</v>
      </c>
      <c r="L200" t="n">
        <v>215000</v>
      </c>
      <c r="M200" t="n">
        <v>7678.571428571428</v>
      </c>
      <c r="N200" t="n">
        <v>28</v>
      </c>
      <c r="O200" t="inlineStr">
        <is>
          <t>1+k</t>
        </is>
      </c>
      <c r="P200" t="n">
        <v>2</v>
      </c>
      <c r="Q200" t="inlineStr">
        <is>
          <t>Nie da się zamieszkać</t>
        </is>
      </c>
    </row>
    <row r="201">
      <c r="A201" t="n">
        <v>200</v>
      </c>
      <c r="B201" s="3" t="n">
        <v>45440</v>
      </c>
      <c r="C201" s="3" t="n">
        <v>45467</v>
      </c>
      <c r="D201" t="inlineStr">
        <is>
          <t>https://www.olx.pl/d/oferta/m3-dabrowa-podhalanska-prywatne-47-22m2-CID3-ID10mJIV.html?isPreviewActive=0&amp;sliderIndex=6</t>
        </is>
      </c>
      <c r="E201">
        <f>HYPERLINK("https://www.olx.pl/d/oferta/m3-dabrowa-podhalanska-prywatne-47-22m2-CID3-ID10mJIV.html?isPreviewActive=0&amp;sliderIndex=6", "https://www.olx.pl/d/oferta/m3-dabrowa-podhalanska-prywatne-47-22m2-CID3-ID10mJIV.html?isPreviewActive=0&amp;sliderIndex=6")</f>
        <v/>
      </c>
      <c r="F201" t="inlineStr">
        <is>
          <t>podhalanska</t>
        </is>
      </c>
      <c r="G201" t="inlineStr">
        <is>
          <t>Dąbrowa</t>
        </is>
      </c>
      <c r="H201" t="inlineStr">
        <is>
          <t>Dąbrowa</t>
        </is>
      </c>
      <c r="I201" t="inlineStr">
        <is>
          <t>TAK</t>
        </is>
      </c>
      <c r="J201" t="inlineStr">
        <is>
          <t>NIE</t>
        </is>
      </c>
      <c r="K201" t="n">
        <v>606976478</v>
      </c>
      <c r="L201" t="n">
        <v>344000</v>
      </c>
      <c r="M201" t="n">
        <v>7166.666666666667</v>
      </c>
      <c r="N201" t="n">
        <v>48</v>
      </c>
      <c r="O201" t="inlineStr">
        <is>
          <t>3+k</t>
        </is>
      </c>
      <c r="P201" t="n">
        <v>0</v>
      </c>
      <c r="Q201" t="inlineStr">
        <is>
          <t>Nie da się zamieszkać</t>
        </is>
      </c>
      <c r="R201" t="inlineStr">
        <is>
          <t>być możne nie jest sprzedane i przeszło do tgn</t>
        </is>
      </c>
      <c r="T201" t="inlineStr">
        <is>
          <t>492</t>
        </is>
      </c>
    </row>
    <row r="202">
      <c r="A202" t="n">
        <v>201</v>
      </c>
      <c r="B202" s="3" t="n">
        <v>45441</v>
      </c>
      <c r="C202" s="3" t="n">
        <v>45532</v>
      </c>
      <c r="D202" t="inlineStr">
        <is>
          <t>https://www.morizon.pl/oferta/sprzedaz-mieszkanie-lodz-gorna-podgorna-56m2-mzn2042000405</t>
        </is>
      </c>
      <c r="E202">
        <f>HYPERLINK("https://www.morizon.pl/oferta/sprzedaz-mieszkanie-lodz-gorna-podgorna-56m2-mzn2042000405", "https://www.morizon.pl/oferta/sprzedaz-mieszkanie-lodz-gorna-podgorna-56m2-mzn2042000405")</f>
        <v/>
      </c>
      <c r="F202" t="inlineStr">
        <is>
          <t xml:space="preserve">podgórna </t>
        </is>
      </c>
      <c r="G202" t="inlineStr">
        <is>
          <t>Górna</t>
        </is>
      </c>
      <c r="H202" t="inlineStr">
        <is>
          <t>Górna</t>
        </is>
      </c>
      <c r="I202" t="inlineStr">
        <is>
          <t>TAK</t>
        </is>
      </c>
      <c r="J202" t="inlineStr">
        <is>
          <t>NIE</t>
        </is>
      </c>
      <c r="K202" t="n">
        <v>516001128</v>
      </c>
      <c r="L202" t="n">
        <v>410000</v>
      </c>
      <c r="M202" t="n">
        <v>7321.428571428572</v>
      </c>
      <c r="N202" t="n">
        <v>56</v>
      </c>
      <c r="O202" t="inlineStr">
        <is>
          <t>3+k</t>
        </is>
      </c>
      <c r="P202" t="n">
        <v>3</v>
      </c>
      <c r="Q202" t="inlineStr">
        <is>
          <t>Nie da się zamieszkać</t>
        </is>
      </c>
    </row>
    <row r="203">
      <c r="A203" t="n">
        <v>202</v>
      </c>
      <c r="B203" s="3" t="n">
        <v>45441</v>
      </c>
      <c r="C203" t="inlineStr">
        <is>
          <t>28.06.20224</t>
        </is>
      </c>
      <c r="D203" t="inlineStr">
        <is>
          <t>https://www.olx.pl/d/oferta/rozkladowe-2-pokoje-na-karolewie-winda-CID3-IDZR1Mm.html</t>
        </is>
      </c>
      <c r="E203">
        <f>HYPERLINK("https://www.olx.pl/d/oferta/rozkladowe-2-pokoje-na-karolewie-winda-CID3-IDZR1Mm.html", "https://www.olx.pl/d/oferta/rozkladowe-2-pokoje-na-karolewie-winda-CID3-IDZR1Mm.html")</f>
        <v/>
      </c>
      <c r="F203" t="inlineStr">
        <is>
          <t>karolew</t>
        </is>
      </c>
      <c r="G203" t="inlineStr">
        <is>
          <t>Retkinia</t>
        </is>
      </c>
      <c r="H203" t="inlineStr">
        <is>
          <t>Retkinia</t>
        </is>
      </c>
      <c r="I203" t="inlineStr">
        <is>
          <t>TAK</t>
        </is>
      </c>
      <c r="J203" t="inlineStr">
        <is>
          <t>TAK</t>
        </is>
      </c>
      <c r="K203" t="n">
        <v>789635952</v>
      </c>
      <c r="L203" t="n">
        <v>320000</v>
      </c>
      <c r="M203" t="n">
        <v>7441.860465116279</v>
      </c>
      <c r="N203" t="n">
        <v>43</v>
      </c>
      <c r="O203" t="inlineStr">
        <is>
          <t>2+k</t>
        </is>
      </c>
      <c r="P203" t="n">
        <v>8</v>
      </c>
      <c r="Q203" t="inlineStr">
        <is>
          <t>Nie da się zamieszkać</t>
        </is>
      </c>
      <c r="R203" t="inlineStr">
        <is>
          <t>było 340000!!!</t>
        </is>
      </c>
      <c r="T203" t="inlineStr">
        <is>
          <t>540</t>
        </is>
      </c>
    </row>
    <row r="204">
      <c r="A204" t="n">
        <v>203</v>
      </c>
      <c r="B204" s="3" t="n">
        <v>45441</v>
      </c>
      <c r="C204" s="3" t="n">
        <v>45522</v>
      </c>
      <c r="D204" t="inlineStr">
        <is>
          <t>https://www.olx.pl/d/oferta/przestronne-m3-niedaleko-politechniki-CID3-IDZTA7q.html?isPreviewActive=0&amp;sliderIndex=6</t>
        </is>
      </c>
      <c r="E204">
        <f>HYPERLINK("https://www.olx.pl/d/oferta/przestronne-m3-niedaleko-politechniki-CID3-IDZTA7q.html?isPreviewActive=0&amp;sliderIndex=6", "https://www.olx.pl/d/oferta/przestronne-m3-niedaleko-politechniki-CID3-IDZTA7q.html?isPreviewActive=0&amp;sliderIndex=6")</f>
        <v/>
      </c>
      <c r="F204" t="inlineStr">
        <is>
          <t>park rejtana</t>
        </is>
      </c>
      <c r="G204" t="inlineStr">
        <is>
          <t>Górna</t>
        </is>
      </c>
      <c r="H204" t="inlineStr">
        <is>
          <t>Górna blisko centrum</t>
        </is>
      </c>
      <c r="I204" t="inlineStr">
        <is>
          <t>TAK</t>
        </is>
      </c>
      <c r="J204" t="inlineStr">
        <is>
          <t>TAK</t>
        </is>
      </c>
      <c r="K204" t="n">
        <v>690377704</v>
      </c>
      <c r="L204" t="n">
        <v>379000</v>
      </c>
      <c r="M204" t="n">
        <v>7734.693877551021</v>
      </c>
      <c r="N204" t="n">
        <v>49</v>
      </c>
      <c r="O204" t="inlineStr">
        <is>
          <t>2+k</t>
        </is>
      </c>
      <c r="P204" t="n">
        <v>3</v>
      </c>
      <c r="Q204" t="inlineStr">
        <is>
          <t>Nie da się zamieszkać</t>
        </is>
      </c>
      <c r="R204" t="inlineStr">
        <is>
          <t xml:space="preserve">Było nie aktywne od 28.06 wróciło w czasie do 02.08 było nieaktywne od 18.08 wróciło 13.09 </t>
        </is>
      </c>
    </row>
    <row r="205">
      <c r="A205" t="n">
        <v>204</v>
      </c>
      <c r="B205" s="3" t="n">
        <v>45441</v>
      </c>
      <c r="C205" s="3" t="n">
        <v>45475</v>
      </c>
      <c r="D205" t="inlineStr">
        <is>
          <t>https://www.olx.pl/d/oferta/jasne-m4-na-balutach-CID3-IDZFiM1.html</t>
        </is>
      </c>
      <c r="E205">
        <f>HYPERLINK("https://www.olx.pl/d/oferta/jasne-m4-na-balutach-CID3-IDZFiM1.html", "https://www.olx.pl/d/oferta/jasne-m4-na-balutach-CID3-IDZFiM1.html")</f>
        <v/>
      </c>
      <c r="F205" t="inlineStr">
        <is>
          <t>julianowska/zgierska</t>
        </is>
      </c>
      <c r="G205" t="inlineStr">
        <is>
          <t>Bałuty</t>
        </is>
      </c>
      <c r="H205" t="inlineStr">
        <is>
          <t>Bałuty</t>
        </is>
      </c>
      <c r="I205" t="inlineStr">
        <is>
          <t>TAK</t>
        </is>
      </c>
      <c r="J205" t="inlineStr">
        <is>
          <t>TAK</t>
        </is>
      </c>
      <c r="K205" t="n">
        <v>453415809</v>
      </c>
      <c r="L205" t="n">
        <v>385000</v>
      </c>
      <c r="M205" t="n">
        <v>6754.385964912281</v>
      </c>
      <c r="N205" t="n">
        <v>57</v>
      </c>
      <c r="O205" t="inlineStr">
        <is>
          <t>3+k</t>
        </is>
      </c>
      <c r="P205" t="n">
        <v>8</v>
      </c>
      <c r="Q205" t="inlineStr">
        <is>
          <t>Puste posprzątane</t>
        </is>
      </c>
    </row>
    <row r="206">
      <c r="A206" t="n">
        <v>205</v>
      </c>
      <c r="B206" s="3" t="n">
        <v>45441</v>
      </c>
      <c r="C206" t="inlineStr">
        <is>
          <t>28.06.20224</t>
        </is>
      </c>
      <c r="D206" t="inlineStr">
        <is>
          <t>https://www.olx.pl/d/oferta/m4-na-balutach-CID3-ID10mRYs.html</t>
        </is>
      </c>
      <c r="E206">
        <f>HYPERLINK("https://www.olx.pl/d/oferta/m4-na-balutach-CID3-ID10mRYs.html", "https://www.olx.pl/d/oferta/m4-na-balutach-CID3-ID10mRYs.html")</f>
        <v/>
      </c>
      <c r="F206" t="inlineStr">
        <is>
          <t xml:space="preserve">lumbumbowo </t>
        </is>
      </c>
      <c r="G206" t="inlineStr">
        <is>
          <t>Bałuty</t>
        </is>
      </c>
      <c r="H206" t="inlineStr">
        <is>
          <t>Bałuty blisko centrum</t>
        </is>
      </c>
      <c r="I206" t="inlineStr">
        <is>
          <t>TAK</t>
        </is>
      </c>
      <c r="J206" t="inlineStr">
        <is>
          <t>TAK</t>
        </is>
      </c>
      <c r="K206" t="n">
        <v>789258167</v>
      </c>
      <c r="L206" t="n">
        <v>370000</v>
      </c>
      <c r="M206" t="n">
        <v>8222.222222222223</v>
      </c>
      <c r="N206" t="n">
        <v>45</v>
      </c>
      <c r="O206" t="inlineStr">
        <is>
          <t>3+k</t>
        </is>
      </c>
      <c r="P206" t="n">
        <v>2</v>
      </c>
      <c r="Q206" t="inlineStr">
        <is>
          <t>Da się zamieszkać</t>
        </is>
      </c>
    </row>
    <row r="207">
      <c r="A207" t="n">
        <v>206</v>
      </c>
      <c r="B207" s="3" t="n">
        <v>45441</v>
      </c>
      <c r="C207" s="3" t="n">
        <v>45510</v>
      </c>
      <c r="D207" t="inlineStr">
        <is>
          <t>https://www.otodom.pl/pl/oferta/na-dziesiatym-pietrze-ID4rTLR.html</t>
        </is>
      </c>
      <c r="E207">
        <f>HYPERLINK("https://www.otodom.pl/pl/oferta/na-dziesiatym-pietrze-ID4rTLR.html", "https://www.otodom.pl/pl/oferta/na-dziesiatym-pietrze-ID4rTLR.html")</f>
        <v/>
      </c>
      <c r="F207" t="inlineStr">
        <is>
          <t>inowrocławska</t>
        </is>
      </c>
      <c r="G207" t="inlineStr">
        <is>
          <t>Teofilów</t>
        </is>
      </c>
      <c r="H207" t="inlineStr">
        <is>
          <t>Teofilów</t>
        </is>
      </c>
      <c r="I207" t="inlineStr">
        <is>
          <t>TAK</t>
        </is>
      </c>
      <c r="J207" t="inlineStr">
        <is>
          <t>TAK</t>
        </is>
      </c>
      <c r="K207" t="n">
        <v>791530456</v>
      </c>
      <c r="L207" t="n">
        <v>353700</v>
      </c>
      <c r="M207" t="n">
        <v>7598.281417830291</v>
      </c>
      <c r="N207" t="n">
        <v>46.55</v>
      </c>
      <c r="O207" t="inlineStr">
        <is>
          <t>2+k</t>
        </is>
      </c>
      <c r="P207" t="n">
        <v>10</v>
      </c>
      <c r="Q207" t="inlineStr">
        <is>
          <t>Nie da się zamieszkać</t>
        </is>
      </c>
      <c r="R207" t="inlineStr">
        <is>
          <t>31.07. było 348k (poszło w góre)</t>
        </is>
      </c>
    </row>
    <row r="208">
      <c r="A208" t="n">
        <v>207</v>
      </c>
      <c r="B208" s="3" t="n">
        <v>45441</v>
      </c>
      <c r="D208" t="inlineStr">
        <is>
          <t>https://www.okolica.pl/offer/show/62780-S-1729_3913_OMS/formular</t>
        </is>
      </c>
      <c r="E208">
        <f>HYPERLINK("https://www.okolica.pl/offer/show/62780-S-1729_3913_OMS/formular", "https://www.okolica.pl/offer/show/62780-S-1729_3913_OMS/formular")</f>
        <v/>
      </c>
      <c r="F208" t="inlineStr">
        <is>
          <t>czernika</t>
        </is>
      </c>
      <c r="G208" t="inlineStr">
        <is>
          <t>Widzew</t>
        </is>
      </c>
      <c r="H208" t="inlineStr">
        <is>
          <t>Widzew</t>
        </is>
      </c>
      <c r="I208" t="inlineStr">
        <is>
          <t>NIE</t>
        </is>
      </c>
      <c r="J208" t="inlineStr">
        <is>
          <t>TAK</t>
        </is>
      </c>
      <c r="K208" t="n">
        <v>601984515</v>
      </c>
      <c r="L208" t="n">
        <v>333000</v>
      </c>
      <c r="M208" t="n">
        <v>7483.146067415731</v>
      </c>
      <c r="N208" t="n">
        <v>44.5</v>
      </c>
      <c r="O208" t="inlineStr">
        <is>
          <t>2+k</t>
        </is>
      </c>
      <c r="P208" t="n">
        <v>2</v>
      </c>
      <c r="Q208" t="inlineStr">
        <is>
          <t>Nie da się zamieszkać</t>
        </is>
      </c>
      <c r="R208" t="inlineStr">
        <is>
          <t>było 355000  27.07 było 249k</t>
        </is>
      </c>
    </row>
    <row r="209">
      <c r="A209" t="n">
        <v>208</v>
      </c>
      <c r="B209" s="3" t="n">
        <v>45441</v>
      </c>
      <c r="C209" s="3" t="n">
        <v>45497</v>
      </c>
      <c r="D209" t="inlineStr">
        <is>
          <t>https://www.otodom.pl/pl/oferta/m3-do-remontu-przy-podolskim-ID4qOJU.html</t>
        </is>
      </c>
      <c r="E209">
        <f>HYPERLINK("https://www.otodom.pl/pl/oferta/m3-do-remontu-przy-podolskim-ID4qOJU.html", "https://www.otodom.pl/pl/oferta/m3-do-remontu-przy-podolskim-ID4qOJU.html")</f>
        <v/>
      </c>
      <c r="F209" t="inlineStr">
        <is>
          <t>strzemińskiego</t>
        </is>
      </c>
      <c r="G209" t="inlineStr">
        <is>
          <t>Dąbrowa</t>
        </is>
      </c>
      <c r="H209" t="inlineStr">
        <is>
          <t>Dąbrowa</t>
        </is>
      </c>
      <c r="I209" t="inlineStr">
        <is>
          <t>TAK</t>
        </is>
      </c>
      <c r="J209" t="inlineStr">
        <is>
          <t>TAK</t>
        </is>
      </c>
      <c r="K209" t="n">
        <v>576317000</v>
      </c>
      <c r="L209" t="n">
        <v>260000</v>
      </c>
      <c r="M209" t="n">
        <v>6933.333333333333</v>
      </c>
      <c r="N209" t="n">
        <v>37.5</v>
      </c>
      <c r="O209" t="inlineStr">
        <is>
          <t>2+k</t>
        </is>
      </c>
      <c r="P209" t="n">
        <v>0</v>
      </c>
      <c r="Q209" t="inlineStr">
        <is>
          <t>Nie da się zamieszkać</t>
        </is>
      </c>
      <c r="R209" t="inlineStr">
        <is>
          <t xml:space="preserve">to nie dubel </t>
        </is>
      </c>
      <c r="T209" t="inlineStr">
        <is>
          <t>697</t>
        </is>
      </c>
    </row>
    <row r="210">
      <c r="A210" t="n">
        <v>209</v>
      </c>
      <c r="B210" s="3" t="n">
        <v>45441</v>
      </c>
      <c r="D210" t="inlineStr">
        <is>
          <t>https://nieruchomosci.gratka.pl/nieruchomosci/mieszkanie-lodz-baluty/ob/36409097</t>
        </is>
      </c>
      <c r="E210">
        <f>HYPERLINK("https://nieruchomosci.gratka.pl/nieruchomosci/mieszkanie-lodz-baluty/ob/36409097", "https://nieruchomosci.gratka.pl/nieruchomosci/mieszkanie-lodz-baluty/ob/36409097")</f>
        <v/>
      </c>
      <c r="F210" t="inlineStr">
        <is>
          <t>franciszkańska</t>
        </is>
      </c>
      <c r="G210" t="inlineStr">
        <is>
          <t>Bałuty</t>
        </is>
      </c>
      <c r="H210" t="inlineStr">
        <is>
          <t>Bałuty blisko centrum</t>
        </is>
      </c>
      <c r="I210" t="inlineStr">
        <is>
          <t>NIE</t>
        </is>
      </c>
      <c r="J210" t="inlineStr">
        <is>
          <t>TAK</t>
        </is>
      </c>
      <c r="K210" t="n">
        <v>533486363</v>
      </c>
      <c r="L210" t="n">
        <v>355000</v>
      </c>
      <c r="M210" t="n">
        <v>6877.179387834173</v>
      </c>
      <c r="N210" t="n">
        <v>51.62</v>
      </c>
      <c r="O210" t="inlineStr">
        <is>
          <t>2+k</t>
        </is>
      </c>
      <c r="P210" t="n">
        <v>3</v>
      </c>
      <c r="Q210" t="inlineStr">
        <is>
          <t>Nie da się zamieszkać</t>
        </is>
      </c>
      <c r="R210" t="inlineStr">
        <is>
          <t>było 355000 17.07 było 328 pózniej wrócili do 355</t>
        </is>
      </c>
    </row>
    <row r="211">
      <c r="A211" t="n">
        <v>210</v>
      </c>
      <c r="B211" s="3" t="n">
        <v>45441</v>
      </c>
      <c r="D211" t="inlineStr">
        <is>
          <t>https://szybko.pl/o/na-sprzedaz/lokal-mieszkalny+mieszkanie/Łódź+Śródmieście/oferta-15411535</t>
        </is>
      </c>
      <c r="E211">
        <f>HYPERLINK("https://szybko.pl/o/na-sprzedaz/lokal-mieszkalny+mieszkanie/Łódź+Śródmieście/oferta-15411535", "https://szybko.pl/o/na-sprzedaz/lokal-mieszkalny+mieszkanie/Łódź+Śródmieście/oferta-15411535")</f>
        <v/>
      </c>
      <c r="F211" t="inlineStr">
        <is>
          <t>tymienieckiego</t>
        </is>
      </c>
      <c r="G211" t="inlineStr">
        <is>
          <t>Śródmieście</t>
        </is>
      </c>
      <c r="H211" t="inlineStr">
        <is>
          <t>Śródmieście</t>
        </is>
      </c>
      <c r="I211" t="inlineStr">
        <is>
          <t>NIE</t>
        </is>
      </c>
      <c r="J211" t="inlineStr">
        <is>
          <t>TAK</t>
        </is>
      </c>
      <c r="K211" t="n">
        <v>698545474</v>
      </c>
      <c r="L211" t="n">
        <v>279000</v>
      </c>
      <c r="M211" t="n">
        <v>7001.254705144291</v>
      </c>
      <c r="N211" t="n">
        <v>39.85</v>
      </c>
      <c r="O211" t="inlineStr">
        <is>
          <t>2+k</t>
        </is>
      </c>
      <c r="P211" t="n">
        <v>4</v>
      </c>
      <c r="Q211" t="inlineStr">
        <is>
          <t>Puste</t>
        </is>
      </c>
      <c r="R211" t="inlineStr">
        <is>
          <t>03.08 było 289k</t>
        </is>
      </c>
    </row>
    <row r="212">
      <c r="A212" t="n">
        <v>211</v>
      </c>
      <c r="B212" s="3" t="n">
        <v>45441</v>
      </c>
      <c r="C212" s="3" t="n">
        <v>45467</v>
      </c>
      <c r="D212" t="inlineStr">
        <is>
          <t>https://www.otodom.pl/pl/oferta/lodz-gorna-3-pok-balkon-parking-szlaban-ID4qP8K</t>
        </is>
      </c>
      <c r="E212">
        <f>HYPERLINK("https://www.otodom.pl/pl/oferta/lodz-gorna-3-pok-balkon-parking-szlaban-ID4qP8K", "https://www.otodom.pl/pl/oferta/lodz-gorna-3-pok-balkon-parking-szlaban-ID4qP8K")</f>
        <v/>
      </c>
      <c r="F212" t="inlineStr">
        <is>
          <t>przyborowskiego</t>
        </is>
      </c>
      <c r="G212" t="inlineStr">
        <is>
          <t>Górna</t>
        </is>
      </c>
      <c r="H212" t="inlineStr">
        <is>
          <t>Górna blisko centrum</t>
        </is>
      </c>
      <c r="I212" t="inlineStr">
        <is>
          <t>TAK</t>
        </is>
      </c>
      <c r="J212" t="inlineStr">
        <is>
          <t>TAK</t>
        </is>
      </c>
      <c r="K212" t="n">
        <v>732850822</v>
      </c>
      <c r="L212" t="n">
        <v>328700</v>
      </c>
      <c r="M212" t="n">
        <v>6993.617021276596</v>
      </c>
      <c r="N212" t="n">
        <v>47</v>
      </c>
      <c r="O212" t="inlineStr">
        <is>
          <t>2+k</t>
        </is>
      </c>
      <c r="P212" t="n">
        <v>3</v>
      </c>
      <c r="Q212" t="inlineStr">
        <is>
          <t>Puste posprzątane i odświeżone</t>
        </is>
      </c>
    </row>
    <row r="213">
      <c r="A213" t="n">
        <v>212</v>
      </c>
      <c r="B213" s="3" t="n">
        <v>45441</v>
      </c>
      <c r="C213" s="3" t="n">
        <v>45467</v>
      </c>
      <c r="D213" t="inlineStr">
        <is>
          <t>https://www.olx.pl/d/oferta/m3-na-dabrowie-ul-felinskiego-CID3-ID10nm5c.html</t>
        </is>
      </c>
      <c r="E213">
        <f>HYPERLINK("https://www.olx.pl/d/oferta/m3-na-dabrowie-ul-felinskiego-CID3-ID10nm5c.html", "https://www.olx.pl/d/oferta/m3-na-dabrowie-ul-felinskiego-CID3-ID10nm5c.html")</f>
        <v/>
      </c>
      <c r="F213" t="inlineStr">
        <is>
          <t>felińskiego</t>
        </is>
      </c>
      <c r="G213" t="inlineStr">
        <is>
          <t>Dąbrowa</t>
        </is>
      </c>
      <c r="H213" t="inlineStr">
        <is>
          <t>Dąbrowa</t>
        </is>
      </c>
      <c r="I213" t="inlineStr">
        <is>
          <t>TAK</t>
        </is>
      </c>
      <c r="J213" t="inlineStr">
        <is>
          <t>NIE</t>
        </is>
      </c>
      <c r="K213" t="n">
        <v>506624302</v>
      </c>
      <c r="L213" t="n">
        <v>280000</v>
      </c>
      <c r="M213" t="n">
        <v>7000</v>
      </c>
      <c r="N213" t="n">
        <v>40</v>
      </c>
      <c r="O213" t="inlineStr">
        <is>
          <t>2+k</t>
        </is>
      </c>
      <c r="P213" t="n">
        <v>1</v>
      </c>
      <c r="Q213" t="inlineStr">
        <is>
          <t>Nie da się zamieszkać</t>
        </is>
      </c>
    </row>
    <row r="214">
      <c r="A214" t="n">
        <v>213</v>
      </c>
      <c r="B214" s="3" t="n">
        <v>45441</v>
      </c>
      <c r="D214" t="inlineStr">
        <is>
          <t>https://lodz.nieruchomosci-online.pl/mieszkanie,z-kuchnia-z-oknem/24912291.html</t>
        </is>
      </c>
      <c r="E214">
        <f>HYPERLINK("https://lodz.nieruchomosci-online.pl/mieszkanie,z-kuchnia-z-oknem/24912291.html", "https://lodz.nieruchomosci-online.pl/mieszkanie,z-kuchnia-z-oknem/24912291.html")</f>
        <v/>
      </c>
      <c r="F214" t="inlineStr">
        <is>
          <t>felińskiego</t>
        </is>
      </c>
      <c r="G214" t="inlineStr">
        <is>
          <t>Dąbrowa</t>
        </is>
      </c>
      <c r="H214" t="inlineStr">
        <is>
          <t>Dąbrowa</t>
        </is>
      </c>
      <c r="I214" t="inlineStr">
        <is>
          <t>NIE</t>
        </is>
      </c>
      <c r="J214" t="inlineStr">
        <is>
          <t>TAK</t>
        </is>
      </c>
      <c r="K214" t="n">
        <v>537163259</v>
      </c>
      <c r="L214" t="n">
        <v>360000</v>
      </c>
      <c r="M214" t="n">
        <v>7635.206786850477</v>
      </c>
      <c r="N214" t="n">
        <v>47.15</v>
      </c>
      <c r="O214" t="inlineStr">
        <is>
          <t>3+k</t>
        </is>
      </c>
      <c r="P214" t="n">
        <v>7</v>
      </c>
      <c r="Q214" t="inlineStr">
        <is>
          <t>Nie da się zamieszkać</t>
        </is>
      </c>
      <c r="R214" t="inlineStr">
        <is>
          <t>16.08 było 280k</t>
        </is>
      </c>
    </row>
    <row r="215">
      <c r="A215" t="n">
        <v>214</v>
      </c>
      <c r="B215" s="3" t="n">
        <v>45441</v>
      </c>
      <c r="D215" t="inlineStr">
        <is>
          <t>https://lodz.nieruchomosci-online.pl/mieszkanie,z-oddzielna-kuchnia/24896923.html</t>
        </is>
      </c>
      <c r="E215">
        <f>HYPERLINK("https://lodz.nieruchomosci-online.pl/mieszkanie,z-oddzielna-kuchnia/24896923.html", "https://lodz.nieruchomosci-online.pl/mieszkanie,z-oddzielna-kuchnia/24896923.html")</f>
        <v/>
      </c>
      <c r="F215" t="inlineStr">
        <is>
          <t>socjalna</t>
        </is>
      </c>
      <c r="G215" t="inlineStr">
        <is>
          <t>Górna</t>
        </is>
      </c>
      <c r="H215" t="inlineStr">
        <is>
          <t>Daleka górna</t>
        </is>
      </c>
      <c r="I215" t="inlineStr">
        <is>
          <t>NIE</t>
        </is>
      </c>
      <c r="J215" t="inlineStr">
        <is>
          <t>TAK</t>
        </is>
      </c>
      <c r="K215" t="n">
        <v>501078049</v>
      </c>
      <c r="L215" t="n">
        <v>330000</v>
      </c>
      <c r="M215" t="n">
        <v>6590.772917914919</v>
      </c>
      <c r="N215" t="n">
        <v>50.07</v>
      </c>
      <c r="O215" t="inlineStr">
        <is>
          <t>2+k</t>
        </is>
      </c>
      <c r="P215" t="n">
        <v>3</v>
      </c>
      <c r="Q215" t="inlineStr">
        <is>
          <t>Nie da się zamieszkać</t>
        </is>
      </c>
      <c r="R215" t="inlineStr">
        <is>
          <t>nie da się zrobić m3 kontakt 10.07</t>
        </is>
      </c>
    </row>
    <row r="216">
      <c r="A216" t="n">
        <v>215</v>
      </c>
      <c r="B216" s="3" t="n">
        <v>45441</v>
      </c>
      <c r="C216" s="3" t="n">
        <v>45456</v>
      </c>
      <c r="D216" t="inlineStr">
        <is>
          <t>https://www.olx.pl/d/oferta/duze-przestronne-mieszkanie-3-pokoje-53-m2-lodz-retkinia-CID3-ID107q1S.html?isPreviewActive=0&amp;sliderIndex=7</t>
        </is>
      </c>
      <c r="E216">
        <f>HYPERLINK("https://www.olx.pl/d/oferta/duze-przestronne-mieszkanie-3-pokoje-53-m2-lodz-retkinia-CID3-ID107q1S.html?isPreviewActive=0&amp;sliderIndex=7", "https://www.olx.pl/d/oferta/duze-przestronne-mieszkanie-3-pokoje-53-m2-lodz-retkinia-CID3-ID107q1S.html?isPreviewActive=0&amp;sliderIndex=7")</f>
        <v/>
      </c>
      <c r="F216" t="inlineStr">
        <is>
          <t>maratońska 87</t>
        </is>
      </c>
      <c r="G216" t="inlineStr">
        <is>
          <t>Retkinia</t>
        </is>
      </c>
      <c r="H216" t="inlineStr">
        <is>
          <t>Retkinia</t>
        </is>
      </c>
      <c r="I216" t="inlineStr">
        <is>
          <t>TAK</t>
        </is>
      </c>
      <c r="J216" t="inlineStr">
        <is>
          <t>NIE</t>
        </is>
      </c>
      <c r="K216" t="n">
        <v>693636469</v>
      </c>
      <c r="L216" t="n">
        <v>390000</v>
      </c>
      <c r="M216" t="n">
        <v>7358.490566037736</v>
      </c>
      <c r="N216" t="n">
        <v>53</v>
      </c>
      <c r="O216" t="inlineStr">
        <is>
          <t>2+k</t>
        </is>
      </c>
      <c r="P216" t="n">
        <v>2</v>
      </c>
      <c r="Q216" t="inlineStr">
        <is>
          <t>Puste</t>
        </is>
      </c>
    </row>
    <row r="217">
      <c r="A217" t="n">
        <v>216</v>
      </c>
      <c r="B217" s="3" t="n">
        <v>45441</v>
      </c>
      <c r="C217" s="3" t="n">
        <v>45475</v>
      </c>
      <c r="D217" t="inlineStr">
        <is>
          <t>https://www.otodom.pl/pl/oferta/m-3-dabrowa-1-pietro-swietny-punkt-ID4qqm3.html</t>
        </is>
      </c>
      <c r="E217">
        <f>HYPERLINK("https://www.otodom.pl/pl/oferta/m-3-dabrowa-1-pietro-swietny-punkt-ID4qqm3.html", "https://www.otodom.pl/pl/oferta/m-3-dabrowa-1-pietro-swietny-punkt-ID4qqm3.html")</f>
        <v/>
      </c>
      <c r="F217" t="inlineStr">
        <is>
          <t xml:space="preserve">lucjana rydla </t>
        </is>
      </c>
      <c r="G217" t="inlineStr">
        <is>
          <t>Dąbrowa</t>
        </is>
      </c>
      <c r="H217" t="inlineStr">
        <is>
          <t>Dąbrowa</t>
        </is>
      </c>
      <c r="I217" t="inlineStr">
        <is>
          <t>TAK</t>
        </is>
      </c>
      <c r="J217" t="inlineStr">
        <is>
          <t>TAK</t>
        </is>
      </c>
      <c r="K217" t="n">
        <v>883120230</v>
      </c>
      <c r="L217" t="n">
        <v>279000</v>
      </c>
      <c r="M217" t="n">
        <v>7698.675496688741</v>
      </c>
      <c r="N217" t="n">
        <v>36.24</v>
      </c>
      <c r="O217" t="inlineStr">
        <is>
          <t>2+k</t>
        </is>
      </c>
      <c r="P217" t="n">
        <v>1</v>
      </c>
      <c r="Q217" t="inlineStr">
        <is>
          <t>Nie da się zamieszkać</t>
        </is>
      </c>
    </row>
    <row r="218">
      <c r="A218" t="n">
        <v>217</v>
      </c>
      <c r="B218" s="3" t="n">
        <v>45441</v>
      </c>
      <c r="C218" s="3" t="n">
        <v>45497</v>
      </c>
      <c r="D218" t="inlineStr">
        <is>
          <t>https://gratka.pl/nieruchomosci/kawalerka-lodz-baluty-centrum-ul-drukarska/oi/34730375</t>
        </is>
      </c>
      <c r="E218">
        <f>HYPERLINK("https://gratka.pl/nieruchomosci/kawalerka-lodz-baluty-centrum-ul-drukarska/oi/34730375", "https://gratka.pl/nieruchomosci/kawalerka-lodz-baluty-centrum-ul-drukarska/oi/34730375")</f>
        <v/>
      </c>
      <c r="F218" t="inlineStr">
        <is>
          <t>drukarska</t>
        </is>
      </c>
      <c r="G218" t="inlineStr">
        <is>
          <t>Bałuty</t>
        </is>
      </c>
      <c r="H218" t="inlineStr">
        <is>
          <t>Bałuty blisko centrum</t>
        </is>
      </c>
      <c r="I218" t="inlineStr">
        <is>
          <t>TAK</t>
        </is>
      </c>
      <c r="J218" t="inlineStr">
        <is>
          <t>NIE</t>
        </is>
      </c>
      <c r="K218" t="n">
        <v>695604906</v>
      </c>
      <c r="L218" t="n">
        <v>250000</v>
      </c>
      <c r="M218" t="n">
        <v>7846.829880728186</v>
      </c>
      <c r="N218" t="n">
        <v>31.86</v>
      </c>
      <c r="O218" t="inlineStr">
        <is>
          <t>1+k</t>
        </is>
      </c>
      <c r="P218" t="n">
        <v>1</v>
      </c>
      <c r="Q218" t="inlineStr">
        <is>
          <t>Nie da się zamieszkać</t>
        </is>
      </c>
    </row>
    <row r="219">
      <c r="A219" t="n">
        <v>218</v>
      </c>
      <c r="B219" s="3" t="n">
        <v>45442</v>
      </c>
      <c r="C219" s="3" t="n">
        <v>45467</v>
      </c>
      <c r="D219" t="inlineStr">
        <is>
          <t>https://www.olx.pl/d/oferta/2-pok-przy-uczelni-zamkniety-teren-balkon-parking-CID3-ID10oEXt.html?isPreviewActive=0&amp;sliderIndex=7</t>
        </is>
      </c>
      <c r="E219">
        <f>HYPERLINK("https://www.olx.pl/d/oferta/2-pok-przy-uczelni-zamkniety-teren-balkon-parking-CID3-ID10oEXt.html?isPreviewActive=0&amp;sliderIndex=7", "https://www.olx.pl/d/oferta/2-pok-przy-uczelni-zamkniety-teren-balkon-parking-CID3-ID10oEXt.html?isPreviewActive=0&amp;sliderIndex=7")</f>
        <v/>
      </c>
      <c r="F219" t="inlineStr">
        <is>
          <t>kopcińskiego 35b</t>
        </is>
      </c>
      <c r="G219" t="inlineStr">
        <is>
          <t>Śródmieście</t>
        </is>
      </c>
      <c r="H219" t="inlineStr">
        <is>
          <t>Śródmieście</t>
        </is>
      </c>
      <c r="I219" t="inlineStr">
        <is>
          <t>TAK</t>
        </is>
      </c>
      <c r="J219" t="inlineStr">
        <is>
          <t>TAK</t>
        </is>
      </c>
      <c r="K219" t="n">
        <v>732850822</v>
      </c>
      <c r="L219" t="n">
        <v>356700</v>
      </c>
      <c r="M219" t="n">
        <v>8218.89400921659</v>
      </c>
      <c r="N219" t="n">
        <v>43.4</v>
      </c>
      <c r="O219" t="inlineStr">
        <is>
          <t>2+k</t>
        </is>
      </c>
      <c r="P219" t="n">
        <v>3</v>
      </c>
      <c r="Q219" t="inlineStr">
        <is>
          <t>Puste posprzątane</t>
        </is>
      </c>
    </row>
    <row r="220">
      <c r="A220" t="n">
        <v>219</v>
      </c>
      <c r="B220" s="3" t="n">
        <v>45442</v>
      </c>
      <c r="C220" s="3" t="n">
        <v>45467</v>
      </c>
      <c r="D220" t="inlineStr">
        <is>
          <t>https://adresowo.pl/o/j5s7w7</t>
        </is>
      </c>
      <c r="E220">
        <f>HYPERLINK("https://adresowo.pl/o/j5s7w7", "https://adresowo.pl/o/j5s7w7")</f>
        <v/>
      </c>
      <c r="F220" t="inlineStr">
        <is>
          <t>zagraniczna</t>
        </is>
      </c>
      <c r="G220" t="inlineStr">
        <is>
          <t>Górna</t>
        </is>
      </c>
      <c r="H220" t="inlineStr">
        <is>
          <t>Daleka górna</t>
        </is>
      </c>
      <c r="I220" t="inlineStr">
        <is>
          <t>TAK</t>
        </is>
      </c>
      <c r="J220" t="inlineStr">
        <is>
          <t>NIE</t>
        </is>
      </c>
      <c r="L220" t="n">
        <v>280000</v>
      </c>
      <c r="M220" t="n">
        <v>7395.668251452721</v>
      </c>
      <c r="N220" t="n">
        <v>37.86</v>
      </c>
      <c r="O220" t="inlineStr">
        <is>
          <t>1+k</t>
        </is>
      </c>
      <c r="P220" t="n">
        <v>1</v>
      </c>
      <c r="Q220" t="inlineStr">
        <is>
          <t>Nie da się zamieszkać</t>
        </is>
      </c>
    </row>
    <row r="221">
      <c r="A221" t="n">
        <v>220</v>
      </c>
      <c r="B221" s="3" t="n">
        <v>45442</v>
      </c>
      <c r="C221" s="3" t="n">
        <v>45497</v>
      </c>
      <c r="D221" t="inlineStr">
        <is>
          <t>https://nieruchomosci.gratka.pl/nieruchomosci/mieszkanie-lodz-polesie-dlugosza/ob/35150393</t>
        </is>
      </c>
      <c r="E221">
        <f>HYPERLINK("https://nieruchomosci.gratka.pl/nieruchomosci/mieszkanie-lodz-polesie-dlugosza/ob/35150393", "https://nieruchomosci.gratka.pl/nieruchomosci/mieszkanie-lodz-polesie-dlugosza/ob/35150393")</f>
        <v/>
      </c>
      <c r="F221" t="inlineStr">
        <is>
          <t>długosza</t>
        </is>
      </c>
      <c r="G221" t="inlineStr">
        <is>
          <t>Polesie</t>
        </is>
      </c>
      <c r="H221" t="inlineStr">
        <is>
          <t>Polesie</t>
        </is>
      </c>
      <c r="I221" t="inlineStr">
        <is>
          <t>TAK</t>
        </is>
      </c>
      <c r="J221" t="inlineStr">
        <is>
          <t>TAK</t>
        </is>
      </c>
      <c r="K221" t="n">
        <v>732850822</v>
      </c>
      <c r="L221" t="n">
        <v>368350</v>
      </c>
      <c r="M221" t="n">
        <v>7294.059405940594</v>
      </c>
      <c r="N221" t="n">
        <v>50.5</v>
      </c>
      <c r="O221" t="inlineStr">
        <is>
          <t>2+k</t>
        </is>
      </c>
      <c r="P221" t="n">
        <v>2</v>
      </c>
      <c r="Q221" t="inlineStr">
        <is>
          <t>Puste posprzątane</t>
        </is>
      </c>
      <c r="R221" t="inlineStr">
        <is>
          <t xml:space="preserve">Zwiększyli cene 10.07 było 35300 </t>
        </is>
      </c>
    </row>
    <row r="222">
      <c r="A222" t="n">
        <v>221</v>
      </c>
      <c r="B222" s="3" t="n">
        <v>45442</v>
      </c>
      <c r="C222" s="3" t="n">
        <v>45522</v>
      </c>
      <c r="D222" t="inlineStr">
        <is>
          <t>https://www.olx.pl/d/oferta/mieszkanie-lodz-gorna-48m-2-pokoje-CID3-ID10oHUw.html</t>
        </is>
      </c>
      <c r="E222">
        <f>HYPERLINK("https://www.olx.pl/d/oferta/mieszkanie-lodz-gorna-48m-2-pokoje-CID3-ID10oHUw.html", "https://www.olx.pl/d/oferta/mieszkanie-lodz-gorna-48m-2-pokoje-CID3-ID10oHUw.html")</f>
        <v/>
      </c>
      <c r="F222" t="inlineStr">
        <is>
          <t>przybyszewskiego</t>
        </is>
      </c>
      <c r="G222" t="inlineStr">
        <is>
          <t>Dąbrowa</t>
        </is>
      </c>
      <c r="H222" t="inlineStr">
        <is>
          <t>Dąbrowa</t>
        </is>
      </c>
      <c r="I222" t="inlineStr">
        <is>
          <t>TAK</t>
        </is>
      </c>
      <c r="J222" t="inlineStr">
        <is>
          <t>NIE</t>
        </is>
      </c>
      <c r="K222" t="n">
        <v>781969997</v>
      </c>
      <c r="L222" t="n">
        <v>319000</v>
      </c>
      <c r="M222" t="n">
        <v>6645.833333333333</v>
      </c>
      <c r="N222" t="n">
        <v>48</v>
      </c>
      <c r="O222" t="inlineStr">
        <is>
          <t>2+k</t>
        </is>
      </c>
      <c r="P222" t="n">
        <v>1</v>
      </c>
      <c r="Q222" t="inlineStr">
        <is>
          <t>Nie da się zamieszkać</t>
        </is>
      </c>
      <c r="R222" t="inlineStr">
        <is>
          <t xml:space="preserve">11.07 Było 330000 </t>
        </is>
      </c>
    </row>
    <row r="223">
      <c r="A223" t="n">
        <v>222</v>
      </c>
      <c r="B223" s="3" t="n">
        <v>45444</v>
      </c>
      <c r="C223" s="3" t="n">
        <v>45456</v>
      </c>
      <c r="D223" t="inlineStr">
        <is>
          <t>https://www.olx.pl/d/oferta/mieszkanie-42m2-retkinia-winda-od-poziomu-chodnika-CID3-ID10oPrz.html</t>
        </is>
      </c>
      <c r="E223">
        <f>HYPERLINK("https://www.olx.pl/d/oferta/mieszkanie-42m2-retkinia-winda-od-poziomu-chodnika-CID3-ID10oPrz.html", "https://www.olx.pl/d/oferta/mieszkanie-42m2-retkinia-winda-od-poziomu-chodnika-CID3-ID10oPrz.html")</f>
        <v/>
      </c>
      <c r="F223" t="inlineStr">
        <is>
          <t>.</t>
        </is>
      </c>
      <c r="G223" t="inlineStr">
        <is>
          <t>Retkinia</t>
        </is>
      </c>
      <c r="H223" t="inlineStr">
        <is>
          <t>Retkinia</t>
        </is>
      </c>
      <c r="I223" t="inlineStr">
        <is>
          <t>TAK</t>
        </is>
      </c>
      <c r="J223" t="inlineStr">
        <is>
          <t>NIE</t>
        </is>
      </c>
      <c r="K223" t="n">
        <v>601240730</v>
      </c>
      <c r="L223" t="n">
        <v>330000</v>
      </c>
      <c r="M223" t="n">
        <v>7783.018867924528</v>
      </c>
      <c r="N223" t="n">
        <v>42.4</v>
      </c>
      <c r="O223" t="inlineStr">
        <is>
          <t>2+k</t>
        </is>
      </c>
      <c r="P223" t="n">
        <v>7</v>
      </c>
      <c r="Q223" t="inlineStr">
        <is>
          <t>Nie da się zamieszkać</t>
        </is>
      </c>
    </row>
    <row r="224">
      <c r="A224" t="n">
        <v>223</v>
      </c>
      <c r="B224" s="3" t="n">
        <v>45444</v>
      </c>
      <c r="D224" t="inlineStr">
        <is>
          <t>https://www.otodom.pl/pl/oferta/m3-gorna-ul-kossaka-ivp-ivp-do-odswiezenia-ID4qQN0.html</t>
        </is>
      </c>
      <c r="E224">
        <f>HYPERLINK("https://www.otodom.pl/pl/oferta/m3-gorna-ul-kossaka-ivp-ivp-do-odswiezenia-ID4qQN0.html", "https://www.otodom.pl/pl/oferta/m3-gorna-ul-kossaka-ivp-ivp-do-odswiezenia-ID4qQN0.html")</f>
        <v/>
      </c>
      <c r="F224" t="inlineStr">
        <is>
          <t>kossaka</t>
        </is>
      </c>
      <c r="G224" t="inlineStr">
        <is>
          <t>Dąbrowa</t>
        </is>
      </c>
      <c r="H224" t="inlineStr">
        <is>
          <t>Dąbrowa</t>
        </is>
      </c>
      <c r="I224" t="inlineStr">
        <is>
          <t>NIE</t>
        </is>
      </c>
      <c r="J224" t="inlineStr">
        <is>
          <t>TAK</t>
        </is>
      </c>
      <c r="K224" t="n">
        <v>536466663</v>
      </c>
      <c r="L224" t="n">
        <v>260000</v>
      </c>
      <c r="M224" t="n">
        <v>7027.027027027027</v>
      </c>
      <c r="N224" t="n">
        <v>37</v>
      </c>
      <c r="O224" t="inlineStr">
        <is>
          <t>2+k</t>
        </is>
      </c>
      <c r="P224" t="n">
        <v>4</v>
      </c>
      <c r="Q224" t="inlineStr">
        <is>
          <t>Nie da się zamieszkać</t>
        </is>
      </c>
      <c r="R224" t="inlineStr">
        <is>
          <t>Było nie aktywne od 02.07 wróciło w czasie do 02.08</t>
        </is>
      </c>
    </row>
    <row r="225">
      <c r="A225" t="n">
        <v>224</v>
      </c>
      <c r="B225" s="3" t="n">
        <v>45444</v>
      </c>
      <c r="C225" s="3" t="n">
        <v>45532</v>
      </c>
      <c r="D225" t="inlineStr">
        <is>
          <t>https://www.olx.pl/d/oferta/m3-dabrowa-rozkladowe-okna-pcv-nowe-drzwi-balkon-CID3-ID10px4w.html</t>
        </is>
      </c>
      <c r="E225">
        <f>HYPERLINK("https://www.olx.pl/d/oferta/m3-dabrowa-rozkladowe-okna-pcv-nowe-drzwi-balkon-CID3-ID10px4w.html", "https://www.olx.pl/d/oferta/m3-dabrowa-rozkladowe-okna-pcv-nowe-drzwi-balkon-CID3-ID10px4w.html")</f>
        <v/>
      </c>
      <c r="F225" t="inlineStr">
        <is>
          <t>bałuckiego</t>
        </is>
      </c>
      <c r="G225" t="inlineStr">
        <is>
          <t>Dąbrowa</t>
        </is>
      </c>
      <c r="H225" t="inlineStr">
        <is>
          <t>Dąbrowa</t>
        </is>
      </c>
      <c r="I225" t="inlineStr">
        <is>
          <t>TAK</t>
        </is>
      </c>
      <c r="J225" t="inlineStr">
        <is>
          <t>NIE</t>
        </is>
      </c>
      <c r="K225" t="n">
        <v>667675499</v>
      </c>
      <c r="L225" t="n">
        <v>284900</v>
      </c>
      <c r="M225" t="n">
        <v>7212.658227848101</v>
      </c>
      <c r="N225" t="n">
        <v>39.5</v>
      </c>
      <c r="O225" t="inlineStr">
        <is>
          <t>2+k</t>
        </is>
      </c>
      <c r="P225" t="n">
        <v>2</v>
      </c>
      <c r="Q225" t="inlineStr">
        <is>
          <t>Nie da się zamieszkać</t>
        </is>
      </c>
      <c r="R225" t="inlineStr">
        <is>
          <t>było 298200 16.07 było 289900</t>
        </is>
      </c>
    </row>
    <row r="226">
      <c r="A226" t="n">
        <v>225</v>
      </c>
      <c r="B226" s="3" t="n">
        <v>45444</v>
      </c>
      <c r="C226" s="3" t="n">
        <v>45467</v>
      </c>
      <c r="D226" t="inlineStr">
        <is>
          <t>https://www.olx.pl/d/oferta/rozkladowe-dwa-pokoje-z-balkonem-i-widokiem-na-ogrod-CID3-ID10puiE.html</t>
        </is>
      </c>
      <c r="E226">
        <f>HYPERLINK("https://www.olx.pl/d/oferta/rozkladowe-dwa-pokoje-z-balkonem-i-widokiem-na-ogrod-CID3-ID10puiE.html", "https://www.olx.pl/d/oferta/rozkladowe-dwa-pokoje-z-balkonem-i-widokiem-na-ogrod-CID3-ID10puiE.html")</f>
        <v/>
      </c>
      <c r="F226" t="inlineStr">
        <is>
          <t xml:space="preserve">podgórna </t>
        </is>
      </c>
      <c r="G226" t="inlineStr">
        <is>
          <t>Górna</t>
        </is>
      </c>
      <c r="H226" t="inlineStr">
        <is>
          <t>Górna</t>
        </is>
      </c>
      <c r="I226" t="inlineStr">
        <is>
          <t>TAK</t>
        </is>
      </c>
      <c r="J226" t="inlineStr">
        <is>
          <t>TAK</t>
        </is>
      </c>
      <c r="K226" t="n">
        <v>535575086</v>
      </c>
      <c r="L226" t="n">
        <v>295000</v>
      </c>
      <c r="M226" t="n">
        <v>7373.156710822294</v>
      </c>
      <c r="N226" t="n">
        <v>40.01</v>
      </c>
      <c r="O226" t="inlineStr">
        <is>
          <t>2+k</t>
        </is>
      </c>
      <c r="P226" t="n">
        <v>0</v>
      </c>
      <c r="Q226" t="inlineStr">
        <is>
          <t>Puste posprzątane</t>
        </is>
      </c>
    </row>
    <row r="227">
      <c r="A227" t="n">
        <v>226</v>
      </c>
      <c r="B227" s="3" t="n">
        <v>45444</v>
      </c>
      <c r="C227" s="3" t="n">
        <v>45510</v>
      </c>
      <c r="D227" t="inlineStr">
        <is>
          <t>https://www.olx.pl/d/oferta/sprzedam-m-3-37-m2-CID3-IDZZlEY.html</t>
        </is>
      </c>
      <c r="E227">
        <f>HYPERLINK("https://www.olx.pl/d/oferta/sprzedam-m-3-37-m2-CID3-IDZZlEY.html", "https://www.olx.pl/d/oferta/sprzedam-m-3-37-m2-CID3-IDZZlEY.html")</f>
        <v/>
      </c>
      <c r="F227" t="inlineStr">
        <is>
          <t>dedeciusa</t>
        </is>
      </c>
      <c r="G227" t="inlineStr">
        <is>
          <t>Dąbrowa</t>
        </is>
      </c>
      <c r="H227" t="inlineStr">
        <is>
          <t>Dąbrowa</t>
        </is>
      </c>
      <c r="I227" t="inlineStr">
        <is>
          <t>TAK</t>
        </is>
      </c>
      <c r="J227" t="inlineStr">
        <is>
          <t>NIE</t>
        </is>
      </c>
      <c r="K227" t="n">
        <v>603233422</v>
      </c>
      <c r="L227" t="n">
        <v>290000</v>
      </c>
      <c r="M227" t="n">
        <v>7837.837837837837</v>
      </c>
      <c r="N227" t="n">
        <v>37</v>
      </c>
      <c r="O227" t="inlineStr">
        <is>
          <t>2+k</t>
        </is>
      </c>
      <c r="P227" t="n">
        <v>3</v>
      </c>
      <c r="Q227" t="inlineStr">
        <is>
          <t>Da się zamieszkać</t>
        </is>
      </c>
    </row>
    <row r="228">
      <c r="A228" t="n">
        <v>227</v>
      </c>
      <c r="B228" s="3" t="n">
        <v>45444</v>
      </c>
      <c r="C228" s="3" t="n">
        <v>45497</v>
      </c>
      <c r="D228" t="inlineStr">
        <is>
          <t>https://gratka.pl/nieruchomosci/mieszkanie-lodz-widzew-wschod-ul-lodowa/ob/34752433</t>
        </is>
      </c>
      <c r="E228">
        <f>HYPERLINK("https://gratka.pl/nieruchomosci/mieszkanie-lodz-widzew-wschod-ul-lodowa/ob/34752433", "https://gratka.pl/nieruchomosci/mieszkanie-lodz-widzew-wschod-ul-lodowa/ob/34752433")</f>
        <v/>
      </c>
      <c r="F228" t="inlineStr">
        <is>
          <t>lodowa</t>
        </is>
      </c>
      <c r="G228" t="inlineStr">
        <is>
          <t>Dąbrowa</t>
        </is>
      </c>
      <c r="H228" t="inlineStr">
        <is>
          <t>Dąbrowa</t>
        </is>
      </c>
      <c r="I228" t="inlineStr">
        <is>
          <t>TAK</t>
        </is>
      </c>
      <c r="J228" t="inlineStr">
        <is>
          <t>TAK</t>
        </is>
      </c>
      <c r="K228" t="n">
        <v>530195255</v>
      </c>
      <c r="L228" t="n">
        <v>389000</v>
      </c>
      <c r="M228" t="n">
        <v>6946.428571428572</v>
      </c>
      <c r="N228" t="n">
        <v>56</v>
      </c>
      <c r="O228" t="inlineStr">
        <is>
          <t>2+k</t>
        </is>
      </c>
      <c r="P228" t="n">
        <v>4</v>
      </c>
      <c r="Q228" t="inlineStr">
        <is>
          <t>Puste</t>
        </is>
      </c>
    </row>
    <row r="229">
      <c r="A229" t="n">
        <v>228</v>
      </c>
      <c r="B229" s="3" t="n">
        <v>45444</v>
      </c>
      <c r="C229" s="3" t="n">
        <v>45475</v>
      </c>
      <c r="D229" t="inlineStr">
        <is>
          <t>https://www.olx.pl/d/oferta/m-4-z-balkonem-gorna-ul-dabrowskiego-bez-CID3-IDZYlDJ.html</t>
        </is>
      </c>
      <c r="E229">
        <f>HYPERLINK("https://www.olx.pl/d/oferta/m-4-z-balkonem-gorna-ul-dabrowskiego-bez-CID3-IDZYlDJ.html", "https://www.olx.pl/d/oferta/m-4-z-balkonem-gorna-ul-dabrowskiego-bez-CID3-IDZYlDJ.html")</f>
        <v/>
      </c>
      <c r="F229" t="inlineStr">
        <is>
          <t xml:space="preserve">dąbrowskiego </t>
        </is>
      </c>
      <c r="G229" t="inlineStr">
        <is>
          <t>Dąbrowa</t>
        </is>
      </c>
      <c r="H229" t="inlineStr">
        <is>
          <t>Dąbrowa</t>
        </is>
      </c>
      <c r="I229" t="inlineStr">
        <is>
          <t>TAK</t>
        </is>
      </c>
      <c r="J229" t="inlineStr">
        <is>
          <t>TAK</t>
        </is>
      </c>
      <c r="K229" t="n">
        <v>790731177</v>
      </c>
      <c r="L229" t="n">
        <v>355248</v>
      </c>
      <c r="M229" t="n">
        <v>7199.999999999999</v>
      </c>
      <c r="N229" t="n">
        <v>49.34</v>
      </c>
      <c r="O229" t="inlineStr">
        <is>
          <t>3+k</t>
        </is>
      </c>
      <c r="P229" t="n">
        <v>4</v>
      </c>
      <c r="Q229" t="inlineStr">
        <is>
          <t>Nie da się zamieszkać</t>
        </is>
      </c>
    </row>
    <row r="230">
      <c r="A230" t="n">
        <v>229</v>
      </c>
      <c r="B230" s="3" t="n">
        <v>45445</v>
      </c>
      <c r="C230" s="3" t="n">
        <v>45467</v>
      </c>
      <c r="D230" t="inlineStr">
        <is>
          <t>https://www.otodom.pl/pl/oferta/rozkladowe-m3-i-pietro-park-karolew-krzemieniecka-ID4qRC4.html</t>
        </is>
      </c>
      <c r="E230">
        <f>HYPERLINK("https://www.otodom.pl/pl/oferta/rozkladowe-m3-i-pietro-park-karolew-krzemieniecka-ID4qRC4.html", "https://www.otodom.pl/pl/oferta/rozkladowe-m3-i-pietro-park-karolew-krzemieniecka-ID4qRC4.html")</f>
        <v/>
      </c>
      <c r="F230" t="inlineStr">
        <is>
          <t>krzemieniecka</t>
        </is>
      </c>
      <c r="G230" t="inlineStr">
        <is>
          <t>Polesie</t>
        </is>
      </c>
      <c r="H230" t="inlineStr">
        <is>
          <t>Polesie</t>
        </is>
      </c>
      <c r="I230" t="inlineStr">
        <is>
          <t>TAK</t>
        </is>
      </c>
      <c r="J230" t="inlineStr">
        <is>
          <t>TAK</t>
        </is>
      </c>
      <c r="K230" t="n">
        <v>602787766</v>
      </c>
      <c r="L230" t="n">
        <v>310000</v>
      </c>
      <c r="M230" t="n">
        <v>7724.894094193869</v>
      </c>
      <c r="N230" t="n">
        <v>40.13</v>
      </c>
      <c r="O230" t="inlineStr">
        <is>
          <t>2+k</t>
        </is>
      </c>
      <c r="P230" t="n">
        <v>1</v>
      </c>
      <c r="Q230" t="inlineStr">
        <is>
          <t>Nie da się zamieszkać</t>
        </is>
      </c>
    </row>
    <row r="231">
      <c r="A231" t="n">
        <v>230</v>
      </c>
      <c r="B231" s="3" t="n">
        <v>45445</v>
      </c>
      <c r="D231" t="inlineStr">
        <is>
          <t>.</t>
        </is>
      </c>
      <c r="E231">
        <f>HYPERLINK(".", ".")</f>
        <v/>
      </c>
      <c r="F231" t="inlineStr">
        <is>
          <t>.</t>
        </is>
      </c>
      <c r="G231" t="inlineStr">
        <is>
          <t>Teofilów</t>
        </is>
      </c>
      <c r="H231" t="inlineStr">
        <is>
          <t>Teofilów</t>
        </is>
      </c>
      <c r="I231" t="inlineStr">
        <is>
          <t>NIE</t>
        </is>
      </c>
      <c r="J231" t="inlineStr">
        <is>
          <t>TAK</t>
        </is>
      </c>
      <c r="K231" t="n">
        <v>502514741</v>
      </c>
      <c r="L231" t="n">
        <v>300000</v>
      </c>
      <c r="M231" t="n">
        <v>6666.666666666667</v>
      </c>
      <c r="N231" t="n">
        <v>45</v>
      </c>
      <c r="O231" t="inlineStr">
        <is>
          <t>2+k</t>
        </is>
      </c>
      <c r="P231" t="n">
        <v>4</v>
      </c>
      <c r="Q231" t="inlineStr">
        <is>
          <t>Nie da się zamieszkać</t>
        </is>
      </c>
      <c r="R231" t="inlineStr">
        <is>
          <t xml:space="preserve">to nie dubel ogłoszenie wygasło ale cały czas nie sprzedane. Włąściciel chce je sprzedac z duźą negocjacja. </t>
        </is>
      </c>
      <c r="T231" t="inlineStr">
        <is>
          <t>561</t>
        </is>
      </c>
    </row>
    <row r="232">
      <c r="A232" t="n">
        <v>231</v>
      </c>
      <c r="B232" s="3" t="n">
        <v>45445</v>
      </c>
      <c r="C232" s="3" t="n">
        <v>45475</v>
      </c>
      <c r="D232" t="inlineStr">
        <is>
          <t>https://www.olx.pl/d/oferta/dwupokojowe-mieszkanie-przy-parku-podolskim-lodz-CID3-ID10qTb0.html</t>
        </is>
      </c>
      <c r="E232">
        <f>HYPERLINK("https://www.olx.pl/d/oferta/dwupokojowe-mieszkanie-przy-parku-podolskim-lodz-CID3-ID10qTb0.html", "https://www.olx.pl/d/oferta/dwupokojowe-mieszkanie-przy-parku-podolskim-lodz-CID3-ID10qTb0.html")</f>
        <v/>
      </c>
      <c r="F232" t="inlineStr">
        <is>
          <t>Zbaraska</t>
        </is>
      </c>
      <c r="G232" t="inlineStr">
        <is>
          <t>Dąbrowa</t>
        </is>
      </c>
      <c r="H232" t="inlineStr">
        <is>
          <t>Dąbrowa</t>
        </is>
      </c>
      <c r="I232" t="inlineStr">
        <is>
          <t>TAK</t>
        </is>
      </c>
      <c r="J232" t="inlineStr">
        <is>
          <t>NIE</t>
        </is>
      </c>
      <c r="K232" t="n">
        <v>697973224</v>
      </c>
      <c r="L232" t="n">
        <v>312000</v>
      </c>
      <c r="M232" t="n">
        <v>6933.333333333333</v>
      </c>
      <c r="N232" t="n">
        <v>45</v>
      </c>
      <c r="O232" t="inlineStr">
        <is>
          <t>2+k</t>
        </is>
      </c>
      <c r="P232" t="n">
        <v>4</v>
      </c>
      <c r="Q232" t="inlineStr">
        <is>
          <t>Da się zamieszkać</t>
        </is>
      </c>
    </row>
    <row r="233">
      <c r="A233" t="n">
        <v>232</v>
      </c>
      <c r="B233" s="3" t="n">
        <v>45445</v>
      </c>
      <c r="C233" s="3" t="n">
        <v>45456</v>
      </c>
      <c r="D233" t="inlineStr">
        <is>
          <t>https://www.domiporta.pl/nieruchomosci/sprzedam-mieszkanie-trzypokojowe-lodz-wilenska-57m2/155176414</t>
        </is>
      </c>
      <c r="E233">
        <f>HYPERLINK("https://www.domiporta.pl/nieruchomosci/sprzedam-mieszkanie-trzypokojowe-lodz-wilenska-57m2/155176414", "https://www.domiporta.pl/nieruchomosci/sprzedam-mieszkanie-trzypokojowe-lodz-wilenska-57m2/155176414")</f>
        <v/>
      </c>
      <c r="F233" t="inlineStr">
        <is>
          <t>wileńska</t>
        </is>
      </c>
      <c r="G233" t="inlineStr">
        <is>
          <t>Retkinia</t>
        </is>
      </c>
      <c r="H233" t="inlineStr">
        <is>
          <t>Retkinia blisko centrum</t>
        </is>
      </c>
      <c r="I233" t="inlineStr">
        <is>
          <t>TAK</t>
        </is>
      </c>
      <c r="J233" t="inlineStr">
        <is>
          <t>TAK</t>
        </is>
      </c>
      <c r="K233" t="n">
        <v>787395920</v>
      </c>
      <c r="L233" t="n">
        <v>389900</v>
      </c>
      <c r="M233" t="n">
        <v>6840.350877192983</v>
      </c>
      <c r="N233" t="n">
        <v>57</v>
      </c>
      <c r="O233" t="inlineStr">
        <is>
          <t>3+k</t>
        </is>
      </c>
      <c r="P233" t="n">
        <v>5</v>
      </c>
      <c r="Q233" t="inlineStr">
        <is>
          <t>Nie da się zamieszkać</t>
        </is>
      </c>
    </row>
    <row r="234">
      <c r="A234" t="n">
        <v>233</v>
      </c>
      <c r="B234" s="3" t="n">
        <v>45445</v>
      </c>
      <c r="D234" t="inlineStr">
        <is>
          <t>https://www.otodom.pl/pl/oferta/rozkladowe-m-3-z-balkonem-na-i-pietrze-zarzew-ID4s4Pq</t>
        </is>
      </c>
      <c r="E234">
        <f>HYPERLINK("https://www.otodom.pl/pl/oferta/rozkladowe-m-3-z-balkonem-na-i-pietrze-zarzew-ID4s4Pq", "https://www.otodom.pl/pl/oferta/rozkladowe-m-3-z-balkonem-na-i-pietrze-zarzew-ID4s4Pq")</f>
        <v/>
      </c>
      <c r="F234" t="inlineStr">
        <is>
          <t xml:space="preserve">gustawa morcinka </t>
        </is>
      </c>
      <c r="G234" t="inlineStr">
        <is>
          <t>Widzew</t>
        </is>
      </c>
      <c r="H234" t="inlineStr">
        <is>
          <t>Widzew blisko centrum</t>
        </is>
      </c>
      <c r="I234" t="inlineStr">
        <is>
          <t>NIE</t>
        </is>
      </c>
      <c r="J234" t="inlineStr">
        <is>
          <t>TAK</t>
        </is>
      </c>
      <c r="K234" t="n">
        <v>883541184</v>
      </c>
      <c r="L234" t="n">
        <v>315000</v>
      </c>
      <c r="M234" t="n">
        <v>6827.04811443433</v>
      </c>
      <c r="N234" t="n">
        <v>46.14</v>
      </c>
      <c r="O234" t="inlineStr">
        <is>
          <t>2+k</t>
        </is>
      </c>
      <c r="P234" t="n">
        <v>1</v>
      </c>
      <c r="Q234" t="inlineStr">
        <is>
          <t>Nie da się zamieszkać</t>
        </is>
      </c>
      <c r="R234" t="inlineStr">
        <is>
          <t>16.07 było 345000,  22.08 było 327k</t>
        </is>
      </c>
    </row>
    <row r="235">
      <c r="A235" t="n">
        <v>234</v>
      </c>
      <c r="B235" s="3" t="n">
        <v>45445</v>
      </c>
      <c r="C235" s="3" t="n">
        <v>45497</v>
      </c>
      <c r="D235" t="inlineStr">
        <is>
          <t>https://gratka.pl/nieruchomosci/mieszkanie-lodz-baluty-ul-wawelska/ob/34756039#gallery</t>
        </is>
      </c>
      <c r="E235">
        <f>HYPERLINK("https://gratka.pl/nieruchomosci/mieszkanie-lodz-baluty-ul-wawelska/ob/34756039#gallery", "https://gratka.pl/nieruchomosci/mieszkanie-lodz-baluty-ul-wawelska/ob/34756039#gallery")</f>
        <v/>
      </c>
      <c r="F235" t="inlineStr">
        <is>
          <t>wawelska</t>
        </is>
      </c>
      <c r="G235" t="inlineStr">
        <is>
          <t>Bałuty</t>
        </is>
      </c>
      <c r="H235" t="inlineStr">
        <is>
          <t>Bałuty</t>
        </is>
      </c>
      <c r="I235" t="inlineStr">
        <is>
          <t>TAK</t>
        </is>
      </c>
      <c r="J235" t="inlineStr">
        <is>
          <t>TAK</t>
        </is>
      </c>
      <c r="K235" t="n">
        <v>609044011</v>
      </c>
      <c r="L235" t="n">
        <v>310000</v>
      </c>
      <c r="M235" t="n">
        <v>7045.454545454545</v>
      </c>
      <c r="N235" t="n">
        <v>44</v>
      </c>
      <c r="O235" t="inlineStr">
        <is>
          <t>2+k</t>
        </is>
      </c>
      <c r="P235" t="n">
        <v>2</v>
      </c>
      <c r="Q235" t="inlineStr">
        <is>
          <t>Puste posprzątane</t>
        </is>
      </c>
    </row>
    <row r="236">
      <c r="A236" t="n">
        <v>235</v>
      </c>
      <c r="B236" s="3" t="n">
        <v>45446</v>
      </c>
      <c r="C236" s="3" t="n">
        <v>45475</v>
      </c>
      <c r="D236" t="inlineStr">
        <is>
          <t>https://www.otodom.pl/pl/oferta/mieszkanie-lodz-gorna-ul-kosmonautow-48m-3pokoje-ID4qRKS.html</t>
        </is>
      </c>
      <c r="E236">
        <f>HYPERLINK("https://www.otodom.pl/pl/oferta/mieszkanie-lodz-gorna-ul-kosmonautow-48m-3pokoje-ID4qRKS.html", "https://www.otodom.pl/pl/oferta/mieszkanie-lodz-gorna-ul-kosmonautow-48m-3pokoje-ID4qRKS.html")</f>
        <v/>
      </c>
      <c r="F236" t="inlineStr">
        <is>
          <t>kosmonautów</t>
        </is>
      </c>
      <c r="G236" t="inlineStr">
        <is>
          <t>Górna</t>
        </is>
      </c>
      <c r="H236" t="inlineStr">
        <is>
          <t>Górna</t>
        </is>
      </c>
      <c r="I236" t="inlineStr">
        <is>
          <t>TAK</t>
        </is>
      </c>
      <c r="J236" t="inlineStr">
        <is>
          <t>NIE</t>
        </is>
      </c>
      <c r="K236" t="n">
        <v>798815292</v>
      </c>
      <c r="L236" t="n">
        <v>330000</v>
      </c>
      <c r="M236" t="n">
        <v>6875</v>
      </c>
      <c r="N236" t="n">
        <v>48</v>
      </c>
      <c r="O236" t="inlineStr">
        <is>
          <t>3+k</t>
        </is>
      </c>
      <c r="P236" t="n">
        <v>2</v>
      </c>
    </row>
    <row r="237">
      <c r="A237" t="n">
        <v>236</v>
      </c>
      <c r="B237" s="3" t="n">
        <v>45446</v>
      </c>
      <c r="C237" s="3" t="n">
        <v>45497</v>
      </c>
      <c r="D237" t="inlineStr">
        <is>
          <t>https://www.otodom.pl/pl/oferta/3-pokojowe-gorna-blisko-ronda-lotnikow-okazja-ID4qKro.html</t>
        </is>
      </c>
      <c r="E237">
        <f>HYPERLINK("https://www.otodom.pl/pl/oferta/3-pokojowe-gorna-blisko-ronda-lotnikow-okazja-ID4qKro.html", "https://www.otodom.pl/pl/oferta/3-pokojowe-gorna-blisko-ronda-lotnikow-okazja-ID4qKro.html")</f>
        <v/>
      </c>
      <c r="F237" t="inlineStr">
        <is>
          <t>zaolziańska 63</t>
        </is>
      </c>
      <c r="G237" t="inlineStr">
        <is>
          <t>Górna</t>
        </is>
      </c>
      <c r="H237" t="inlineStr">
        <is>
          <t>Górna</t>
        </is>
      </c>
      <c r="I237" t="inlineStr">
        <is>
          <t>TAK</t>
        </is>
      </c>
      <c r="J237" t="inlineStr">
        <is>
          <t>NIE</t>
        </is>
      </c>
      <c r="K237" t="n">
        <v>514416099</v>
      </c>
      <c r="L237" t="n">
        <v>379000</v>
      </c>
      <c r="M237" t="n">
        <v>6970.755931579915</v>
      </c>
      <c r="N237" t="n">
        <v>54.37</v>
      </c>
      <c r="O237" t="inlineStr">
        <is>
          <t>3+k</t>
        </is>
      </c>
      <c r="P237" t="n">
        <v>3</v>
      </c>
      <c r="Q237" t="inlineStr">
        <is>
          <t>Puste posprzątane</t>
        </is>
      </c>
    </row>
    <row r="238">
      <c r="A238" t="n">
        <v>237</v>
      </c>
      <c r="B238" s="3" t="n">
        <v>45446</v>
      </c>
      <c r="C238" s="3" t="n">
        <v>45532</v>
      </c>
      <c r="D238" t="inlineStr">
        <is>
          <t>https://gratka.pl/nieruchomosci/mieszkanie-lodz-baluty-centrum-ul-zachodnia/ob/34764525</t>
        </is>
      </c>
      <c r="E238">
        <f>HYPERLINK("https://gratka.pl/nieruchomosci/mieszkanie-lodz-baluty-centrum-ul-zachodnia/ob/34764525", "https://gratka.pl/nieruchomosci/mieszkanie-lodz-baluty-centrum-ul-zachodnia/ob/34764525")</f>
        <v/>
      </c>
      <c r="F238" t="inlineStr">
        <is>
          <t>zachodnia</t>
        </is>
      </c>
      <c r="G238" t="inlineStr">
        <is>
          <t>Bałuty</t>
        </is>
      </c>
      <c r="H238" t="inlineStr">
        <is>
          <t>Bałuty blisko centrum</t>
        </is>
      </c>
      <c r="I238" t="inlineStr">
        <is>
          <t>TAK</t>
        </is>
      </c>
      <c r="J238" t="inlineStr">
        <is>
          <t>TAK</t>
        </is>
      </c>
      <c r="K238" t="n">
        <v>519037188</v>
      </c>
      <c r="L238" t="n">
        <v>360000</v>
      </c>
      <c r="M238" t="n">
        <v>6872.852233676976</v>
      </c>
      <c r="N238" t="n">
        <v>52.38</v>
      </c>
      <c r="O238" t="inlineStr">
        <is>
          <t>2+k</t>
        </is>
      </c>
      <c r="P238" t="n">
        <v>4</v>
      </c>
      <c r="Q238" t="inlineStr">
        <is>
          <t>Da się zamieszkać</t>
        </is>
      </c>
    </row>
    <row r="239">
      <c r="A239" t="n">
        <v>238</v>
      </c>
      <c r="B239" s="3" t="n">
        <v>45446</v>
      </c>
      <c r="C239" s="3" t="n">
        <v>45522</v>
      </c>
      <c r="D239" t="inlineStr">
        <is>
          <t>https://gratka.pl/nieruchomosci/mieszkanie-lodz-retkinia-ul-popieluszki/ob/34765029</t>
        </is>
      </c>
      <c r="E239">
        <f>HYPERLINK("https://gratka.pl/nieruchomosci/mieszkanie-lodz-retkinia-ul-popieluszki/ob/34765029", "https://gratka.pl/nieruchomosci/mieszkanie-lodz-retkinia-ul-popieluszki/ob/34765029")</f>
        <v/>
      </c>
      <c r="F239" t="inlineStr">
        <is>
          <t>popiełuszki</t>
        </is>
      </c>
      <c r="G239" t="inlineStr">
        <is>
          <t>Retkinia</t>
        </is>
      </c>
      <c r="H239" t="inlineStr">
        <is>
          <t>Retkinia</t>
        </is>
      </c>
      <c r="I239" t="inlineStr">
        <is>
          <t>TAK</t>
        </is>
      </c>
      <c r="J239" t="inlineStr">
        <is>
          <t>TAK</t>
        </is>
      </c>
      <c r="K239" t="n">
        <v>578007757</v>
      </c>
      <c r="L239" t="n">
        <v>365000</v>
      </c>
      <c r="M239" t="n">
        <v>6889.39222348056</v>
      </c>
      <c r="N239" t="n">
        <v>52.98</v>
      </c>
      <c r="O239" t="inlineStr">
        <is>
          <t>3+k</t>
        </is>
      </c>
      <c r="P239" t="n">
        <v>4</v>
      </c>
      <c r="Q239" t="inlineStr">
        <is>
          <t>Nie da się zamieszkać</t>
        </is>
      </c>
    </row>
    <row r="240">
      <c r="A240" t="n">
        <v>239</v>
      </c>
      <c r="B240" s="3" t="n">
        <v>45446</v>
      </c>
      <c r="C240" s="3" t="n">
        <v>45522</v>
      </c>
      <c r="D240" t="inlineStr">
        <is>
          <t>https://www.olx.pl/d/oferta/37-m2-do-remontu-mozliwe-2-pokoje-blok-centrum-CID3-ID10rw5L.html</t>
        </is>
      </c>
      <c r="E240">
        <f>HYPERLINK("https://www.olx.pl/d/oferta/37-m2-do-remontu-mozliwe-2-pokoje-blok-centrum-CID3-ID10rw5L.html", "https://www.olx.pl/d/oferta/37-m2-do-remontu-mozliwe-2-pokoje-blok-centrum-CID3-ID10rw5L.html")</f>
        <v/>
      </c>
      <c r="F240" t="inlineStr">
        <is>
          <t>bazarowa</t>
        </is>
      </c>
      <c r="G240" t="inlineStr">
        <is>
          <t>Bałuty</t>
        </is>
      </c>
      <c r="H240" t="inlineStr">
        <is>
          <t>Bałuty blisko centrum</t>
        </is>
      </c>
      <c r="I240" t="inlineStr">
        <is>
          <t>TAK</t>
        </is>
      </c>
      <c r="J240" t="inlineStr">
        <is>
          <t>NIE</t>
        </is>
      </c>
      <c r="K240" t="n">
        <v>608320843</v>
      </c>
      <c r="L240" t="n">
        <v>259000</v>
      </c>
      <c r="M240" t="n">
        <v>7000</v>
      </c>
      <c r="N240" t="n">
        <v>37</v>
      </c>
      <c r="O240" t="inlineStr">
        <is>
          <t>1+k</t>
        </is>
      </c>
      <c r="P240" t="n">
        <v>0</v>
      </c>
      <c r="Q240" t="inlineStr">
        <is>
          <t>Puste</t>
        </is>
      </c>
    </row>
    <row r="241">
      <c r="A241" t="n">
        <v>240</v>
      </c>
      <c r="B241" s="3" t="n">
        <v>45446</v>
      </c>
      <c r="D241" t="inlineStr">
        <is>
          <t>https://www.otodom.pl/pl/oferta/m-3-dabrowa-parter-do-wlasnej-aranzacji-ID4qulw.html</t>
        </is>
      </c>
      <c r="E241">
        <f>HYPERLINK("https://www.otodom.pl/pl/oferta/m-3-dabrowa-parter-do-wlasnej-aranzacji-ID4qulw.html", "https://www.otodom.pl/pl/oferta/m-3-dabrowa-parter-do-wlasnej-aranzacji-ID4qulw.html")</f>
        <v/>
      </c>
      <c r="F241" t="inlineStr">
        <is>
          <t>Broniewskiego</t>
        </is>
      </c>
      <c r="G241" t="inlineStr">
        <is>
          <t>Górna</t>
        </is>
      </c>
      <c r="H241" t="inlineStr">
        <is>
          <t>Górna</t>
        </is>
      </c>
      <c r="I241" t="inlineStr">
        <is>
          <t>NIE</t>
        </is>
      </c>
      <c r="J241" t="inlineStr">
        <is>
          <t>TAK</t>
        </is>
      </c>
      <c r="K241" t="n">
        <v>883120230</v>
      </c>
      <c r="L241" t="n">
        <v>250000</v>
      </c>
      <c r="M241" t="n">
        <v>6944.444444444444</v>
      </c>
      <c r="N241" t="n">
        <v>36</v>
      </c>
      <c r="O241" t="inlineStr">
        <is>
          <t>2+k</t>
        </is>
      </c>
      <c r="P241" t="n">
        <v>0</v>
      </c>
      <c r="Q241" t="inlineStr">
        <is>
          <t>Nie da się zamieszkać</t>
        </is>
      </c>
      <c r="R241" t="inlineStr">
        <is>
          <t>* super pośredniczka, 235k chce właściciel + 1% Izabela Darnikowska</t>
        </is>
      </c>
    </row>
    <row r="242">
      <c r="A242" t="n">
        <v>241</v>
      </c>
      <c r="B242" s="3" t="n">
        <v>45446</v>
      </c>
      <c r="C242" s="3" t="n">
        <v>45456</v>
      </c>
      <c r="D242" t="inlineStr">
        <is>
          <t>https://www.olx.pl/d/oferta/retkinia-atrakcyjne-zadbane-m3-bezposrednio-0-CID3-ID10rIt2.html?isPreviewActive=0&amp;sliderIndex=7</t>
        </is>
      </c>
      <c r="E242">
        <f>HYPERLINK("https://www.olx.pl/d/oferta/retkinia-atrakcyjne-zadbane-m3-bezposrednio-0-CID3-ID10rIt2.html?isPreviewActive=0&amp;sliderIndex=7", "https://www.olx.pl/d/oferta/retkinia-atrakcyjne-zadbane-m3-bezposrednio-0-CID3-ID10rIt2.html?isPreviewActive=0&amp;sliderIndex=7")</f>
        <v/>
      </c>
      <c r="F242" t="inlineStr">
        <is>
          <t>hufcowa</t>
        </is>
      </c>
      <c r="G242" t="inlineStr">
        <is>
          <t>Retkinia</t>
        </is>
      </c>
      <c r="H242" t="inlineStr">
        <is>
          <t>Retkinia</t>
        </is>
      </c>
      <c r="I242" t="inlineStr">
        <is>
          <t>TAK</t>
        </is>
      </c>
      <c r="J242" t="inlineStr">
        <is>
          <t>NIE</t>
        </is>
      </c>
      <c r="K242" t="n">
        <v>667675499</v>
      </c>
      <c r="L242" t="n">
        <v>339600</v>
      </c>
      <c r="M242" t="n">
        <v>7897.674418604651</v>
      </c>
      <c r="N242" t="n">
        <v>43</v>
      </c>
      <c r="O242" t="inlineStr">
        <is>
          <t>2+k</t>
        </is>
      </c>
      <c r="P242" t="n">
        <v>3</v>
      </c>
      <c r="Q242" t="inlineStr">
        <is>
          <t>Da się zamieszkać</t>
        </is>
      </c>
    </row>
    <row r="243">
      <c r="A243" t="n">
        <v>242</v>
      </c>
      <c r="B243" s="3" t="n">
        <v>45446</v>
      </c>
      <c r="C243" s="3" t="n">
        <v>45481</v>
      </c>
      <c r="D243" t="inlineStr">
        <is>
          <t>https://www.olx.pl/d/oferta/mieszkanie-lodz-CID3-ID10rJwA.html?isPreviewActive=1&amp;sliderIndex=6</t>
        </is>
      </c>
      <c r="E243">
        <f>HYPERLINK("https://www.olx.pl/d/oferta/mieszkanie-lodz-CID3-ID10rJwA.html?isPreviewActive=1&amp;sliderIndex=6", "https://www.olx.pl/d/oferta/mieszkanie-lodz-CID3-ID10rJwA.html?isPreviewActive=1&amp;sliderIndex=6")</f>
        <v/>
      </c>
      <c r="F243" t="inlineStr">
        <is>
          <t>tatrzańska</t>
        </is>
      </c>
      <c r="G243" t="inlineStr">
        <is>
          <t>Dąbrowa</t>
        </is>
      </c>
      <c r="H243" t="inlineStr">
        <is>
          <t>Dąbrowa</t>
        </is>
      </c>
      <c r="I243" t="inlineStr">
        <is>
          <t>TAK</t>
        </is>
      </c>
      <c r="J243" t="inlineStr">
        <is>
          <t>TAK</t>
        </is>
      </c>
      <c r="K243" t="n">
        <v>660767796</v>
      </c>
      <c r="L243" t="n">
        <v>275000</v>
      </c>
      <c r="M243" t="n">
        <v>7485.02994011976</v>
      </c>
      <c r="N243" t="n">
        <v>36.74</v>
      </c>
      <c r="O243" t="inlineStr">
        <is>
          <t>2+k</t>
        </is>
      </c>
      <c r="P243" t="n">
        <v>4</v>
      </c>
      <c r="Q243" t="inlineStr">
        <is>
          <t>Puste posprzątane</t>
        </is>
      </c>
    </row>
    <row r="244">
      <c r="A244" t="n">
        <v>243</v>
      </c>
      <c r="B244" s="3" t="n">
        <v>45446</v>
      </c>
      <c r="C244" s="3" t="n">
        <v>45475</v>
      </c>
      <c r="D244" t="inlineStr">
        <is>
          <t>https://www.olx.pl/d/oferta/dwupokojowe-mieszkanie-do-aranzacji-dabrowa-CID3-IDZRRfN.html?isPreviewActive=0&amp;sliderIndex=9</t>
        </is>
      </c>
      <c r="E244">
        <f>HYPERLINK("https://www.olx.pl/d/oferta/dwupokojowe-mieszkanie-do-aranzacji-dabrowa-CID3-IDZRRfN.html?isPreviewActive=0&amp;sliderIndex=9", "https://www.olx.pl/d/oferta/dwupokojowe-mieszkanie-do-aranzacji-dabrowa-CID3-IDZRRfN.html?isPreviewActive=0&amp;sliderIndex=9")</f>
        <v/>
      </c>
      <c r="F244" t="inlineStr">
        <is>
          <t xml:space="preserve">smigłego rydza </t>
        </is>
      </c>
      <c r="G244" t="inlineStr">
        <is>
          <t>Górna</t>
        </is>
      </c>
      <c r="H244" t="inlineStr">
        <is>
          <t>Górna blisko centrum</t>
        </is>
      </c>
      <c r="I244" t="inlineStr">
        <is>
          <t>TAK</t>
        </is>
      </c>
      <c r="J244" t="inlineStr">
        <is>
          <t>TAK</t>
        </is>
      </c>
      <c r="K244" t="n">
        <v>570888955</v>
      </c>
      <c r="L244" t="n">
        <v>263000</v>
      </c>
      <c r="M244" t="n">
        <v>7295.423023578364</v>
      </c>
      <c r="N244" t="n">
        <v>36.05</v>
      </c>
      <c r="O244" t="inlineStr">
        <is>
          <t>2+k</t>
        </is>
      </c>
      <c r="P244" t="n">
        <v>2</v>
      </c>
      <c r="Q244" t="inlineStr">
        <is>
          <t>Puste posprzątane</t>
        </is>
      </c>
    </row>
    <row r="245">
      <c r="A245" t="n">
        <v>244</v>
      </c>
      <c r="B245" s="3" t="n">
        <v>45446</v>
      </c>
      <c r="C245" t="inlineStr">
        <is>
          <t>28.06.20224</t>
        </is>
      </c>
      <c r="D245" t="inlineStr">
        <is>
          <t>https://www.otodom.pl/pl/oferta/2-pokoje-z-nowa-instalacja-w-k-ID4qBPN.html</t>
        </is>
      </c>
      <c r="E245">
        <f>HYPERLINK("https://www.otodom.pl/pl/oferta/2-pokoje-z-nowa-instalacja-w-k-ID4qBPN.html", "https://www.otodom.pl/pl/oferta/2-pokoje-z-nowa-instalacja-w-k-ID4qBPN.html")</f>
        <v/>
      </c>
      <c r="F245" t="inlineStr">
        <is>
          <t xml:space="preserve">tyrmanda </t>
        </is>
      </c>
      <c r="G245" t="inlineStr">
        <is>
          <t>Dąbrowa</t>
        </is>
      </c>
      <c r="H245" t="inlineStr">
        <is>
          <t>Dąbrowa</t>
        </is>
      </c>
      <c r="I245" t="inlineStr">
        <is>
          <t>TAK</t>
        </is>
      </c>
      <c r="J245" t="inlineStr">
        <is>
          <t>TAK</t>
        </is>
      </c>
      <c r="K245" t="n">
        <v>535675816</v>
      </c>
      <c r="L245" t="n">
        <v>298000</v>
      </c>
      <c r="M245" t="n">
        <v>8115.468409586057</v>
      </c>
      <c r="N245" t="n">
        <v>36.72</v>
      </c>
      <c r="O245" t="inlineStr">
        <is>
          <t>2+k</t>
        </is>
      </c>
      <c r="P245" t="n">
        <v>1</v>
      </c>
      <c r="Q245" t="inlineStr">
        <is>
          <t>Puste posprzątane i odświeżone</t>
        </is>
      </c>
    </row>
    <row r="246">
      <c r="A246" t="n">
        <v>245</v>
      </c>
      <c r="B246" s="3" t="n">
        <v>45447</v>
      </c>
      <c r="C246" s="3" t="n">
        <v>45548</v>
      </c>
      <c r="D246" t="inlineStr">
        <is>
          <t>https://www.olx.pl/d/oferta/mieszkanie-dabrowskiego-do-remontu-super-lokalizacja-dabrowa-CID3-ID10sebz.html</t>
        </is>
      </c>
      <c r="E246">
        <f>HYPERLINK("https://www.olx.pl/d/oferta/mieszkanie-dabrowskiego-do-remontu-super-lokalizacja-dabrowa-CID3-ID10sebz.html", "https://www.olx.pl/d/oferta/mieszkanie-dabrowskiego-do-remontu-super-lokalizacja-dabrowa-CID3-ID10sebz.html")</f>
        <v/>
      </c>
      <c r="F246" t="inlineStr">
        <is>
          <t xml:space="preserve">dąbrowskiego </t>
        </is>
      </c>
      <c r="G246" t="inlineStr">
        <is>
          <t>Dąbrowa</t>
        </is>
      </c>
      <c r="H246" t="inlineStr">
        <is>
          <t>Dąbrowa</t>
        </is>
      </c>
      <c r="I246" t="inlineStr">
        <is>
          <t>TAK</t>
        </is>
      </c>
      <c r="J246" t="inlineStr">
        <is>
          <t>TAK</t>
        </is>
      </c>
      <c r="K246" t="n">
        <v>730789896</v>
      </c>
      <c r="L246" t="n">
        <v>261000</v>
      </c>
      <c r="M246" t="n">
        <v>7054.054054054054</v>
      </c>
      <c r="N246" t="n">
        <v>37</v>
      </c>
      <c r="O246" t="inlineStr">
        <is>
          <t>2+k</t>
        </is>
      </c>
      <c r="P246" t="n">
        <v>3</v>
      </c>
      <c r="Q246" t="inlineStr">
        <is>
          <t>Puste posprzątane</t>
        </is>
      </c>
      <c r="R246" t="inlineStr">
        <is>
          <t>było 282000  02.09 było 267</t>
        </is>
      </c>
    </row>
    <row r="247">
      <c r="A247" t="n">
        <v>246</v>
      </c>
      <c r="B247" s="3" t="n">
        <v>45447</v>
      </c>
      <c r="C247" t="inlineStr">
        <is>
          <t>28.06.20224</t>
        </is>
      </c>
      <c r="D247" t="inlineStr">
        <is>
          <t>https://www.olx.pl/d/oferta/m3-na-retkini-na-2-pietrze-CID3-ID10se4o.html</t>
        </is>
      </c>
      <c r="E247">
        <f>HYPERLINK("https://www.olx.pl/d/oferta/m3-na-retkini-na-2-pietrze-CID3-ID10se4o.html", "https://www.olx.pl/d/oferta/m3-na-retkini-na-2-pietrze-CID3-ID10se4o.html")</f>
        <v/>
      </c>
      <c r="F247" t="inlineStr">
        <is>
          <t>.</t>
        </is>
      </c>
      <c r="G247" t="inlineStr">
        <is>
          <t>Retkinia</t>
        </is>
      </c>
      <c r="H247" t="inlineStr">
        <is>
          <t>Retkinia</t>
        </is>
      </c>
      <c r="I247" t="inlineStr">
        <is>
          <t>TAK</t>
        </is>
      </c>
      <c r="J247" t="inlineStr">
        <is>
          <t>NIE</t>
        </is>
      </c>
      <c r="K247" t="n">
        <v>517827480</v>
      </c>
      <c r="L247" t="n">
        <v>350000</v>
      </c>
      <c r="M247" t="n">
        <v>7291.666666666667</v>
      </c>
      <c r="N247" t="n">
        <v>48</v>
      </c>
      <c r="O247" t="inlineStr">
        <is>
          <t>2+k</t>
        </is>
      </c>
      <c r="P247" t="n">
        <v>2</v>
      </c>
      <c r="Q247" t="inlineStr">
        <is>
          <t>Puste posprzątane</t>
        </is>
      </c>
    </row>
    <row r="248">
      <c r="A248" t="n">
        <v>247</v>
      </c>
      <c r="B248" s="3" t="n">
        <v>45447</v>
      </c>
      <c r="D248" t="inlineStr">
        <is>
          <t>https://www.otodom.pl/pl/oferta/i-pietro-m3-balkon-rojna-ID4qTPN.html</t>
        </is>
      </c>
      <c r="E248">
        <f>HYPERLINK("https://www.otodom.pl/pl/oferta/i-pietro-m3-balkon-rojna-ID4qTPN.html", "https://www.otodom.pl/pl/oferta/i-pietro-m3-balkon-rojna-ID4qTPN.html")</f>
        <v/>
      </c>
      <c r="F248" t="inlineStr">
        <is>
          <t>rojna</t>
        </is>
      </c>
      <c r="G248" t="inlineStr">
        <is>
          <t>Teofilów</t>
        </is>
      </c>
      <c r="H248" t="inlineStr">
        <is>
          <t>Teofilów</t>
        </is>
      </c>
      <c r="I248" t="inlineStr">
        <is>
          <t>NIE</t>
        </is>
      </c>
      <c r="J248" t="inlineStr">
        <is>
          <t>TAK</t>
        </is>
      </c>
      <c r="K248" t="n">
        <v>883334773</v>
      </c>
      <c r="L248" t="n">
        <v>275000</v>
      </c>
      <c r="M248" t="n">
        <v>7374.631268436578</v>
      </c>
      <c r="N248" t="n">
        <v>37.29</v>
      </c>
      <c r="O248" t="inlineStr">
        <is>
          <t>2+k</t>
        </is>
      </c>
      <c r="P248" t="n">
        <v>1</v>
      </c>
      <c r="Q248" t="inlineStr">
        <is>
          <t>Nie da się zamieszkać</t>
        </is>
      </c>
    </row>
    <row r="249">
      <c r="A249" t="n">
        <v>248</v>
      </c>
      <c r="B249" s="3" t="n">
        <v>45447</v>
      </c>
      <c r="C249" s="3" t="n">
        <v>45481</v>
      </c>
      <c r="D249" t="inlineStr">
        <is>
          <t>https://www.olx.pl/d/oferta/karolew-2-pokoje-z-oddzielna-kuchnia-CID3-ID10sBWT.html?isPreviewActive=0&amp;sliderIndex=1</t>
        </is>
      </c>
      <c r="E249">
        <f>HYPERLINK("https://www.olx.pl/d/oferta/karolew-2-pokoje-z-oddzielna-kuchnia-CID3-ID10sBWT.html?isPreviewActive=0&amp;sliderIndex=1", "https://www.olx.pl/d/oferta/karolew-2-pokoje-z-oddzielna-kuchnia-CID3-ID10sBWT.html?isPreviewActive=0&amp;sliderIndex=1")</f>
        <v/>
      </c>
      <c r="G249" t="inlineStr">
        <is>
          <t>Polesie</t>
        </is>
      </c>
      <c r="H249" t="inlineStr">
        <is>
          <t>Polesie</t>
        </is>
      </c>
      <c r="I249" t="inlineStr">
        <is>
          <t>TAK</t>
        </is>
      </c>
      <c r="J249" t="inlineStr">
        <is>
          <t>NIE</t>
        </is>
      </c>
      <c r="K249" t="n">
        <v>789635952</v>
      </c>
      <c r="L249" t="n">
        <v>336000</v>
      </c>
      <c r="M249" t="n">
        <v>7000</v>
      </c>
      <c r="N249" t="n">
        <v>48</v>
      </c>
      <c r="O249" t="inlineStr">
        <is>
          <t>2+k</t>
        </is>
      </c>
      <c r="P249" t="n">
        <v>3</v>
      </c>
      <c r="Q249" t="inlineStr">
        <is>
          <t>Nie da się zamieszkać</t>
        </is>
      </c>
      <c r="R249" t="inlineStr">
        <is>
          <t>było nieaktywne 08.07.2024 wróciło 13.09</t>
        </is>
      </c>
    </row>
    <row r="250">
      <c r="A250" t="n">
        <v>249</v>
      </c>
      <c r="B250" s="3" t="n">
        <v>45447</v>
      </c>
      <c r="C250" s="3" t="n">
        <v>45532</v>
      </c>
      <c r="D250" t="inlineStr">
        <is>
          <t>https://www.otodom.pl/pl/oferta/wawelska-baluty-i-p-kw-balkon-cegla-parkiet-ID4qjYO.html</t>
        </is>
      </c>
      <c r="E250">
        <f>HYPERLINK("https://www.otodom.pl/pl/oferta/wawelska-baluty-i-p-kw-balkon-cegla-parkiet-ID4qjYO.html", "https://www.otodom.pl/pl/oferta/wawelska-baluty-i-p-kw-balkon-cegla-parkiet-ID4qjYO.html")</f>
        <v/>
      </c>
      <c r="F250" t="inlineStr">
        <is>
          <t>wawelska</t>
        </is>
      </c>
      <c r="G250" t="inlineStr">
        <is>
          <t>Bałuty</t>
        </is>
      </c>
      <c r="H250" t="inlineStr">
        <is>
          <t>Bałuty</t>
        </is>
      </c>
      <c r="I250" t="inlineStr">
        <is>
          <t>TAK</t>
        </is>
      </c>
      <c r="J250" t="inlineStr">
        <is>
          <t>TAK</t>
        </is>
      </c>
      <c r="K250" t="n">
        <v>881586532</v>
      </c>
      <c r="L250" t="n">
        <v>360000</v>
      </c>
      <c r="M250" t="n">
        <v>7399.794450154162</v>
      </c>
      <c r="N250" t="n">
        <v>48.65</v>
      </c>
      <c r="O250" t="inlineStr">
        <is>
          <t>2+k</t>
        </is>
      </c>
      <c r="P250" t="n">
        <v>1</v>
      </c>
      <c r="Q250" t="inlineStr">
        <is>
          <t>Nie da się zamieszkać</t>
        </is>
      </c>
      <c r="R250" t="inlineStr">
        <is>
          <t>prawdopodobnie numer do własciciela 733 570 204</t>
        </is>
      </c>
    </row>
    <row r="251">
      <c r="A251" t="n">
        <v>250</v>
      </c>
      <c r="B251" s="3" t="n">
        <v>45447</v>
      </c>
      <c r="C251" t="inlineStr">
        <is>
          <t>28.06.20224</t>
        </is>
      </c>
      <c r="D251" t="inlineStr">
        <is>
          <t>https://gratka.pl/nieruchomosci/mieszkanie-lodz-gorna-ul-tatrzanska/ob/34781307</t>
        </is>
      </c>
      <c r="E251">
        <f>HYPERLINK("https://gratka.pl/nieruchomosci/mieszkanie-lodz-gorna-ul-tatrzanska/ob/34781307", "https://gratka.pl/nieruchomosci/mieszkanie-lodz-gorna-ul-tatrzanska/ob/34781307")</f>
        <v/>
      </c>
      <c r="F251" t="inlineStr">
        <is>
          <t>tatrzańska</t>
        </is>
      </c>
      <c r="G251" t="inlineStr">
        <is>
          <t>Dąbrowa</t>
        </is>
      </c>
      <c r="H251" t="inlineStr">
        <is>
          <t>Dąbrowa</t>
        </is>
      </c>
      <c r="I251" t="inlineStr">
        <is>
          <t>TAK</t>
        </is>
      </c>
      <c r="J251" t="inlineStr">
        <is>
          <t>TAK</t>
        </is>
      </c>
      <c r="K251" t="n">
        <v>789587593</v>
      </c>
      <c r="L251" t="n">
        <v>279000</v>
      </c>
      <c r="M251" t="n">
        <v>7643.835616438356</v>
      </c>
      <c r="N251" t="n">
        <v>36.5</v>
      </c>
      <c r="O251" t="inlineStr">
        <is>
          <t>2+k</t>
        </is>
      </c>
      <c r="P251" t="n">
        <v>0</v>
      </c>
      <c r="Q251" t="inlineStr">
        <is>
          <t>Nie da się zamieszkać</t>
        </is>
      </c>
    </row>
    <row r="252">
      <c r="A252" t="n">
        <v>251</v>
      </c>
      <c r="B252" s="3" t="n">
        <v>45448</v>
      </c>
      <c r="C252" s="3" t="n">
        <v>45497</v>
      </c>
      <c r="D252" t="inlineStr">
        <is>
          <t>https://gratka.pl/nieruchomosci/mieszkanie-lodz-baluty-ul-romskich-ofiar-getta-lodzkiego/oi/34791241</t>
        </is>
      </c>
      <c r="E252">
        <f>HYPERLINK("https://gratka.pl/nieruchomosci/mieszkanie-lodz-baluty-ul-romskich-ofiar-getta-lodzkiego/oi/34791241", "https://gratka.pl/nieruchomosci/mieszkanie-lodz-baluty-ul-romskich-ofiar-getta-lodzkiego/oi/34791241")</f>
        <v/>
      </c>
      <c r="F252" t="inlineStr">
        <is>
          <t>Romskich Ofiar Getta Łódzkiego</t>
        </is>
      </c>
      <c r="G252" t="inlineStr">
        <is>
          <t>Bałuty</t>
        </is>
      </c>
      <c r="H252" t="inlineStr">
        <is>
          <t>Bałuty</t>
        </is>
      </c>
      <c r="I252" t="inlineStr">
        <is>
          <t>TAK</t>
        </is>
      </c>
      <c r="J252" t="inlineStr">
        <is>
          <t>NIE</t>
        </is>
      </c>
      <c r="K252" t="n">
        <v>508521651</v>
      </c>
      <c r="L252" t="n">
        <v>320000</v>
      </c>
      <c r="M252" t="n">
        <v>6881.720430107527</v>
      </c>
      <c r="N252" t="n">
        <v>46.5</v>
      </c>
      <c r="O252" t="inlineStr">
        <is>
          <t>2+k</t>
        </is>
      </c>
      <c r="P252" t="n">
        <v>3</v>
      </c>
      <c r="Q252" t="inlineStr">
        <is>
          <t>Nie da się zamieszkać</t>
        </is>
      </c>
      <c r="R252" t="inlineStr">
        <is>
          <t xml:space="preserve">Oferta nieaktywna ale aktualna. Wizyta 22.07 godz 15. </t>
        </is>
      </c>
    </row>
    <row r="253">
      <c r="A253" t="n">
        <v>252</v>
      </c>
      <c r="B253" s="3" t="n">
        <v>45448</v>
      </c>
      <c r="D253" t="inlineStr">
        <is>
          <t>https://www.okolica.pl/offer/show/66978-S-O_16403/formular</t>
        </is>
      </c>
      <c r="E253">
        <f>HYPERLINK("https://www.okolica.pl/offer/show/66978-S-O_16403/formular", "https://www.okolica.pl/offer/show/66978-S-O_16403/formular")</f>
        <v/>
      </c>
      <c r="F253" t="inlineStr">
        <is>
          <t>złotnicza</t>
        </is>
      </c>
      <c r="G253" t="inlineStr">
        <is>
          <t>Bałuty</t>
        </is>
      </c>
      <c r="H253" t="inlineStr">
        <is>
          <t>Bałuty</t>
        </is>
      </c>
      <c r="I253" t="inlineStr">
        <is>
          <t>NIE</t>
        </is>
      </c>
      <c r="J253" t="inlineStr">
        <is>
          <t>TAK</t>
        </is>
      </c>
      <c r="K253" t="n">
        <v>604940753</v>
      </c>
      <c r="L253" t="n">
        <v>274000</v>
      </c>
      <c r="M253" t="n">
        <v>5729.820158929318</v>
      </c>
      <c r="N253" t="n">
        <v>47.82</v>
      </c>
      <c r="O253" t="inlineStr">
        <is>
          <t>2+k</t>
        </is>
      </c>
      <c r="P253" t="n">
        <v>3</v>
      </c>
      <c r="Q253" t="inlineStr">
        <is>
          <t>Da się zamieszkać</t>
        </is>
      </c>
      <c r="R253" t="inlineStr">
        <is>
          <t>Była wizytacja 11.07. Bardzo żle wygląda okolica, przeraża wręcz. Zaproponowaliśmy 260k z prowizją. Minimalna cena za to mieszkanie to 274k z prowizją. Niżej nie zejdą. Kontakt 22.07 złozna oferta na 263k z prowizja ale wstrzymana sprzedaż, w zwiazku z mieszkaniem na wólczańskiej sprawa zamknie sie do połowy sierpnia 15.08.2024. Telefon ponowny wykonany 28.08.2024, oferta aktualna, złożona oferta nasza, pośrednik ma zadzwonić ponownie z informacją o cenie minimalnej.</t>
        </is>
      </c>
    </row>
    <row r="254">
      <c r="A254" t="n">
        <v>253</v>
      </c>
      <c r="B254" s="3" t="n">
        <v>45448</v>
      </c>
      <c r="C254" s="3" t="n">
        <v>45506</v>
      </c>
      <c r="D254" t="inlineStr">
        <is>
          <t>https://www.morizon.pl/oferta/sprzedaz-mieszkanie-lodz-polesie-gorna-52m2-mzn2043957652</t>
        </is>
      </c>
      <c r="E254">
        <f>HYPERLINK("https://www.morizon.pl/oferta/sprzedaz-mieszkanie-lodz-polesie-gorna-52m2-mzn2043957652", "https://www.morizon.pl/oferta/sprzedaz-mieszkanie-lodz-polesie-gorna-52m2-mzn2043957652")</f>
        <v/>
      </c>
      <c r="F254" t="inlineStr">
        <is>
          <t>koziny</t>
        </is>
      </c>
      <c r="G254" t="inlineStr">
        <is>
          <t>Polesie</t>
        </is>
      </c>
      <c r="H254" t="inlineStr">
        <is>
          <t>Polesie</t>
        </is>
      </c>
      <c r="I254" t="inlineStr">
        <is>
          <t>TAK</t>
        </is>
      </c>
      <c r="J254" t="inlineStr">
        <is>
          <t>TAK</t>
        </is>
      </c>
      <c r="K254" t="n">
        <v>501894519</v>
      </c>
      <c r="L254" t="n">
        <v>350000</v>
      </c>
      <c r="M254" t="n">
        <v>6616.257088846881</v>
      </c>
      <c r="N254" t="n">
        <v>52.9</v>
      </c>
      <c r="O254" t="inlineStr">
        <is>
          <t>3+k</t>
        </is>
      </c>
      <c r="P254" t="n">
        <v>2</v>
      </c>
      <c r="Q254" t="inlineStr">
        <is>
          <t>Nie da się zamieszkać</t>
        </is>
      </c>
      <c r="R254" t="inlineStr">
        <is>
          <t xml:space="preserve">miła pani, Umówieni na 12.07. Pani przełożyła na 15.07. 17.07 Wynegocjowane na 340k.  Trzeba zejsc jeszcze 15k. </t>
        </is>
      </c>
    </row>
    <row r="255">
      <c r="A255" t="n">
        <v>254</v>
      </c>
      <c r="B255" s="3" t="n">
        <v>45448</v>
      </c>
      <c r="D255" t="inlineStr">
        <is>
          <t>https://www.krn.pl/oferta/mieszkanie-37-64m2-lodz,28624576</t>
        </is>
      </c>
      <c r="E255">
        <f>HYPERLINK("https://www.krn.pl/oferta/mieszkanie-37-64m2-lodz,28624576", "https://www.krn.pl/oferta/mieszkanie-37-64m2-lodz,28624576")</f>
        <v/>
      </c>
      <c r="F255" t="inlineStr">
        <is>
          <t>zarzew</t>
        </is>
      </c>
      <c r="G255" t="inlineStr">
        <is>
          <t>Dąbrowa</t>
        </is>
      </c>
      <c r="H255" t="inlineStr">
        <is>
          <t>Dąbrowa</t>
        </is>
      </c>
      <c r="I255" t="inlineStr">
        <is>
          <t>NIE</t>
        </is>
      </c>
      <c r="J255" t="inlineStr">
        <is>
          <t>TAK</t>
        </is>
      </c>
      <c r="K255" t="n">
        <v>539313300</v>
      </c>
      <c r="L255" t="n">
        <v>279000</v>
      </c>
      <c r="M255" t="n">
        <v>7412.327311370882</v>
      </c>
      <c r="N255" t="n">
        <v>37.64</v>
      </c>
      <c r="O255" t="inlineStr">
        <is>
          <t>2+k</t>
        </is>
      </c>
      <c r="P255" t="n">
        <v>1</v>
      </c>
      <c r="Q255" t="inlineStr">
        <is>
          <t>Nie da się zamieszkać</t>
        </is>
      </c>
      <c r="R255" t="inlineStr">
        <is>
          <t>15.07 było 290</t>
        </is>
      </c>
    </row>
    <row r="256">
      <c r="A256" t="n">
        <v>255</v>
      </c>
      <c r="B256" s="3" t="n">
        <v>45448</v>
      </c>
      <c r="C256" s="3" t="n">
        <v>45497</v>
      </c>
      <c r="D256" t="inlineStr">
        <is>
          <t>https://www.olx.pl/d/oferta/m2-blisko-parku-w-cichej-okolicy-CID3-ID10ERP9.html</t>
        </is>
      </c>
      <c r="E256">
        <f>HYPERLINK("https://www.olx.pl/d/oferta/m2-blisko-parku-w-cichej-okolicy-CID3-ID10ERP9.html", "https://www.olx.pl/d/oferta/m2-blisko-parku-w-cichej-okolicy-CID3-ID10ERP9.html")</f>
        <v/>
      </c>
      <c r="F256" t="inlineStr">
        <is>
          <t>obrońców warszawy</t>
        </is>
      </c>
      <c r="G256" t="inlineStr">
        <is>
          <t>Bałuty</t>
        </is>
      </c>
      <c r="H256" t="inlineStr">
        <is>
          <t>Bałuty blisko centrum</t>
        </is>
      </c>
      <c r="I256" t="inlineStr">
        <is>
          <t>TAK</t>
        </is>
      </c>
      <c r="J256" t="inlineStr">
        <is>
          <t>TAK</t>
        </is>
      </c>
      <c r="K256" t="n">
        <v>787395920</v>
      </c>
      <c r="L256" t="n">
        <v>239000</v>
      </c>
      <c r="M256" t="n">
        <v>6289.473684210527</v>
      </c>
      <c r="N256" t="n">
        <v>38</v>
      </c>
      <c r="O256" t="inlineStr">
        <is>
          <t>2+k</t>
        </is>
      </c>
      <c r="P256" t="n">
        <v>4</v>
      </c>
      <c r="Q256" t="inlineStr">
        <is>
          <t>Nie da się zamieszkać</t>
        </is>
      </c>
    </row>
    <row r="257">
      <c r="A257" t="n">
        <v>256</v>
      </c>
      <c r="B257" s="3" t="n">
        <v>45448</v>
      </c>
      <c r="C257" s="3" t="n">
        <v>45475</v>
      </c>
      <c r="D257" t="inlineStr">
        <is>
          <t>https://www.olx.pl/d/oferta/mieszkanie-3-pokojowe-57m2-ks-brzoski-lodz-bezposrednio-CID3-IDZB1bE.html?isPreviewActive=0&amp;sliderIndex=3</t>
        </is>
      </c>
      <c r="E257">
        <f>HYPERLINK("https://www.olx.pl/d/oferta/mieszkanie-3-pokojowe-57m2-ks-brzoski-lodz-bezposrednio-CID3-IDZB1bE.html?isPreviewActive=0&amp;sliderIndex=3", "https://www.olx.pl/d/oferta/mieszkanie-3-pokojowe-57m2-ks-brzoski-lodz-bezposrednio-CID3-IDZB1bE.html?isPreviewActive=0&amp;sliderIndex=3")</f>
        <v/>
      </c>
      <c r="F257" t="inlineStr">
        <is>
          <t>brzóski</t>
        </is>
      </c>
      <c r="G257" t="inlineStr">
        <is>
          <t>Bałuty</t>
        </is>
      </c>
      <c r="H257" t="inlineStr">
        <is>
          <t>Bałuty</t>
        </is>
      </c>
      <c r="I257" t="inlineStr">
        <is>
          <t>TAK</t>
        </is>
      </c>
      <c r="J257" t="inlineStr">
        <is>
          <t>NIE</t>
        </is>
      </c>
      <c r="K257" t="n">
        <v>508791502</v>
      </c>
      <c r="L257" t="n">
        <v>385000</v>
      </c>
      <c r="M257" t="n">
        <v>6754.385964912281</v>
      </c>
      <c r="N257" t="n">
        <v>57</v>
      </c>
      <c r="O257" t="inlineStr">
        <is>
          <t>3+k</t>
        </is>
      </c>
      <c r="P257" t="n">
        <v>8</v>
      </c>
      <c r="Q257" t="inlineStr">
        <is>
          <t>Puste posprzątane</t>
        </is>
      </c>
    </row>
    <row r="258">
      <c r="A258" t="n">
        <v>257</v>
      </c>
      <c r="B258" s="3" t="n">
        <v>45448</v>
      </c>
      <c r="C258" t="inlineStr">
        <is>
          <t>28.06.20224</t>
        </is>
      </c>
      <c r="D258" t="inlineStr">
        <is>
          <t>https://gratka.pl/nieruchomosci/kawalerka-powstancow-wielkopolskich-lodz/oi/34800337</t>
        </is>
      </c>
      <c r="E258">
        <f>HYPERLINK("https://gratka.pl/nieruchomosci/kawalerka-powstancow-wielkopolskich-lodz/oi/34800337", "https://gratka.pl/nieruchomosci/kawalerka-powstancow-wielkopolskich-lodz/oi/34800337")</f>
        <v/>
      </c>
      <c r="F258" t="inlineStr">
        <is>
          <t>powstańców wielkopolskich</t>
        </is>
      </c>
      <c r="G258" t="inlineStr">
        <is>
          <t>Polesie</t>
        </is>
      </c>
      <c r="H258" t="inlineStr">
        <is>
          <t>Polesie</t>
        </is>
      </c>
      <c r="I258" t="inlineStr">
        <is>
          <t>TAK</t>
        </is>
      </c>
      <c r="J258" t="inlineStr">
        <is>
          <t>NIE</t>
        </is>
      </c>
      <c r="K258" t="n">
        <v>603464542</v>
      </c>
      <c r="L258" t="n">
        <v>239000</v>
      </c>
      <c r="M258" t="n">
        <v>7399.380804953561</v>
      </c>
      <c r="N258" t="n">
        <v>32.3</v>
      </c>
      <c r="O258" t="inlineStr">
        <is>
          <t>1+k</t>
        </is>
      </c>
      <c r="P258" t="n">
        <v>0</v>
      </c>
      <c r="Q258" t="inlineStr">
        <is>
          <t>Puste</t>
        </is>
      </c>
    </row>
    <row r="259">
      <c r="A259" t="n">
        <v>258</v>
      </c>
      <c r="B259" s="3" t="n">
        <v>45448</v>
      </c>
      <c r="D259" t="inlineStr">
        <is>
          <t>https://domy.pl/mieszkanie/lodz-gorna-tatrzanska-2-pokoje-312000-pln-45m2-sba/dol1741276345</t>
        </is>
      </c>
      <c r="E259">
        <f>HYPERLINK("https://domy.pl/mieszkanie/lodz-gorna-tatrzanska-2-pokoje-312000-pln-45m2-sba/dol1741276345", "https://domy.pl/mieszkanie/lodz-gorna-tatrzanska-2-pokoje-312000-pln-45m2-sba/dol1741276345")</f>
        <v/>
      </c>
      <c r="F259" t="inlineStr">
        <is>
          <t>tatrzańska</t>
        </is>
      </c>
      <c r="G259" t="inlineStr">
        <is>
          <t>Dąbrowa</t>
        </is>
      </c>
      <c r="H259" t="inlineStr">
        <is>
          <t>Dąbrowa</t>
        </is>
      </c>
      <c r="I259" t="inlineStr">
        <is>
          <t>NIE</t>
        </is>
      </c>
      <c r="J259" t="inlineStr">
        <is>
          <t>TAK</t>
        </is>
      </c>
      <c r="K259" t="n">
        <v>534039663</v>
      </c>
      <c r="L259" t="n">
        <v>312000</v>
      </c>
      <c r="M259" t="n">
        <v>6913.361400398848</v>
      </c>
      <c r="N259" t="n">
        <v>45.13</v>
      </c>
      <c r="O259" t="inlineStr">
        <is>
          <t>2+k</t>
        </is>
      </c>
      <c r="P259" t="n">
        <v>4</v>
      </c>
      <c r="Q259" t="inlineStr">
        <is>
          <t>Nie da się zamieszkać</t>
        </is>
      </c>
      <c r="R259" t="inlineStr">
        <is>
          <t xml:space="preserve">to nie dubel </t>
        </is>
      </c>
      <c r="T259" t="inlineStr">
        <is>
          <t>638</t>
        </is>
      </c>
    </row>
    <row r="260">
      <c r="A260" t="n">
        <v>259</v>
      </c>
      <c r="B260" s="3" t="n">
        <v>45449</v>
      </c>
      <c r="C260" s="3" t="n">
        <v>45467</v>
      </c>
      <c r="D260" t="inlineStr">
        <is>
          <t>https://www.otodom.pl/pl/oferta/retkinia-poludnie-3-pokoje-loggia-ID4qVAY.html</t>
        </is>
      </c>
      <c r="E260">
        <f>HYPERLINK("https://www.otodom.pl/pl/oferta/retkinia-poludnie-3-pokoje-loggia-ID4qVAY.html", "https://www.otodom.pl/pl/oferta/retkinia-poludnie-3-pokoje-loggia-ID4qVAY.html")</f>
        <v/>
      </c>
      <c r="F260" t="inlineStr">
        <is>
          <t>maratońska</t>
        </is>
      </c>
      <c r="G260" t="inlineStr">
        <is>
          <t>Retkinia</t>
        </is>
      </c>
      <c r="H260" t="inlineStr">
        <is>
          <t>Retkinia</t>
        </is>
      </c>
      <c r="I260" t="inlineStr">
        <is>
          <t>TAK</t>
        </is>
      </c>
      <c r="J260" t="inlineStr">
        <is>
          <t>TAK</t>
        </is>
      </c>
      <c r="K260" t="n">
        <v>519686981</v>
      </c>
      <c r="L260" t="n">
        <v>400000</v>
      </c>
      <c r="M260" t="n">
        <v>7547.169811320755</v>
      </c>
      <c r="N260" t="n">
        <v>53</v>
      </c>
      <c r="O260" t="inlineStr">
        <is>
          <t>3+k</t>
        </is>
      </c>
      <c r="P260" t="n">
        <v>3</v>
      </c>
      <c r="Q260" t="inlineStr">
        <is>
          <t>Nie da się zamieszkać</t>
        </is>
      </c>
      <c r="R260" t="inlineStr">
        <is>
          <t>to nie dubel</t>
        </is>
      </c>
      <c r="T260" t="inlineStr">
        <is>
          <t>753</t>
        </is>
      </c>
    </row>
    <row r="261">
      <c r="A261" t="n">
        <v>260</v>
      </c>
      <c r="B261" s="3" t="n">
        <v>45449</v>
      </c>
      <c r="C261" s="3" t="n">
        <v>45510</v>
      </c>
      <c r="D261" t="inlineStr">
        <is>
          <t>https://www.oferty.net/mieszkanie-na-sprzedaz-stanislawa-przybyszewskiego-lodz-47m2-2-pokoje-319000-pln-ba,1538911725</t>
        </is>
      </c>
      <c r="E261">
        <f>HYPERLINK("https://www.oferty.net/mieszkanie-na-sprzedaz-stanislawa-przybyszewskiego-lodz-47m2-2-pokoje-319000-pln-ba,1538911725", "https://www.oferty.net/mieszkanie-na-sprzedaz-stanislawa-przybyszewskiego-lodz-47m2-2-pokoje-319000-pln-ba,1538911725")</f>
        <v/>
      </c>
      <c r="F261" t="inlineStr">
        <is>
          <t>przybyszewskiego</t>
        </is>
      </c>
      <c r="G261" t="inlineStr">
        <is>
          <t>Dąbrowa</t>
        </is>
      </c>
      <c r="H261" t="inlineStr">
        <is>
          <t>Dąbrowa</t>
        </is>
      </c>
      <c r="I261" t="inlineStr">
        <is>
          <t>TAK</t>
        </is>
      </c>
      <c r="J261" t="inlineStr">
        <is>
          <t>TAK</t>
        </is>
      </c>
      <c r="K261" t="n">
        <v>500844149</v>
      </c>
      <c r="L261" t="n">
        <v>319000</v>
      </c>
      <c r="M261" t="n">
        <v>6790.123456790124</v>
      </c>
      <c r="N261" t="n">
        <v>46.98</v>
      </c>
      <c r="O261" t="inlineStr">
        <is>
          <t>2+k</t>
        </is>
      </c>
      <c r="P261" t="n">
        <v>1</v>
      </c>
      <c r="Q261" t="inlineStr">
        <is>
          <t>Nie da się zamieszkać</t>
        </is>
      </c>
    </row>
    <row r="262">
      <c r="A262" t="n">
        <v>261</v>
      </c>
      <c r="B262" s="3" t="n">
        <v>45449</v>
      </c>
      <c r="C262" s="3" t="n">
        <v>45548</v>
      </c>
      <c r="D262" t="inlineStr">
        <is>
          <t>https://www.otodom.pl/pl/oferta/m-3-retkinia-poludnie-niski-blok-ID4qVKq</t>
        </is>
      </c>
      <c r="E262">
        <f>HYPERLINK("https://www.otodom.pl/pl/oferta/m-3-retkinia-poludnie-niski-blok-ID4qVKq", "https://www.otodom.pl/pl/oferta/m-3-retkinia-poludnie-niski-blok-ID4qVKq")</f>
        <v/>
      </c>
      <c r="F262" t="inlineStr">
        <is>
          <t>maratońska</t>
        </is>
      </c>
      <c r="G262" t="inlineStr">
        <is>
          <t>Retkinia</t>
        </is>
      </c>
      <c r="H262" t="inlineStr">
        <is>
          <t>Retkinia</t>
        </is>
      </c>
      <c r="I262" t="inlineStr">
        <is>
          <t>TAK</t>
        </is>
      </c>
      <c r="J262" t="inlineStr">
        <is>
          <t>TAK</t>
        </is>
      </c>
      <c r="K262" t="n">
        <v>883120230</v>
      </c>
      <c r="L262" t="n">
        <v>335000</v>
      </c>
      <c r="M262" t="n">
        <v>7897.218293257897</v>
      </c>
      <c r="N262" t="n">
        <v>42.42</v>
      </c>
      <c r="O262" t="inlineStr">
        <is>
          <t>2+k</t>
        </is>
      </c>
      <c r="P262" t="n">
        <v>3</v>
      </c>
      <c r="Q262" t="inlineStr">
        <is>
          <t>Nie da się zamieszkać</t>
        </is>
      </c>
      <c r="R262" t="inlineStr">
        <is>
          <t>30.07 bīło 340k</t>
        </is>
      </c>
    </row>
    <row r="263">
      <c r="A263" t="n">
        <v>262</v>
      </c>
      <c r="B263" s="3" t="n">
        <v>45449</v>
      </c>
      <c r="C263" s="3" t="n">
        <v>45511</v>
      </c>
      <c r="D263" t="inlineStr">
        <is>
          <t>https://www.olx.pl/d/oferta/mieszkanie-z-pieknym-widokiem-na-10-pietrze-46m2-CID3-ID10uxIJ.html</t>
        </is>
      </c>
      <c r="E263">
        <f>HYPERLINK("https://www.olx.pl/d/oferta/mieszkanie-z-pieknym-widokiem-na-10-pietrze-46m2-CID3-ID10uxIJ.html", "https://www.olx.pl/d/oferta/mieszkanie-z-pieknym-widokiem-na-10-pietrze-46m2-CID3-ID10uxIJ.html")</f>
        <v/>
      </c>
      <c r="F263" t="inlineStr">
        <is>
          <t xml:space="preserve">adwentowicza 8 </t>
        </is>
      </c>
      <c r="G263" t="inlineStr">
        <is>
          <t>Widzew</t>
        </is>
      </c>
      <c r="H263" t="inlineStr">
        <is>
          <t>Widzew</t>
        </is>
      </c>
      <c r="I263" t="inlineStr">
        <is>
          <t>TAK</t>
        </is>
      </c>
      <c r="J263" t="inlineStr">
        <is>
          <t>NIE</t>
        </is>
      </c>
      <c r="K263" t="n">
        <v>662554519</v>
      </c>
      <c r="L263" t="n">
        <v>359999</v>
      </c>
      <c r="M263" t="n">
        <v>7820.96458831197</v>
      </c>
      <c r="N263" t="n">
        <v>46.03</v>
      </c>
      <c r="O263" t="inlineStr">
        <is>
          <t>2+k</t>
        </is>
      </c>
      <c r="P263" t="n">
        <v>10</v>
      </c>
      <c r="Q263" t="inlineStr">
        <is>
          <t>Puste posprzątane</t>
        </is>
      </c>
      <c r="R263" t="inlineStr">
        <is>
          <t>07.08 był telefon- nieaktualne</t>
        </is>
      </c>
    </row>
    <row r="264">
      <c r="A264" t="n">
        <v>263</v>
      </c>
      <c r="B264" s="3" t="n">
        <v>45450</v>
      </c>
      <c r="C264" t="inlineStr">
        <is>
          <t>28.06.20224</t>
        </is>
      </c>
      <c r="D264" t="inlineStr">
        <is>
          <t>https://www.olx.pl/d/oferta/m4-na-zarzewie-CID3-IDZ0c3W.html</t>
        </is>
      </c>
      <c r="E264">
        <f>HYPERLINK("https://www.olx.pl/d/oferta/m4-na-zarzewie-CID3-IDZ0c3W.html", "https://www.olx.pl/d/oferta/m4-na-zarzewie-CID3-IDZ0c3W.html")</f>
        <v/>
      </c>
      <c r="F264" t="inlineStr">
        <is>
          <t>zarzew</t>
        </is>
      </c>
      <c r="G264" t="inlineStr">
        <is>
          <t>Dąbrowa</t>
        </is>
      </c>
      <c r="H264" t="inlineStr">
        <is>
          <t>Dąbrowa</t>
        </is>
      </c>
      <c r="I264" t="inlineStr">
        <is>
          <t>TAK</t>
        </is>
      </c>
      <c r="J264" t="inlineStr">
        <is>
          <t>TAK</t>
        </is>
      </c>
      <c r="K264" t="n">
        <v>789258167</v>
      </c>
      <c r="L264" t="n">
        <v>329000</v>
      </c>
      <c r="M264" t="n">
        <v>6854.166666666667</v>
      </c>
      <c r="N264" t="n">
        <v>48</v>
      </c>
      <c r="O264" t="inlineStr">
        <is>
          <t>2+k</t>
        </is>
      </c>
      <c r="P264" t="n">
        <v>0</v>
      </c>
      <c r="Q264" t="inlineStr">
        <is>
          <t>Puste</t>
        </is>
      </c>
    </row>
    <row r="265">
      <c r="A265" t="n">
        <v>264</v>
      </c>
      <c r="B265" s="3" t="n">
        <v>45450</v>
      </c>
      <c r="C265" s="3" t="n">
        <v>45522</v>
      </c>
      <c r="D265" t="inlineStr">
        <is>
          <t>https://www.olx.pl/d/oferta/kawalerka-przy-kilinskiego-dabrowskiego-CID3-IDYhd00.html?isPreviewActive=0&amp;sliderIndex=4</t>
        </is>
      </c>
      <c r="E265">
        <f>HYPERLINK("https://www.olx.pl/d/oferta/kawalerka-przy-kilinskiego-dabrowskiego-CID3-IDYhd00.html?isPreviewActive=0&amp;sliderIndex=4", "https://www.olx.pl/d/oferta/kawalerka-przy-kilinskiego-dabrowskiego-CID3-IDYhd00.html?isPreviewActive=0&amp;sliderIndex=4")</f>
        <v/>
      </c>
      <c r="F265" t="inlineStr">
        <is>
          <t>kilinskiego</t>
        </is>
      </c>
      <c r="G265" t="inlineStr">
        <is>
          <t>Górna</t>
        </is>
      </c>
      <c r="H265" t="inlineStr">
        <is>
          <t>Górna blisko centrum</t>
        </is>
      </c>
      <c r="I265" t="inlineStr">
        <is>
          <t>TAK</t>
        </is>
      </c>
      <c r="J265" t="inlineStr">
        <is>
          <t>TAK</t>
        </is>
      </c>
      <c r="K265" t="n">
        <v>510266546</v>
      </c>
      <c r="L265" t="n">
        <v>198000</v>
      </c>
      <c r="M265" t="n">
        <v>7333.333333333333</v>
      </c>
      <c r="N265" t="n">
        <v>27</v>
      </c>
      <c r="O265" t="inlineStr">
        <is>
          <t>1+k</t>
        </is>
      </c>
      <c r="P265" t="n">
        <v>11</v>
      </c>
      <c r="Q265" t="inlineStr">
        <is>
          <t>Nie da się zamieszkać</t>
        </is>
      </c>
      <c r="R265" t="inlineStr">
        <is>
          <t>Było nie aktywne od 08.07 wróciło w czasie do 02.08</t>
        </is>
      </c>
    </row>
    <row r="266">
      <c r="A266" t="n">
        <v>265</v>
      </c>
      <c r="B266" s="3" t="n">
        <v>45450</v>
      </c>
      <c r="C266" s="3" t="n">
        <v>45481</v>
      </c>
      <c r="D266" t="inlineStr">
        <is>
          <t>https://www.olx.pl/d/oferta/m3-park-podolski-45-mkw-CID3-ID10uDkO.html</t>
        </is>
      </c>
      <c r="E266">
        <f>HYPERLINK("https://www.olx.pl/d/oferta/m3-park-podolski-45-mkw-CID3-ID10uDkO.html", "https://www.olx.pl/d/oferta/m3-park-podolski-45-mkw-CID3-ID10uDkO.html")</f>
        <v/>
      </c>
      <c r="F266" t="inlineStr">
        <is>
          <t>park podolskiego</t>
        </is>
      </c>
      <c r="G266" t="inlineStr">
        <is>
          <t>Dąbrowa</t>
        </is>
      </c>
      <c r="H266" t="inlineStr">
        <is>
          <t>Dąbrowa</t>
        </is>
      </c>
      <c r="I266" t="inlineStr">
        <is>
          <t>TAK</t>
        </is>
      </c>
      <c r="J266" t="inlineStr">
        <is>
          <t>TAK</t>
        </is>
      </c>
      <c r="K266" t="n">
        <v>797542793</v>
      </c>
      <c r="L266" t="n">
        <v>312000</v>
      </c>
      <c r="M266" t="n">
        <v>6933.333333333333</v>
      </c>
      <c r="N266" t="n">
        <v>45</v>
      </c>
      <c r="O266" t="inlineStr">
        <is>
          <t>2+k</t>
        </is>
      </c>
      <c r="P266" t="n">
        <v>3</v>
      </c>
      <c r="Q266" t="inlineStr">
        <is>
          <t>Nie da się zamieszkać</t>
        </is>
      </c>
    </row>
    <row r="267">
      <c r="A267" t="n">
        <v>266</v>
      </c>
      <c r="B267" s="3" t="n">
        <v>45450</v>
      </c>
      <c r="C267" s="3" t="n">
        <v>45532</v>
      </c>
      <c r="D267" t="inlineStr">
        <is>
          <t>https://gratka.pl/nieruchomosci/mieszkanie-lodz-baluty-ul-piwna/ob/34816833</t>
        </is>
      </c>
      <c r="E267">
        <f>HYPERLINK("https://gratka.pl/nieruchomosci/mieszkanie-lodz-baluty-ul-piwna/ob/34816833", "https://gratka.pl/nieruchomosci/mieszkanie-lodz-baluty-ul-piwna/ob/34816833")</f>
        <v/>
      </c>
      <c r="F267" t="inlineStr">
        <is>
          <t>piwna</t>
        </is>
      </c>
      <c r="G267" t="inlineStr">
        <is>
          <t>Bałuty</t>
        </is>
      </c>
      <c r="H267" t="inlineStr">
        <is>
          <t>Bałuty blisko centrum</t>
        </is>
      </c>
      <c r="I267" t="inlineStr">
        <is>
          <t>TAK</t>
        </is>
      </c>
      <c r="J267" t="inlineStr">
        <is>
          <t>TAK</t>
        </is>
      </c>
      <c r="K267" t="n">
        <v>795050156</v>
      </c>
      <c r="L267" t="n">
        <v>377000</v>
      </c>
      <c r="M267" t="n">
        <v>6893.399158895593</v>
      </c>
      <c r="N267" t="n">
        <v>54.69</v>
      </c>
      <c r="O267" t="inlineStr">
        <is>
          <t>2+k</t>
        </is>
      </c>
      <c r="P267" t="n">
        <v>2</v>
      </c>
      <c r="Q267" t="inlineStr">
        <is>
          <t>Da się zamieszkać</t>
        </is>
      </c>
    </row>
    <row r="268">
      <c r="A268" t="n">
        <v>267</v>
      </c>
      <c r="B268" s="3" t="n">
        <v>45450</v>
      </c>
      <c r="D268" t="inlineStr">
        <is>
          <t>https://www.otodom.pl/pl/oferta/duza-kawalerka-w-centrum-miasta-ID4qXfH.html</t>
        </is>
      </c>
      <c r="E268">
        <f>HYPERLINK("https://www.otodom.pl/pl/oferta/duza-kawalerka-w-centrum-miasta-ID4qXfH.html", "https://www.otodom.pl/pl/oferta/duza-kawalerka-w-centrum-miasta-ID4qXfH.html")</f>
        <v/>
      </c>
      <c r="F268" t="inlineStr">
        <is>
          <t xml:space="preserve">limanowskiego </t>
        </is>
      </c>
      <c r="G268" t="inlineStr">
        <is>
          <t>Bałuty</t>
        </is>
      </c>
      <c r="H268" t="inlineStr">
        <is>
          <t>Bałuty blisko centrum</t>
        </is>
      </c>
      <c r="I268" t="inlineStr">
        <is>
          <t>NIE</t>
        </is>
      </c>
      <c r="J268" t="inlineStr">
        <is>
          <t>TAK</t>
        </is>
      </c>
      <c r="K268" t="n">
        <v>787972126</v>
      </c>
      <c r="L268" t="n">
        <v>233000</v>
      </c>
      <c r="M268" t="n">
        <v>7871.621621621622</v>
      </c>
      <c r="N268" t="n">
        <v>29.6</v>
      </c>
      <c r="O268" t="inlineStr">
        <is>
          <t>2+k</t>
        </is>
      </c>
      <c r="P268" t="n">
        <v>2</v>
      </c>
      <c r="Q268" t="inlineStr">
        <is>
          <t>Nie da się zamieszkać</t>
        </is>
      </c>
      <c r="R268" t="inlineStr">
        <is>
          <t>02.07 było 245000 było niekatywne 0d nie wiem wróciło 13.09</t>
        </is>
      </c>
    </row>
    <row r="269">
      <c r="A269" t="n">
        <v>268</v>
      </c>
      <c r="B269" s="3" t="n">
        <v>45450</v>
      </c>
      <c r="D269" t="inlineStr">
        <is>
          <t>https://www.otodom.pl/pl/oferta/retkinia-rozkladowe-2-pokoje-1-pietro-winda-ID4qXeL.html</t>
        </is>
      </c>
      <c r="E269">
        <f>HYPERLINK("https://www.otodom.pl/pl/oferta/retkinia-rozkladowe-2-pokoje-1-pietro-winda-ID4qXeL.html", "https://www.otodom.pl/pl/oferta/retkinia-rozkladowe-2-pokoje-1-pietro-winda-ID4qXeL.html")</f>
        <v/>
      </c>
      <c r="F269" t="inlineStr">
        <is>
          <t>.</t>
        </is>
      </c>
      <c r="G269" t="inlineStr">
        <is>
          <t>Retkinia</t>
        </is>
      </c>
      <c r="H269" t="inlineStr">
        <is>
          <t>Retkinia</t>
        </is>
      </c>
      <c r="I269" t="inlineStr">
        <is>
          <t>NIE</t>
        </is>
      </c>
      <c r="J269" t="inlineStr">
        <is>
          <t>TAK</t>
        </is>
      </c>
      <c r="K269" t="n">
        <v>789635952</v>
      </c>
      <c r="L269" t="n">
        <v>349000</v>
      </c>
      <c r="M269" t="n">
        <v>6839.114246521654</v>
      </c>
      <c r="N269" t="n">
        <v>51.03</v>
      </c>
      <c r="O269" t="inlineStr">
        <is>
          <t>2+k</t>
        </is>
      </c>
      <c r="P269" t="n">
        <v>1</v>
      </c>
      <c r="Q269" t="inlineStr">
        <is>
          <t>Nie da się zamieszkać</t>
        </is>
      </c>
      <c r="R269" t="inlineStr">
        <is>
          <t>11.09, 345k klient daje jakiś, do końca tygodnia jak się nie sprzeda, to można negocjować, dzwonić po 20.09 sprawdzić</t>
        </is>
      </c>
    </row>
    <row r="270">
      <c r="A270" t="n">
        <v>269</v>
      </c>
      <c r="B270" s="3" t="n">
        <v>45450</v>
      </c>
      <c r="D270" t="inlineStr">
        <is>
          <t>https://www.otodom.pl/pl/oferta/m3-48-m2-baluty-do-remontu-ID4qXgc.html</t>
        </is>
      </c>
      <c r="E270">
        <f>HYPERLINK("https://www.otodom.pl/pl/oferta/m3-48-m2-baluty-do-remontu-ID4qXgc.html", "https://www.otodom.pl/pl/oferta/m3-48-m2-baluty-do-remontu-ID4qXgc.html")</f>
        <v/>
      </c>
      <c r="F270" t="inlineStr">
        <is>
          <t>bolesława prusa</t>
        </is>
      </c>
      <c r="G270" t="inlineStr">
        <is>
          <t>Bałuty</t>
        </is>
      </c>
      <c r="H270" t="inlineStr">
        <is>
          <t>Bałuty</t>
        </is>
      </c>
      <c r="I270" t="inlineStr">
        <is>
          <t>NIE</t>
        </is>
      </c>
      <c r="J270" t="inlineStr">
        <is>
          <t>TAK</t>
        </is>
      </c>
      <c r="K270" t="n">
        <v>505725238</v>
      </c>
      <c r="L270" t="n">
        <v>370000</v>
      </c>
      <c r="M270" t="n">
        <v>7580.413849620979</v>
      </c>
      <c r="N270" t="n">
        <v>48.81</v>
      </c>
      <c r="O270" t="inlineStr">
        <is>
          <t>2+k</t>
        </is>
      </c>
      <c r="P270" t="n">
        <v>4</v>
      </c>
      <c r="Q270" t="inlineStr">
        <is>
          <t>Nie da się zamieszkać</t>
        </is>
      </c>
      <c r="R270" t="inlineStr">
        <is>
          <t>Było nie aktywne od 24.07 wróciło w czasie do 02.08</t>
        </is>
      </c>
    </row>
    <row r="271">
      <c r="A271" t="n">
        <v>270</v>
      </c>
      <c r="B271" s="3" t="n">
        <v>45450</v>
      </c>
      <c r="C271" s="3" t="n">
        <v>45481</v>
      </c>
      <c r="D271" t="inlineStr">
        <is>
          <t>https://www.olx.pl/d/oferta/dwupokojowe-odswiezone-mieszkanie-na-i-pietrze-CID3-ID102xId.html</t>
        </is>
      </c>
      <c r="E271">
        <f>HYPERLINK("https://www.olx.pl/d/oferta/dwupokojowe-odswiezone-mieszkanie-na-i-pietrze-CID3-ID102xId.html", "https://www.olx.pl/d/oferta/dwupokojowe-odswiezone-mieszkanie-na-i-pietrze-CID3-ID102xId.html")</f>
        <v/>
      </c>
      <c r="F271" t="inlineStr">
        <is>
          <t>stadion widzew</t>
        </is>
      </c>
      <c r="G271" t="inlineStr">
        <is>
          <t>Widzew</t>
        </is>
      </c>
      <c r="H271" t="inlineStr">
        <is>
          <t>Widzew blisko centrum</t>
        </is>
      </c>
      <c r="I271" t="inlineStr">
        <is>
          <t>TAK</t>
        </is>
      </c>
      <c r="J271" t="inlineStr">
        <is>
          <t>TAK</t>
        </is>
      </c>
      <c r="K271" t="n">
        <v>797992957</v>
      </c>
      <c r="L271" t="n">
        <v>310000</v>
      </c>
      <c r="M271" t="n">
        <v>6864.481842338353</v>
      </c>
      <c r="N271" t="n">
        <v>45.16</v>
      </c>
      <c r="O271" t="inlineStr">
        <is>
          <t>2+k</t>
        </is>
      </c>
      <c r="P271" t="n">
        <v>1</v>
      </c>
      <c r="Q271" t="inlineStr">
        <is>
          <t>Puste posprzątane i odświeżone</t>
        </is>
      </c>
    </row>
    <row r="272">
      <c r="A272" t="n">
        <v>271</v>
      </c>
      <c r="B272" s="3" t="n">
        <v>45450</v>
      </c>
      <c r="C272" s="3" t="n">
        <v>45548</v>
      </c>
      <c r="D272" t="inlineStr">
        <is>
          <t>https://www.otodom.pl/pl/oferta/mieszkanie-na-teofilowie-idealne-na-flipa-ID4qXFF.html</t>
        </is>
      </c>
      <c r="E272">
        <f>HYPERLINK("https://www.otodom.pl/pl/oferta/mieszkanie-na-teofilowie-idealne-na-flipa-ID4qXFF.html", "https://www.otodom.pl/pl/oferta/mieszkanie-na-teofilowie-idealne-na-flipa-ID4qXFF.html")</f>
        <v/>
      </c>
      <c r="F272" t="inlineStr">
        <is>
          <t>traktorowa</t>
        </is>
      </c>
      <c r="G272" t="inlineStr">
        <is>
          <t>Teofilów</t>
        </is>
      </c>
      <c r="H272" t="inlineStr">
        <is>
          <t>Teofilów</t>
        </is>
      </c>
      <c r="I272" t="inlineStr">
        <is>
          <t>TAK</t>
        </is>
      </c>
      <c r="J272" t="inlineStr">
        <is>
          <t>TAK</t>
        </is>
      </c>
      <c r="K272" t="n">
        <v>784777489</v>
      </c>
      <c r="L272" t="n">
        <v>315000</v>
      </c>
      <c r="M272" t="n">
        <v>6979.836029248836</v>
      </c>
      <c r="N272" t="n">
        <v>45.13</v>
      </c>
      <c r="O272" t="inlineStr">
        <is>
          <t>2+k</t>
        </is>
      </c>
      <c r="P272" t="n">
        <v>3</v>
      </c>
      <c r="Q272" t="inlineStr">
        <is>
          <t>Puste posprzątane</t>
        </is>
      </c>
    </row>
    <row r="273">
      <c r="A273" t="n">
        <v>272</v>
      </c>
      <c r="B273" s="3" t="n">
        <v>45450</v>
      </c>
      <c r="C273" t="inlineStr">
        <is>
          <t>28.06.20224</t>
        </is>
      </c>
      <c r="D273" t="inlineStr">
        <is>
          <t>https://www.otodom.pl/pl/oferta/oferujemy-rozkladowe-3-pokojowe-mieszkanie-53-m2-ID4qXJX.html</t>
        </is>
      </c>
      <c r="E273">
        <f>HYPERLINK("https://www.otodom.pl/pl/oferta/oferujemy-rozkladowe-3-pokojowe-mieszkanie-53-m2-ID4qXJX.html", "https://www.otodom.pl/pl/oferta/oferujemy-rozkladowe-3-pokojowe-mieszkanie-53-m2-ID4qXJX.html")</f>
        <v/>
      </c>
      <c r="F273" t="inlineStr">
        <is>
          <t>popiełuszki</t>
        </is>
      </c>
      <c r="G273" t="inlineStr">
        <is>
          <t>Retkinia</t>
        </is>
      </c>
      <c r="H273" t="inlineStr">
        <is>
          <t>Retkinia</t>
        </is>
      </c>
      <c r="I273" t="inlineStr">
        <is>
          <t>TAK</t>
        </is>
      </c>
      <c r="J273" t="inlineStr">
        <is>
          <t>TAK</t>
        </is>
      </c>
      <c r="K273" t="n">
        <v>728334015</v>
      </c>
      <c r="L273" t="n">
        <v>416000</v>
      </c>
      <c r="M273" t="n">
        <v>7849.056603773585</v>
      </c>
      <c r="N273" t="n">
        <v>53</v>
      </c>
      <c r="O273" t="inlineStr">
        <is>
          <t>3+k</t>
        </is>
      </c>
      <c r="P273" t="n">
        <v>1</v>
      </c>
      <c r="Q273" t="inlineStr">
        <is>
          <t>Nie da się zamieszkać</t>
        </is>
      </c>
    </row>
    <row r="274">
      <c r="A274" t="n">
        <v>273</v>
      </c>
      <c r="B274" s="3" t="n">
        <v>45450</v>
      </c>
      <c r="C274" t="inlineStr">
        <is>
          <t>28.06.20224</t>
        </is>
      </c>
      <c r="D274" t="inlineStr">
        <is>
          <t>https://adresowo.pl/o/l1w4n1</t>
        </is>
      </c>
      <c r="E274">
        <f>HYPERLINK("https://adresowo.pl/o/l1w4n1", "https://adresowo.pl/o/l1w4n1")</f>
        <v/>
      </c>
      <c r="F274" t="inlineStr">
        <is>
          <t>.</t>
        </is>
      </c>
      <c r="G274" t="inlineStr">
        <is>
          <t>Teofilów</t>
        </is>
      </c>
      <c r="H274" t="inlineStr">
        <is>
          <t>Teofilów</t>
        </is>
      </c>
      <c r="I274" t="inlineStr">
        <is>
          <t>TAK</t>
        </is>
      </c>
      <c r="J274" t="inlineStr">
        <is>
          <t>TAK</t>
        </is>
      </c>
      <c r="L274" t="n">
        <v>330000</v>
      </c>
      <c r="M274" t="n">
        <v>6111.111111111111</v>
      </c>
      <c r="N274" t="n">
        <v>54</v>
      </c>
      <c r="O274" t="inlineStr">
        <is>
          <t>3+k</t>
        </is>
      </c>
      <c r="P274" t="n">
        <v>2</v>
      </c>
      <c r="Q274" t="inlineStr">
        <is>
          <t>Nie da się zamieszkać</t>
        </is>
      </c>
    </row>
    <row r="275">
      <c r="A275" t="n">
        <v>274</v>
      </c>
      <c r="B275" s="3" t="n">
        <v>45450</v>
      </c>
      <c r="C275" s="3" t="n">
        <v>45475</v>
      </c>
      <c r="D275" t="inlineStr">
        <is>
          <t>https://www.olx.pl/d/oferta/sprzedam-mieszkanie-lodz-ul-pojezierska-28-CID3-ID10woYs.html</t>
        </is>
      </c>
      <c r="E275">
        <f>HYPERLINK("https://www.olx.pl/d/oferta/sprzedam-mieszkanie-lodz-ul-pojezierska-28-CID3-ID10woYs.html", "https://www.olx.pl/d/oferta/sprzedam-mieszkanie-lodz-ul-pojezierska-28-CID3-ID10woYs.html")</f>
        <v/>
      </c>
      <c r="F275" t="inlineStr">
        <is>
          <t>pojezierska 28</t>
        </is>
      </c>
      <c r="G275" t="inlineStr">
        <is>
          <t>Bałuty</t>
        </is>
      </c>
      <c r="H275" t="inlineStr">
        <is>
          <t>Bałuty</t>
        </is>
      </c>
      <c r="I275" t="inlineStr">
        <is>
          <t>TAK</t>
        </is>
      </c>
      <c r="J275" t="inlineStr">
        <is>
          <t>TAK</t>
        </is>
      </c>
      <c r="K275" t="n">
        <v>783652395</v>
      </c>
      <c r="L275" t="n">
        <v>280000</v>
      </c>
      <c r="M275" t="n">
        <v>6208.425720620842</v>
      </c>
      <c r="N275" t="n">
        <v>45.1</v>
      </c>
      <c r="O275" t="inlineStr">
        <is>
          <t>2+k</t>
        </is>
      </c>
      <c r="P275" t="n">
        <v>3</v>
      </c>
      <c r="Q275" t="inlineStr">
        <is>
          <t>Puste posprzątane</t>
        </is>
      </c>
    </row>
    <row r="276">
      <c r="A276" t="n">
        <v>275</v>
      </c>
      <c r="B276" s="3" t="n">
        <v>45450</v>
      </c>
      <c r="D276" t="inlineStr">
        <is>
          <t>https://www.olx.pl/d/oferta/sprzedam-mieszkanie-3-pokoje-rozkladowe-chojny-CID3-ID11Hxat.html</t>
        </is>
      </c>
      <c r="E276">
        <f>HYPERLINK("https://www.olx.pl/d/oferta/sprzedam-mieszkanie-3-pokoje-rozkladowe-chojny-CID3-ID11Hxat.html", "https://www.olx.pl/d/oferta/sprzedam-mieszkanie-3-pokoje-rozkladowe-chojny-CID3-ID11Hxat.html")</f>
        <v/>
      </c>
      <c r="F276" t="inlineStr">
        <is>
          <t>malczewskiego</t>
        </is>
      </c>
      <c r="G276" t="inlineStr">
        <is>
          <t>Górna</t>
        </is>
      </c>
      <c r="H276" t="inlineStr">
        <is>
          <t>Daleka górna</t>
        </is>
      </c>
      <c r="I276" t="inlineStr">
        <is>
          <t>NIE</t>
        </is>
      </c>
      <c r="J276" t="inlineStr">
        <is>
          <t>TAK</t>
        </is>
      </c>
      <c r="K276" t="n">
        <v>604098104</v>
      </c>
      <c r="L276" t="n">
        <v>389000</v>
      </c>
      <c r="M276" t="n">
        <v>7163.90423572744</v>
      </c>
      <c r="N276" t="n">
        <v>54.3</v>
      </c>
      <c r="O276" t="inlineStr">
        <is>
          <t>3+k</t>
        </is>
      </c>
      <c r="P276" t="n">
        <v>3</v>
      </c>
      <c r="Q276" t="inlineStr">
        <is>
          <t>Puste posprzątane</t>
        </is>
      </c>
      <c r="R276" t="inlineStr">
        <is>
          <t>Było nie aktywne od 08.07 wróciło w czasie do 02.08 .</t>
        </is>
      </c>
    </row>
    <row r="277">
      <c r="A277" t="n">
        <v>276</v>
      </c>
      <c r="B277" s="3" t="n">
        <v>45450</v>
      </c>
      <c r="C277" s="3" t="n">
        <v>45532</v>
      </c>
      <c r="D277" t="inlineStr">
        <is>
          <t>https://adresowo.pl/o/v8d3t1</t>
        </is>
      </c>
      <c r="E277">
        <f>HYPERLINK("https://adresowo.pl/o/v8d3t1", "https://adresowo.pl/o/v8d3t1")</f>
        <v/>
      </c>
      <c r="F277" t="inlineStr">
        <is>
          <t>mochnackiego</t>
        </is>
      </c>
      <c r="G277" t="inlineStr">
        <is>
          <t>Górna</t>
        </is>
      </c>
      <c r="H277" t="inlineStr">
        <is>
          <t>Górna</t>
        </is>
      </c>
      <c r="I277" t="inlineStr">
        <is>
          <t>TAK</t>
        </is>
      </c>
      <c r="J277" t="inlineStr">
        <is>
          <t>TAK</t>
        </is>
      </c>
      <c r="L277" t="n">
        <v>379000</v>
      </c>
      <c r="M277" t="n">
        <v>6890.909090909091</v>
      </c>
      <c r="N277" t="n">
        <v>55</v>
      </c>
      <c r="O277" t="inlineStr">
        <is>
          <t>3+k</t>
        </is>
      </c>
      <c r="P277" t="n">
        <v>7</v>
      </c>
      <c r="Q277" t="inlineStr">
        <is>
          <t>Da się zamieszkać</t>
        </is>
      </c>
    </row>
    <row r="278">
      <c r="A278" t="n">
        <v>277</v>
      </c>
      <c r="B278" s="3" t="n">
        <v>45451</v>
      </c>
      <c r="C278" s="3" t="n">
        <v>45467</v>
      </c>
      <c r="D278" t="inlineStr">
        <is>
          <t>https://www.olx.pl/d/oferta/3-pokojowe-z-balkonem-na-retkini-do-remontu-CID3-ID10vx9p.html?isPreviewActive=0&amp;sliderIndex=6</t>
        </is>
      </c>
      <c r="E278">
        <f>HYPERLINK("https://www.olx.pl/d/oferta/3-pokojowe-z-balkonem-na-retkini-do-remontu-CID3-ID10vx9p.html?isPreviewActive=0&amp;sliderIndex=6", "https://www.olx.pl/d/oferta/3-pokojowe-z-balkonem-na-retkini-do-remontu-CID3-ID10vx9p.html?isPreviewActive=0&amp;sliderIndex=6")</f>
        <v/>
      </c>
      <c r="F278" t="inlineStr">
        <is>
          <t>wyszyńskiego</t>
        </is>
      </c>
      <c r="G278" t="inlineStr">
        <is>
          <t>Retkinia</t>
        </is>
      </c>
      <c r="H278" t="inlineStr">
        <is>
          <t>Retkinia</t>
        </is>
      </c>
      <c r="I278" t="inlineStr">
        <is>
          <t>TAK</t>
        </is>
      </c>
      <c r="J278" t="inlineStr">
        <is>
          <t>NIE</t>
        </is>
      </c>
      <c r="K278" t="n">
        <v>504324022</v>
      </c>
      <c r="L278" t="n">
        <v>340000</v>
      </c>
      <c r="M278" t="n">
        <v>6418.72758164999</v>
      </c>
      <c r="N278" t="n">
        <v>52.97</v>
      </c>
      <c r="O278" t="inlineStr">
        <is>
          <t>3+k</t>
        </is>
      </c>
      <c r="P278" t="n">
        <v>3</v>
      </c>
      <c r="Q278" t="inlineStr">
        <is>
          <t>Puste</t>
        </is>
      </c>
    </row>
    <row r="279">
      <c r="A279" t="n">
        <v>278</v>
      </c>
      <c r="B279" s="3" t="n">
        <v>45451</v>
      </c>
      <c r="C279" s="3" t="n">
        <v>45481</v>
      </c>
      <c r="D279" t="inlineStr">
        <is>
          <t>https://www.olx.pl/d/oferta/bezposrednio-2-pokoje-ul-olsztynska-CID3-IDZUBuE.html?isPreviewActive=0&amp;sliderIndex=3</t>
        </is>
      </c>
      <c r="E279">
        <f>HYPERLINK("https://www.olx.pl/d/oferta/bezposrednio-2-pokoje-ul-olsztynska-CID3-IDZUBuE.html?isPreviewActive=0&amp;sliderIndex=3", "https://www.olx.pl/d/oferta/bezposrednio-2-pokoje-ul-olsztynska-CID3-IDZUBuE.html?isPreviewActive=0&amp;sliderIndex=3")</f>
        <v/>
      </c>
      <c r="F279" t="inlineStr">
        <is>
          <t>olsztynska</t>
        </is>
      </c>
      <c r="G279" t="inlineStr">
        <is>
          <t>Bałuty</t>
        </is>
      </c>
      <c r="H279" t="inlineStr">
        <is>
          <t>Bałuty</t>
        </is>
      </c>
      <c r="I279" t="inlineStr">
        <is>
          <t>TAK</t>
        </is>
      </c>
      <c r="J279" t="inlineStr">
        <is>
          <t>NIE</t>
        </is>
      </c>
      <c r="K279" t="n">
        <v>600759565</v>
      </c>
      <c r="L279" t="n">
        <v>310000</v>
      </c>
      <c r="M279" t="n">
        <v>6869.044981165522</v>
      </c>
      <c r="N279" t="n">
        <v>45.13</v>
      </c>
      <c r="O279" t="inlineStr">
        <is>
          <t>2+k</t>
        </is>
      </c>
      <c r="P279" t="n">
        <v>2</v>
      </c>
      <c r="Q279" t="inlineStr">
        <is>
          <t>Nie da się zamieszkać</t>
        </is>
      </c>
      <c r="R279" t="inlineStr">
        <is>
          <t xml:space="preserve">sprzedane 310k </t>
        </is>
      </c>
    </row>
    <row r="280">
      <c r="A280" t="n">
        <v>279</v>
      </c>
      <c r="B280" s="3" t="n">
        <v>45451</v>
      </c>
      <c r="C280" s="3" t="n">
        <v>45522</v>
      </c>
      <c r="D280" t="inlineStr">
        <is>
          <t>https://adresowo.pl/o/i8c3i1</t>
        </is>
      </c>
      <c r="E280">
        <f>HYPERLINK("https://adresowo.pl/o/i8c3i1", "https://adresowo.pl/o/i8c3i1")</f>
        <v/>
      </c>
      <c r="F280" t="inlineStr">
        <is>
          <t>babickiego</t>
        </is>
      </c>
      <c r="G280" t="inlineStr">
        <is>
          <t>Retkinia</t>
        </is>
      </c>
      <c r="H280" t="inlineStr">
        <is>
          <t>Retkinia</t>
        </is>
      </c>
      <c r="I280" t="inlineStr">
        <is>
          <t>TAK</t>
        </is>
      </c>
      <c r="J280" t="inlineStr">
        <is>
          <t>NIE</t>
        </is>
      </c>
      <c r="L280" t="n">
        <v>460000</v>
      </c>
      <c r="M280" t="n">
        <v>8196.72131147541</v>
      </c>
      <c r="N280" t="n">
        <v>56.12</v>
      </c>
      <c r="O280" t="inlineStr">
        <is>
          <t>3+k</t>
        </is>
      </c>
      <c r="P280" t="n">
        <v>1</v>
      </c>
      <c r="Q280" t="inlineStr">
        <is>
          <t>Nie da się zamieszkać</t>
        </is>
      </c>
    </row>
    <row r="281">
      <c r="A281" t="n">
        <v>280</v>
      </c>
      <c r="B281" s="3" t="n">
        <v>45451</v>
      </c>
      <c r="C281" s="3" t="n">
        <v>45467</v>
      </c>
      <c r="D281" t="inlineStr">
        <is>
          <t>https://nieruchomosci.gratka.pl/nieruchomosci/mieszkanie-lodz-baluty-al-wojska-polskiego/ob/34836879</t>
        </is>
      </c>
      <c r="E281">
        <f>HYPERLINK("https://nieruchomosci.gratka.pl/nieruchomosci/mieszkanie-lodz-baluty-al-wojska-polskiego/ob/34836879", "https://nieruchomosci.gratka.pl/nieruchomosci/mieszkanie-lodz-baluty-al-wojska-polskiego/ob/34836879")</f>
        <v/>
      </c>
      <c r="F281" t="inlineStr">
        <is>
          <t>wojska polskiego</t>
        </is>
      </c>
      <c r="G281" t="inlineStr">
        <is>
          <t>Bałuty</t>
        </is>
      </c>
      <c r="H281" t="inlineStr">
        <is>
          <t>Bałuty blisko centrum</t>
        </is>
      </c>
      <c r="I281" t="inlineStr">
        <is>
          <t>TAK</t>
        </is>
      </c>
      <c r="J281" t="inlineStr">
        <is>
          <t>TAK</t>
        </is>
      </c>
      <c r="K281" t="n">
        <v>577409555</v>
      </c>
      <c r="L281" t="n">
        <v>299000</v>
      </c>
      <c r="M281" t="n">
        <v>6953.488372093023</v>
      </c>
      <c r="N281" t="n">
        <v>43</v>
      </c>
      <c r="O281" t="inlineStr">
        <is>
          <t>2+k</t>
        </is>
      </c>
      <c r="P281" t="n">
        <v>3</v>
      </c>
      <c r="Q281" t="inlineStr">
        <is>
          <t>Puste posprzątane i odświeżone</t>
        </is>
      </c>
      <c r="R281" t="inlineStr">
        <is>
          <t>sprzedane za 299k</t>
        </is>
      </c>
    </row>
    <row r="282">
      <c r="A282" t="n">
        <v>281</v>
      </c>
      <c r="B282" s="3" t="n">
        <v>45451</v>
      </c>
      <c r="C282" s="3" t="n">
        <v>45522</v>
      </c>
      <c r="D282" t="inlineStr">
        <is>
          <t>https://www.otodom.pl/pl/oferta/m-3-44m2-dabrowa-pelny-rozklad-balkon-ID4rnFn</t>
        </is>
      </c>
      <c r="E282">
        <f>HYPERLINK("https://www.otodom.pl/pl/oferta/m-3-44m2-dabrowa-pelny-rozklad-balkon-ID4rnFn", "https://www.otodom.pl/pl/oferta/m-3-44m2-dabrowa-pelny-rozklad-balkon-ID4rnFn")</f>
        <v/>
      </c>
      <c r="F282" t="inlineStr">
        <is>
          <t>Konspiracyjnego Wojska Polskiego</t>
        </is>
      </c>
      <c r="G282" t="inlineStr">
        <is>
          <t>Dąbrowa</t>
        </is>
      </c>
      <c r="H282" t="inlineStr">
        <is>
          <t>Dąbrowa</t>
        </is>
      </c>
      <c r="I282" t="inlineStr">
        <is>
          <t>TAK</t>
        </is>
      </c>
      <c r="J282" t="inlineStr">
        <is>
          <t>TAK</t>
        </is>
      </c>
      <c r="K282" t="n">
        <v>668699393</v>
      </c>
      <c r="L282" t="n">
        <v>299000</v>
      </c>
      <c r="M282" t="n">
        <v>6795.454545454545</v>
      </c>
      <c r="N282" t="n">
        <v>44</v>
      </c>
      <c r="O282" t="inlineStr">
        <is>
          <t>2+k</t>
        </is>
      </c>
      <c r="P282" t="n">
        <v>8</v>
      </c>
      <c r="Q282" t="inlineStr">
        <is>
          <t>Nie da się zamieszkać</t>
        </is>
      </c>
      <c r="R282" t="inlineStr">
        <is>
          <t>02.07 było 3200000. Kontakt 08.07 minimalna cena włąsciciela 290k niżej nie zejdzie</t>
        </is>
      </c>
    </row>
    <row r="283">
      <c r="A283" t="n">
        <v>282</v>
      </c>
      <c r="B283" s="3" t="n">
        <v>45453</v>
      </c>
      <c r="C283" s="3" t="n">
        <v>45522</v>
      </c>
      <c r="D283" t="inlineStr">
        <is>
          <t>https://nieruchomosci.gratka.pl/nieruchomosci/mieszkanie-lodz-polesie-kpt-stefana-pogonowskiego/ob/34840037</t>
        </is>
      </c>
      <c r="E283">
        <f>HYPERLINK("https://nieruchomosci.gratka.pl/nieruchomosci/mieszkanie-lodz-polesie-kpt-stefana-pogonowskiego/ob/34840037", "https://nieruchomosci.gratka.pl/nieruchomosci/mieszkanie-lodz-polesie-kpt-stefana-pogonowskiego/ob/34840037")</f>
        <v/>
      </c>
      <c r="F283" t="inlineStr">
        <is>
          <t>pogonowskiego</t>
        </is>
      </c>
      <c r="G283" t="inlineStr">
        <is>
          <t>Polesie</t>
        </is>
      </c>
      <c r="H283" t="inlineStr">
        <is>
          <t>Polesie</t>
        </is>
      </c>
      <c r="I283" t="inlineStr">
        <is>
          <t>TAK</t>
        </is>
      </c>
      <c r="J283" t="inlineStr">
        <is>
          <t>TAK</t>
        </is>
      </c>
      <c r="K283" t="n">
        <v>600402442</v>
      </c>
      <c r="L283" t="n">
        <v>316000</v>
      </c>
      <c r="M283" t="n">
        <v>6991.150442477876</v>
      </c>
      <c r="N283" t="n">
        <v>45.2</v>
      </c>
      <c r="O283" t="inlineStr">
        <is>
          <t>2+k</t>
        </is>
      </c>
      <c r="P283" t="n">
        <v>0</v>
      </c>
      <c r="Q283" t="inlineStr">
        <is>
          <t>Nie da się zamieszkać</t>
        </is>
      </c>
      <c r="R283" t="inlineStr">
        <is>
          <t>24.07 było 333k</t>
        </is>
      </c>
    </row>
    <row r="284">
      <c r="A284" t="n">
        <v>283</v>
      </c>
      <c r="B284" s="3" t="n">
        <v>45453</v>
      </c>
      <c r="C284" s="3" t="n">
        <v>45481</v>
      </c>
      <c r="D284" t="inlineStr">
        <is>
          <t>https://www.olx.pl/d/oferta/kawalerka-28-58m2-dabrowa-parter-blok-CID3-ID10wpt2.html?isPreviewActive=0&amp;sliderIndex=6</t>
        </is>
      </c>
      <c r="E284">
        <f>HYPERLINK("https://www.olx.pl/d/oferta/kawalerka-28-58m2-dabrowa-parter-blok-CID3-ID10wpt2.html?isPreviewActive=0&amp;sliderIndex=6", "https://www.olx.pl/d/oferta/kawalerka-28-58m2-dabrowa-parter-blok-CID3-ID10wpt2.html?isPreviewActive=0&amp;sliderIndex=6")</f>
        <v/>
      </c>
      <c r="F284" t="inlineStr">
        <is>
          <t>kossaka 18</t>
        </is>
      </c>
      <c r="G284" t="inlineStr">
        <is>
          <t>Dąbrowa</t>
        </is>
      </c>
      <c r="H284" t="inlineStr">
        <is>
          <t>Dąbrowa</t>
        </is>
      </c>
      <c r="I284" t="inlineStr">
        <is>
          <t>TAK</t>
        </is>
      </c>
      <c r="J284" t="inlineStr">
        <is>
          <t>NIE</t>
        </is>
      </c>
      <c r="K284" t="n">
        <v>669422289</v>
      </c>
      <c r="L284" t="n">
        <v>214000</v>
      </c>
      <c r="M284" t="n">
        <v>7487.753673897832</v>
      </c>
      <c r="N284" t="n">
        <v>28.58</v>
      </c>
      <c r="O284" t="inlineStr">
        <is>
          <t>1+k</t>
        </is>
      </c>
      <c r="P284" t="n">
        <v>0</v>
      </c>
      <c r="Q284" t="inlineStr">
        <is>
          <t>Puste posprzątane</t>
        </is>
      </c>
    </row>
    <row r="285">
      <c r="A285" t="n">
        <v>284</v>
      </c>
      <c r="B285" s="3" t="n">
        <v>45453</v>
      </c>
      <c r="D285" t="inlineStr">
        <is>
          <t>https://www.otodom.pl/pl/oferta/2-pokoje-rozkladowe-z-balkonem-teofilow-ID4soJZ</t>
        </is>
      </c>
      <c r="E285">
        <f>HYPERLINK("https://www.otodom.pl/pl/oferta/2-pokoje-rozkladowe-z-balkonem-teofilow-ID4soJZ", "https://www.otodom.pl/pl/oferta/2-pokoje-rozkladowe-z-balkonem-teofilow-ID4soJZ")</f>
        <v/>
      </c>
      <c r="F285" t="inlineStr">
        <is>
          <t>traktorowa</t>
        </is>
      </c>
      <c r="G285" t="inlineStr">
        <is>
          <t>Teofilów</t>
        </is>
      </c>
      <c r="H285" t="inlineStr">
        <is>
          <t>Teofilów</t>
        </is>
      </c>
      <c r="I285" t="inlineStr">
        <is>
          <t>NIE</t>
        </is>
      </c>
      <c r="J285" t="inlineStr">
        <is>
          <t>NIE</t>
        </is>
      </c>
      <c r="K285" t="n">
        <v>732850316</v>
      </c>
      <c r="L285" t="n">
        <v>295000</v>
      </c>
      <c r="M285" t="n">
        <v>6512.141280353201</v>
      </c>
      <c r="N285" t="n">
        <v>45.3</v>
      </c>
      <c r="O285" t="inlineStr">
        <is>
          <t>2+k</t>
        </is>
      </c>
      <c r="P285" t="n">
        <v>3</v>
      </c>
      <c r="Q285" t="inlineStr">
        <is>
          <t>Nie da się zamieszkać</t>
        </is>
      </c>
      <c r="R285" t="inlineStr">
        <is>
          <t>Dziwna pani, kontakt 10.07 miała oddzwonić, za tydz można spróbować znowu. Przekierowała do Posrednika, pośrednik powiedział że minimalna cena to 290.</t>
        </is>
      </c>
    </row>
    <row r="286">
      <c r="A286" t="n">
        <v>285</v>
      </c>
      <c r="B286" s="3" t="n">
        <v>45453</v>
      </c>
      <c r="D286" t="inlineStr">
        <is>
          <t>https://adresowo.pl/o/a0n6o7</t>
        </is>
      </c>
      <c r="E286">
        <f>HYPERLINK("https://adresowo.pl/o/a0n6o7", "https://adresowo.pl/o/a0n6o7")</f>
        <v/>
      </c>
      <c r="F286" t="inlineStr">
        <is>
          <t>wiklinowa</t>
        </is>
      </c>
      <c r="G286" t="inlineStr">
        <is>
          <t>Bałuty</t>
        </is>
      </c>
      <c r="H286" t="inlineStr">
        <is>
          <t>Dalekie bałuty</t>
        </is>
      </c>
      <c r="I286" t="inlineStr">
        <is>
          <t>NIE</t>
        </is>
      </c>
      <c r="J286" t="inlineStr">
        <is>
          <t>NIE</t>
        </is>
      </c>
      <c r="L286" t="n">
        <v>430000</v>
      </c>
      <c r="M286" t="n">
        <v>8113.207547169812</v>
      </c>
      <c r="N286" t="n">
        <v>53</v>
      </c>
      <c r="O286" t="inlineStr">
        <is>
          <t>3+k</t>
        </is>
      </c>
      <c r="P286" t="n">
        <v>1</v>
      </c>
      <c r="Q286" t="inlineStr">
        <is>
          <t>Nie da się zamieszkać</t>
        </is>
      </c>
    </row>
    <row r="287">
      <c r="A287" t="n">
        <v>286</v>
      </c>
      <c r="B287" s="3" t="n">
        <v>45453</v>
      </c>
      <c r="D287" t="inlineStr">
        <is>
          <t>https://www.otodom.pl/pl/oferta/mieszkanie-z-balkonem-na-retkini-ID4qSyL.html</t>
        </is>
      </c>
      <c r="E287">
        <f>HYPERLINK("https://www.otodom.pl/pl/oferta/mieszkanie-z-balkonem-na-retkini-ID4qSyL.html", "https://www.otodom.pl/pl/oferta/mieszkanie-z-balkonem-na-retkini-ID4qSyL.html")</f>
        <v/>
      </c>
      <c r="F287" t="inlineStr">
        <is>
          <t>wileńska</t>
        </is>
      </c>
      <c r="G287" t="inlineStr">
        <is>
          <t>Retkinia</t>
        </is>
      </c>
      <c r="H287" t="inlineStr">
        <is>
          <t>Retkinia blisko centrum</t>
        </is>
      </c>
      <c r="I287" t="inlineStr">
        <is>
          <t>NIE</t>
        </is>
      </c>
      <c r="J287" t="inlineStr">
        <is>
          <t>TAK</t>
        </is>
      </c>
      <c r="K287" t="n">
        <v>693111133</v>
      </c>
      <c r="L287" t="n">
        <v>299000</v>
      </c>
      <c r="M287" t="n">
        <v>7203.083594314623</v>
      </c>
      <c r="N287" t="n">
        <v>41.51</v>
      </c>
      <c r="O287" t="inlineStr">
        <is>
          <t>2+k</t>
        </is>
      </c>
      <c r="P287" t="n">
        <v>3</v>
      </c>
      <c r="Q287" t="inlineStr">
        <is>
          <t>Nie da się zamieszkać</t>
        </is>
      </c>
      <c r="R287" t="inlineStr">
        <is>
          <t>22.07 było 315k</t>
        </is>
      </c>
    </row>
    <row r="288">
      <c r="A288" t="n">
        <v>287</v>
      </c>
      <c r="B288" s="3" t="n">
        <v>45453</v>
      </c>
      <c r="C288" s="3" t="n">
        <v>45487</v>
      </c>
      <c r="D288" t="inlineStr">
        <is>
          <t>https://www.olx.pl/d/oferta/mieszkanie-m3-lodz-koziny-CID3-ID10yiaz.html</t>
        </is>
      </c>
      <c r="E288">
        <f>HYPERLINK("https://www.olx.pl/d/oferta/mieszkanie-m3-lodz-koziny-CID3-ID10yiaz.html", "https://www.olx.pl/d/oferta/mieszkanie-m3-lodz-koziny-CID3-ID10yiaz.html")</f>
        <v/>
      </c>
      <c r="F288" t="inlineStr">
        <is>
          <t>koziny</t>
        </is>
      </c>
      <c r="G288" t="inlineStr">
        <is>
          <t>Polesie</t>
        </is>
      </c>
      <c r="H288" t="inlineStr">
        <is>
          <t>Polesie</t>
        </is>
      </c>
      <c r="I288" t="inlineStr">
        <is>
          <t>TAK</t>
        </is>
      </c>
      <c r="J288" t="inlineStr">
        <is>
          <t>NIE</t>
        </is>
      </c>
      <c r="K288" t="n">
        <v>508851089</v>
      </c>
      <c r="L288" t="n">
        <v>285000</v>
      </c>
      <c r="M288" t="n">
        <v>7549.668874172185</v>
      </c>
      <c r="N288" t="n">
        <v>37.75</v>
      </c>
      <c r="O288" t="inlineStr">
        <is>
          <t>2+k</t>
        </is>
      </c>
      <c r="P288" t="n">
        <v>3</v>
      </c>
      <c r="Q288" t="inlineStr">
        <is>
          <t>Nie da się zamieszkać</t>
        </is>
      </c>
    </row>
    <row r="289">
      <c r="A289" t="n">
        <v>288</v>
      </c>
      <c r="B289" s="3" t="n">
        <v>45454</v>
      </c>
      <c r="C289" s="3" t="n">
        <v>45487</v>
      </c>
      <c r="D289" t="inlineStr">
        <is>
          <t>https://www.olx.pl/d/oferta/mieszkanie-3-pokoje-widzew-bezposrednio-CID3-ID10yJeO.html?isPreviewActive=0&amp;sliderIndex=0</t>
        </is>
      </c>
      <c r="E289">
        <f>HYPERLINK("https://www.olx.pl/d/oferta/mieszkanie-3-pokoje-widzew-bezposrednio-CID3-ID10yJeO.html?isPreviewActive=0&amp;sliderIndex=0", "https://www.olx.pl/d/oferta/mieszkanie-3-pokoje-widzew-bezposrednio-CID3-ID10yJeO.html?isPreviewActive=0&amp;sliderIndex=0")</f>
        <v/>
      </c>
      <c r="F289" t="inlineStr">
        <is>
          <t>czajkowskiego</t>
        </is>
      </c>
      <c r="G289" t="inlineStr">
        <is>
          <t>Widzew</t>
        </is>
      </c>
      <c r="H289" t="inlineStr">
        <is>
          <t>Widzew</t>
        </is>
      </c>
      <c r="I289" t="inlineStr">
        <is>
          <t>TAK</t>
        </is>
      </c>
      <c r="J289" t="inlineStr">
        <is>
          <t>NIE</t>
        </is>
      </c>
      <c r="K289" t="n">
        <v>669939453</v>
      </c>
      <c r="L289" t="n">
        <v>450000</v>
      </c>
      <c r="M289" t="n">
        <v>7500</v>
      </c>
      <c r="N289" t="n">
        <v>60</v>
      </c>
      <c r="O289" t="inlineStr">
        <is>
          <t>3+k</t>
        </is>
      </c>
      <c r="P289" t="n">
        <v>0</v>
      </c>
      <c r="Q289" t="inlineStr">
        <is>
          <t>Nie da się zamieszkać</t>
        </is>
      </c>
    </row>
    <row r="290">
      <c r="A290" t="n">
        <v>289</v>
      </c>
      <c r="B290" s="3" t="n">
        <v>45454</v>
      </c>
      <c r="C290" s="3" t="n">
        <v>45522</v>
      </c>
      <c r="D290" t="inlineStr">
        <is>
          <t>https://www.otodom.pl/pl/oferta/mieszkanie-lodz-gorna-ID4ragm.html</t>
        </is>
      </c>
      <c r="E290">
        <f>HYPERLINK("https://www.otodom.pl/pl/oferta/mieszkanie-lodz-gorna-ID4ragm.html", "https://www.otodom.pl/pl/oferta/mieszkanie-lodz-gorna-ID4ragm.html")</f>
        <v/>
      </c>
      <c r="F290" t="inlineStr">
        <is>
          <t>gojawiczyńska</t>
        </is>
      </c>
      <c r="G290" t="inlineStr">
        <is>
          <t>Dąbrowa</t>
        </is>
      </c>
      <c r="H290" t="inlineStr">
        <is>
          <t>Dąbrowa</t>
        </is>
      </c>
      <c r="I290" t="inlineStr">
        <is>
          <t>TAK</t>
        </is>
      </c>
      <c r="J290" t="inlineStr">
        <is>
          <t>NIE</t>
        </is>
      </c>
      <c r="K290" t="n">
        <v>606348189</v>
      </c>
      <c r="L290" t="n">
        <v>275000</v>
      </c>
      <c r="M290" t="n">
        <v>5951.092837048258</v>
      </c>
      <c r="N290" t="n">
        <v>46.21</v>
      </c>
      <c r="O290" t="inlineStr">
        <is>
          <t>2+k</t>
        </is>
      </c>
      <c r="P290" t="n">
        <v>4</v>
      </c>
      <c r="Q290" t="inlineStr">
        <is>
          <t>Nie da się zamieszkać</t>
        </is>
      </c>
      <c r="R290" t="inlineStr">
        <is>
          <t xml:space="preserve">było 3100000 pozniej 2850000 </t>
        </is>
      </c>
    </row>
    <row r="291">
      <c r="A291" t="n">
        <v>290</v>
      </c>
      <c r="B291" s="3" t="n">
        <v>45455</v>
      </c>
      <c r="C291" s="3" t="n">
        <v>45481</v>
      </c>
      <c r="D291" t="inlineStr">
        <is>
          <t>https://www.otodom.pl/pl/oferta/polecam-mieszkanie-zarzew-ID4q5XP.html</t>
        </is>
      </c>
      <c r="E291">
        <f>HYPERLINK("https://www.otodom.pl/pl/oferta/polecam-mieszkanie-zarzew-ID4q5XP.html", "https://www.otodom.pl/pl/oferta/polecam-mieszkanie-zarzew-ID4q5XP.html")</f>
        <v/>
      </c>
      <c r="F291" t="inlineStr">
        <is>
          <t>grota rowieckiego</t>
        </is>
      </c>
      <c r="G291" t="inlineStr">
        <is>
          <t>Widzew</t>
        </is>
      </c>
      <c r="H291" t="inlineStr">
        <is>
          <t>Widzew blisko centrum</t>
        </is>
      </c>
      <c r="I291" t="inlineStr">
        <is>
          <t>TAK</t>
        </is>
      </c>
      <c r="J291" t="inlineStr">
        <is>
          <t>TAK</t>
        </is>
      </c>
      <c r="K291" t="n">
        <v>500502510</v>
      </c>
      <c r="L291" t="n">
        <v>363000</v>
      </c>
      <c r="M291" t="n">
        <v>6980.76923076923</v>
      </c>
      <c r="N291" t="n">
        <v>52</v>
      </c>
      <c r="O291" t="inlineStr">
        <is>
          <t>3+k</t>
        </is>
      </c>
      <c r="P291" t="n">
        <v>4</v>
      </c>
      <c r="Q291" t="inlineStr">
        <is>
          <t>Nie da się zamieszkać</t>
        </is>
      </c>
    </row>
    <row r="292">
      <c r="A292" t="n">
        <v>291</v>
      </c>
      <c r="B292" s="3" t="n">
        <v>45455</v>
      </c>
      <c r="D292" t="inlineStr">
        <is>
          <t>https://www.olx.pl/d/oferta/m3-teofilow-CID3-ID10z5jz.html</t>
        </is>
      </c>
      <c r="E292">
        <f>HYPERLINK("https://www.olx.pl/d/oferta/m3-teofilow-CID3-ID10z5jz.html", "https://www.olx.pl/d/oferta/m3-teofilow-CID3-ID10z5jz.html")</f>
        <v/>
      </c>
      <c r="F292" t="inlineStr">
        <is>
          <t>Aleksandrowska</t>
        </is>
      </c>
      <c r="G292" t="inlineStr">
        <is>
          <t>Teofilów</t>
        </is>
      </c>
      <c r="H292" t="inlineStr">
        <is>
          <t>Teofilów</t>
        </is>
      </c>
      <c r="I292" t="inlineStr">
        <is>
          <t>NIE</t>
        </is>
      </c>
      <c r="J292" t="inlineStr">
        <is>
          <t>TAK</t>
        </is>
      </c>
      <c r="K292" t="n">
        <v>797542793</v>
      </c>
      <c r="L292" t="n">
        <v>297000</v>
      </c>
      <c r="M292" t="n">
        <v>6600</v>
      </c>
      <c r="N292" t="n">
        <v>45</v>
      </c>
      <c r="O292" t="inlineStr">
        <is>
          <t>2+k</t>
        </is>
      </c>
      <c r="P292" t="n">
        <v>4</v>
      </c>
      <c r="Q292" t="inlineStr">
        <is>
          <t>Nie da się zamieszkać</t>
        </is>
      </c>
      <c r="R292" t="inlineStr">
        <is>
          <t>było 300000 było nie aktywne 14.07 wróciło w czasie do 02.08 było nieaktywne od 18.08 wróciło 13.09</t>
        </is>
      </c>
    </row>
    <row r="293">
      <c r="A293" t="n">
        <v>292</v>
      </c>
      <c r="B293" s="3" t="n">
        <v>45455</v>
      </c>
      <c r="D293" t="inlineStr">
        <is>
          <t>https://nieruchomosci.gratka.pl/nieruchomosci/mieszkanie-lodz-wlokniarzy/ob/34860789</t>
        </is>
      </c>
      <c r="E293">
        <f>HYPERLINK("https://nieruchomosci.gratka.pl/nieruchomosci/mieszkanie-lodz-wlokniarzy/ob/34860789", "https://nieruchomosci.gratka.pl/nieruchomosci/mieszkanie-lodz-wlokniarzy/ob/34860789")</f>
        <v/>
      </c>
      <c r="F293" t="inlineStr">
        <is>
          <t>włokniarzy</t>
        </is>
      </c>
      <c r="G293" t="inlineStr">
        <is>
          <t>Polesie</t>
        </is>
      </c>
      <c r="H293" t="inlineStr">
        <is>
          <t>Polesie</t>
        </is>
      </c>
      <c r="I293" t="inlineStr">
        <is>
          <t>NIE</t>
        </is>
      </c>
      <c r="J293" t="inlineStr">
        <is>
          <t>TAK</t>
        </is>
      </c>
      <c r="K293" t="n">
        <v>570888922</v>
      </c>
      <c r="L293" t="n">
        <v>235000</v>
      </c>
      <c r="M293" t="n">
        <v>8274.647887323945</v>
      </c>
      <c r="N293" t="n">
        <v>28.4</v>
      </c>
      <c r="O293" t="inlineStr">
        <is>
          <t>1+k</t>
        </is>
      </c>
      <c r="P293" t="n">
        <v>4</v>
      </c>
      <c r="Q293" t="inlineStr">
        <is>
          <t>Nie da się zamieszkać</t>
        </is>
      </c>
    </row>
    <row r="294">
      <c r="A294" t="n">
        <v>293</v>
      </c>
      <c r="B294" s="3" t="n">
        <v>45455</v>
      </c>
      <c r="C294" s="3" t="n">
        <v>45467</v>
      </c>
      <c r="D294" t="inlineStr">
        <is>
          <t>https://adresowo.pl/o/v7s8s2</t>
        </is>
      </c>
      <c r="E294">
        <f>HYPERLINK("https://adresowo.pl/o/v7s8s2", "https://adresowo.pl/o/v7s8s2")</f>
        <v/>
      </c>
      <c r="F294" t="inlineStr">
        <is>
          <t>lutomierska</t>
        </is>
      </c>
      <c r="G294" t="inlineStr">
        <is>
          <t>Bałuty</t>
        </is>
      </c>
      <c r="H294" t="inlineStr">
        <is>
          <t>Bałuty blisko centrum</t>
        </is>
      </c>
      <c r="I294" t="inlineStr">
        <is>
          <t>TAK</t>
        </is>
      </c>
      <c r="J294" t="inlineStr">
        <is>
          <t>TAK</t>
        </is>
      </c>
      <c r="L294" t="n">
        <v>209000</v>
      </c>
      <c r="M294" t="n">
        <v>7740.740740740741</v>
      </c>
      <c r="N294" t="n">
        <v>27</v>
      </c>
      <c r="O294" t="inlineStr">
        <is>
          <t>1+k</t>
        </is>
      </c>
      <c r="P294" t="n">
        <v>2</v>
      </c>
      <c r="Q294" t="inlineStr">
        <is>
          <t>Puste</t>
        </is>
      </c>
    </row>
    <row r="295">
      <c r="A295" t="n">
        <v>294</v>
      </c>
      <c r="B295" s="3" t="n">
        <v>45455</v>
      </c>
      <c r="D295" t="inlineStr">
        <is>
          <t>https://www.otodom.pl/pl/oferta/mieszkanie-2-pok-na-polesiu-ID4r1xg.html</t>
        </is>
      </c>
      <c r="E295">
        <f>HYPERLINK("https://www.otodom.pl/pl/oferta/mieszkanie-2-pok-na-polesiu-ID4r1xg.html", "https://www.otodom.pl/pl/oferta/mieszkanie-2-pok-na-polesiu-ID4r1xg.html")</f>
        <v/>
      </c>
      <c r="F295" t="inlineStr">
        <is>
          <t>włokniarzy</t>
        </is>
      </c>
      <c r="G295" t="inlineStr">
        <is>
          <t>Polesie</t>
        </is>
      </c>
      <c r="H295" t="inlineStr">
        <is>
          <t>Polesie</t>
        </is>
      </c>
      <c r="I295" t="inlineStr">
        <is>
          <t>NIE</t>
        </is>
      </c>
      <c r="J295" t="inlineStr">
        <is>
          <t>TAK</t>
        </is>
      </c>
      <c r="K295" t="n">
        <v>570888922</v>
      </c>
      <c r="L295" t="n">
        <v>272000</v>
      </c>
      <c r="M295" t="n">
        <v>7001.287001287001</v>
      </c>
      <c r="N295" t="n">
        <v>38.85</v>
      </c>
      <c r="O295" t="inlineStr">
        <is>
          <t>2+k</t>
        </is>
      </c>
      <c r="P295" t="n">
        <v>8</v>
      </c>
      <c r="Q295" t="inlineStr">
        <is>
          <t>Nie da się zamieszkać</t>
        </is>
      </c>
      <c r="R295" t="inlineStr">
        <is>
          <t xml:space="preserve">17.07 kontakt cena nie do zbicia minimalnie 270k. Pan wynajmuje i mu nie zależy. </t>
        </is>
      </c>
    </row>
    <row r="296">
      <c r="A296" t="n">
        <v>295</v>
      </c>
      <c r="B296" s="3" t="n">
        <v>45455</v>
      </c>
      <c r="C296" s="3" t="n">
        <v>45467</v>
      </c>
      <c r="D296" t="inlineStr">
        <is>
          <t>https://nieruchomosci.gratka.pl/nieruchomosci/mieszkanie-lodz-gorna-lucjana-rydla/ob/34861539</t>
        </is>
      </c>
      <c r="E296">
        <f>HYPERLINK("https://nieruchomosci.gratka.pl/nieruchomosci/mieszkanie-lodz-gorna-lucjana-rydla/ob/34861539", "https://nieruchomosci.gratka.pl/nieruchomosci/mieszkanie-lodz-gorna-lucjana-rydla/ob/34861539")</f>
        <v/>
      </c>
      <c r="F296" t="inlineStr">
        <is>
          <t>rydla</t>
        </is>
      </c>
      <c r="G296" t="inlineStr">
        <is>
          <t>Dąbrowa</t>
        </is>
      </c>
      <c r="H296" t="inlineStr">
        <is>
          <t>Dąbrowa</t>
        </is>
      </c>
      <c r="I296" t="inlineStr">
        <is>
          <t>TAK</t>
        </is>
      </c>
      <c r="J296" t="inlineStr">
        <is>
          <t>TAK</t>
        </is>
      </c>
      <c r="K296" t="n">
        <v>576317000</v>
      </c>
      <c r="L296" t="n">
        <v>250000</v>
      </c>
      <c r="M296" t="n">
        <v>6666.666666666667</v>
      </c>
      <c r="N296" t="n">
        <v>37.5</v>
      </c>
      <c r="O296" t="inlineStr">
        <is>
          <t>2+k</t>
        </is>
      </c>
      <c r="P296" t="n">
        <v>3</v>
      </c>
      <c r="Q296" t="inlineStr">
        <is>
          <t>Da się zamieszkać</t>
        </is>
      </c>
    </row>
    <row r="297">
      <c r="A297" t="n">
        <v>296</v>
      </c>
      <c r="B297" s="3" t="n">
        <v>45455</v>
      </c>
      <c r="C297" s="3" t="n">
        <v>45522</v>
      </c>
      <c r="D297" t="inlineStr">
        <is>
          <t>https://www.olx.pl/d/oferta/m-4-48-m2-do-remontu-okolica-dabrowskiego-CID3-ID10zkmE.html</t>
        </is>
      </c>
      <c r="E297">
        <f>HYPERLINK("https://www.olx.pl/d/oferta/m-4-48-m2-do-remontu-okolica-dabrowskiego-CID3-ID10zkmE.html", "https://www.olx.pl/d/oferta/m-4-48-m2-do-remontu-okolica-dabrowskiego-CID3-ID10zkmE.html")</f>
        <v/>
      </c>
      <c r="F297" t="inlineStr">
        <is>
          <t xml:space="preserve">dąbrowskiego </t>
        </is>
      </c>
      <c r="G297" t="inlineStr">
        <is>
          <t>Dąbrowa</t>
        </is>
      </c>
      <c r="H297" t="inlineStr">
        <is>
          <t>Dąbrowa</t>
        </is>
      </c>
      <c r="I297" t="inlineStr">
        <is>
          <t>TAK</t>
        </is>
      </c>
      <c r="J297" t="inlineStr">
        <is>
          <t>TAK</t>
        </is>
      </c>
      <c r="K297" t="n">
        <v>509700339</v>
      </c>
      <c r="L297" t="n">
        <v>340000</v>
      </c>
      <c r="M297" t="n">
        <v>7083.333333333333</v>
      </c>
      <c r="N297" t="n">
        <v>48</v>
      </c>
      <c r="O297" t="inlineStr">
        <is>
          <t>3+k</t>
        </is>
      </c>
      <c r="P297" t="n">
        <v>7</v>
      </c>
      <c r="Q297" t="inlineStr">
        <is>
          <t>Puste</t>
        </is>
      </c>
    </row>
    <row r="298">
      <c r="A298" t="n">
        <v>297</v>
      </c>
      <c r="B298" s="3" t="n">
        <v>45455</v>
      </c>
      <c r="C298" s="3" t="n">
        <v>45522</v>
      </c>
      <c r="D298" t="inlineStr">
        <is>
          <t>https://www.olx.pl/d/oferta/teofilow-niewielkie-m-4-o-ciekawym-ukladzie-CID3-ID10zy3n.html?isPreviewActive=0&amp;sliderIndex=6</t>
        </is>
      </c>
      <c r="E298">
        <f>HYPERLINK("https://www.olx.pl/d/oferta/teofilow-niewielkie-m-4-o-ciekawym-ukladzie-CID3-ID10zy3n.html?isPreviewActive=0&amp;sliderIndex=6", "https://www.olx.pl/d/oferta/teofilow-niewielkie-m-4-o-ciekawym-ukladzie-CID3-ID10zy3n.html?isPreviewActive=0&amp;sliderIndex=6")</f>
        <v/>
      </c>
      <c r="F298" t="inlineStr">
        <is>
          <t>Aleksandrowska</t>
        </is>
      </c>
      <c r="G298" t="inlineStr">
        <is>
          <t>Teofilów</t>
        </is>
      </c>
      <c r="H298" t="inlineStr">
        <is>
          <t>Teofilów</t>
        </is>
      </c>
      <c r="I298" t="inlineStr">
        <is>
          <t>TAK</t>
        </is>
      </c>
      <c r="J298" t="inlineStr">
        <is>
          <t>TAK</t>
        </is>
      </c>
      <c r="K298" t="n">
        <v>501579748</v>
      </c>
      <c r="L298" t="n">
        <v>298000</v>
      </c>
      <c r="M298" t="n">
        <v>6622.222222222223</v>
      </c>
      <c r="N298" t="n">
        <v>45</v>
      </c>
      <c r="O298" t="inlineStr">
        <is>
          <t>3+k</t>
        </is>
      </c>
      <c r="P298" t="n">
        <v>1</v>
      </c>
      <c r="Q298" t="inlineStr">
        <is>
          <t>Nie da się zamieszkać</t>
        </is>
      </c>
    </row>
    <row r="299">
      <c r="A299" t="n">
        <v>298</v>
      </c>
      <c r="B299" s="3" t="n">
        <v>45455</v>
      </c>
      <c r="D299" t="inlineStr">
        <is>
          <t>https://www.okolica.pl/offer/show/80141-S-6eddc/formular</t>
        </is>
      </c>
      <c r="E299">
        <f>HYPERLINK("https://www.okolica.pl/offer/show/80141-S-6eddc/formular", "https://www.okolica.pl/offer/show/80141-S-6eddc/formular")</f>
        <v/>
      </c>
      <c r="F299" t="inlineStr">
        <is>
          <t>rojna</t>
        </is>
      </c>
      <c r="G299" t="inlineStr">
        <is>
          <t>Teofilów</t>
        </is>
      </c>
      <c r="H299" t="inlineStr">
        <is>
          <t>Teofilów</t>
        </is>
      </c>
      <c r="I299" t="inlineStr">
        <is>
          <t>NIE</t>
        </is>
      </c>
      <c r="J299" t="inlineStr">
        <is>
          <t>NIE</t>
        </is>
      </c>
      <c r="K299" t="n">
        <v>661067196</v>
      </c>
      <c r="L299" t="n">
        <v>275000</v>
      </c>
      <c r="M299" t="n">
        <v>6093.507644582317</v>
      </c>
      <c r="N299" t="n">
        <v>45.13</v>
      </c>
      <c r="O299" t="inlineStr">
        <is>
          <t>2+k</t>
        </is>
      </c>
      <c r="P299" t="n">
        <v>4</v>
      </c>
      <c r="Q299" t="inlineStr">
        <is>
          <t>Nie da się zamieszkać</t>
        </is>
      </c>
      <c r="R299" t="inlineStr">
        <is>
          <t>08.07 było 285</t>
        </is>
      </c>
    </row>
    <row r="300">
      <c r="A300" t="n">
        <v>299</v>
      </c>
      <c r="B300" s="3" t="n">
        <v>45455</v>
      </c>
      <c r="C300" t="inlineStr">
        <is>
          <t>28.06.20224</t>
        </is>
      </c>
      <c r="D300" t="inlineStr">
        <is>
          <t>https://www.otodom.pl/pl/oferta/m3-z-balkonem-blisko-parku-podolskiego-ID4r2gv.html</t>
        </is>
      </c>
      <c r="E300">
        <f>HYPERLINK("https://www.otodom.pl/pl/oferta/m3-z-balkonem-blisko-parku-podolskiego-ID4r2gv.html", "https://www.otodom.pl/pl/oferta/m3-z-balkonem-blisko-parku-podolskiego-ID4r2gv.html")</f>
        <v/>
      </c>
      <c r="F300" t="inlineStr">
        <is>
          <t>park podolskiego</t>
        </is>
      </c>
      <c r="G300" t="inlineStr">
        <is>
          <t>Dąbrowa</t>
        </is>
      </c>
      <c r="H300" t="inlineStr">
        <is>
          <t>Dąbrowa</t>
        </is>
      </c>
      <c r="I300" t="inlineStr">
        <is>
          <t>TAK</t>
        </is>
      </c>
      <c r="J300" t="inlineStr">
        <is>
          <t>TAK</t>
        </is>
      </c>
      <c r="K300" t="n">
        <v>510266546</v>
      </c>
      <c r="L300" t="n">
        <v>255000</v>
      </c>
      <c r="M300" t="n">
        <v>6891.891891891892</v>
      </c>
      <c r="N300" t="n">
        <v>37</v>
      </c>
      <c r="O300" t="inlineStr">
        <is>
          <t>2+k</t>
        </is>
      </c>
      <c r="P300" t="n">
        <v>3</v>
      </c>
      <c r="Q300" t="inlineStr">
        <is>
          <t>Nie da się zamieszkać</t>
        </is>
      </c>
    </row>
    <row r="301">
      <c r="A301" t="n">
        <v>300</v>
      </c>
      <c r="B301" s="3" t="n">
        <v>45455</v>
      </c>
      <c r="C301" s="3" t="n">
        <v>45487</v>
      </c>
      <c r="D301" t="inlineStr">
        <is>
          <t>https://www.olx.pl/d/oferta/mieszkanie-lodz-dabrowa-2-pokoje-m3-37m2-rozkladowe-widne-zadbane-blok-CID3-ID10zM6h.html?isPreviewActive=0&amp;sliderIndex=0</t>
        </is>
      </c>
      <c r="E301">
        <f>HYPERLINK("https://www.olx.pl/d/oferta/mieszkanie-lodz-dabrowa-2-pokoje-m3-37m2-rozkladowe-widne-zadbane-blok-CID3-ID10zM6h.html?isPreviewActive=0&amp;sliderIndex=0", "https://www.olx.pl/d/oferta/mieszkanie-lodz-dabrowa-2-pokoje-m3-37m2-rozkladowe-widne-zadbane-blok-CID3-ID10zM6h.html?isPreviewActive=0&amp;sliderIndex=0")</f>
        <v/>
      </c>
      <c r="F301" t="inlineStr">
        <is>
          <t xml:space="preserve">dąbrowskiego </t>
        </is>
      </c>
      <c r="G301" t="inlineStr">
        <is>
          <t>Dąbrowa</t>
        </is>
      </c>
      <c r="H301" t="inlineStr">
        <is>
          <t>Dąbrowa</t>
        </is>
      </c>
      <c r="I301" t="inlineStr">
        <is>
          <t>TAK</t>
        </is>
      </c>
      <c r="J301" t="inlineStr">
        <is>
          <t>NIE</t>
        </is>
      </c>
      <c r="K301" t="n">
        <v>501251001</v>
      </c>
      <c r="L301" t="n">
        <v>265000</v>
      </c>
      <c r="M301" t="n">
        <v>7162.162162162163</v>
      </c>
      <c r="N301" t="n">
        <v>37</v>
      </c>
      <c r="O301" t="inlineStr">
        <is>
          <t>2+k</t>
        </is>
      </c>
      <c r="P301" t="n">
        <v>4</v>
      </c>
      <c r="Q301" t="inlineStr">
        <is>
          <t>Nie da się zamieszkać</t>
        </is>
      </c>
      <c r="R301" t="inlineStr">
        <is>
          <t>było 280000 pózniej 02.07/ 272000</t>
        </is>
      </c>
    </row>
    <row r="302">
      <c r="A302" t="n">
        <v>301</v>
      </c>
      <c r="B302" s="3" t="n">
        <v>45455</v>
      </c>
      <c r="C302" s="3" t="n">
        <v>45532</v>
      </c>
      <c r="D302" t="inlineStr">
        <is>
          <t>https://www.olx.pl/d/oferta/mieszkanie-rozkladowe-z-balkonem-i-ogrodkiem-CID3-ID10YwMr.html</t>
        </is>
      </c>
      <c r="E302">
        <f>HYPERLINK("https://www.olx.pl/d/oferta/mieszkanie-rozkladowe-z-balkonem-i-ogrodkiem-CID3-ID10YwMr.html", "https://www.olx.pl/d/oferta/mieszkanie-rozkladowe-z-balkonem-i-ogrodkiem-CID3-ID10YwMr.html")</f>
        <v/>
      </c>
      <c r="F302" t="inlineStr">
        <is>
          <t xml:space="preserve">podgórna </t>
        </is>
      </c>
      <c r="G302" t="inlineStr">
        <is>
          <t>Górna</t>
        </is>
      </c>
      <c r="H302" t="inlineStr">
        <is>
          <t>Górna</t>
        </is>
      </c>
      <c r="I302" t="inlineStr">
        <is>
          <t>TAK</t>
        </is>
      </c>
      <c r="J302" t="inlineStr">
        <is>
          <t>NIE</t>
        </is>
      </c>
      <c r="K302" t="n">
        <v>535575086</v>
      </c>
      <c r="L302" t="n">
        <v>295000</v>
      </c>
      <c r="M302" t="n">
        <v>6884.480746791131</v>
      </c>
      <c r="N302" t="n">
        <v>42.85</v>
      </c>
      <c r="O302" t="inlineStr">
        <is>
          <t>2+k</t>
        </is>
      </c>
      <c r="P302" t="n">
        <v>0</v>
      </c>
      <c r="Q302" t="inlineStr">
        <is>
          <t>Puste posprzątane</t>
        </is>
      </c>
      <c r="R302" t="inlineStr">
        <is>
          <t>12.07 było 300  Odwiedzone 10.07  negocjacja maks do 290. 12.07 było 300  Odwiedzone 10.07  negocjacja maks do 290.  to fliper sprzedaje, najniższa jaka możliwa jest 288k, 40m2 samego mieszkania + piwnica więc typ niech spada na drzewo</t>
        </is>
      </c>
    </row>
    <row r="303">
      <c r="A303" t="n">
        <v>302</v>
      </c>
      <c r="B303" s="3" t="n">
        <v>45456</v>
      </c>
      <c r="C303" s="3" t="n">
        <v>45497</v>
      </c>
      <c r="D303" t="inlineStr">
        <is>
          <t>https://www.otodom.pl/pl/oferta/mieszkanie-dwupokojowe-na-karolewie-ID4r2E6.html</t>
        </is>
      </c>
      <c r="E303">
        <f>HYPERLINK("https://www.otodom.pl/pl/oferta/mieszkanie-dwupokojowe-na-karolewie-ID4r2E6.html", "https://www.otodom.pl/pl/oferta/mieszkanie-dwupokojowe-na-karolewie-ID4r2E6.html")</f>
        <v/>
      </c>
      <c r="F303" t="inlineStr">
        <is>
          <t>karolew</t>
        </is>
      </c>
      <c r="G303" t="inlineStr">
        <is>
          <t>Retkinia</t>
        </is>
      </c>
      <c r="H303" t="inlineStr">
        <is>
          <t>Retkinia blisko centrum</t>
        </is>
      </c>
      <c r="I303" t="inlineStr">
        <is>
          <t>TAK</t>
        </is>
      </c>
      <c r="J303" t="inlineStr">
        <is>
          <t>TAK</t>
        </is>
      </c>
      <c r="K303" t="n">
        <v>798735899</v>
      </c>
      <c r="L303" t="n">
        <v>265000</v>
      </c>
      <c r="M303" t="n">
        <v>7910.44776119403</v>
      </c>
      <c r="N303" t="n">
        <v>33.5</v>
      </c>
      <c r="O303" t="inlineStr">
        <is>
          <t>2+k</t>
        </is>
      </c>
      <c r="P303" t="n">
        <v>2</v>
      </c>
      <c r="Q303" t="inlineStr">
        <is>
          <t>Nie da się zamieszkać</t>
        </is>
      </c>
    </row>
    <row r="304">
      <c r="A304" t="n">
        <v>303</v>
      </c>
      <c r="B304" s="3" t="n">
        <v>45456</v>
      </c>
      <c r="C304" s="3" t="n">
        <v>45522</v>
      </c>
      <c r="D304" t="inlineStr">
        <is>
          <t>https://www.otodom.pl/pl/oferta/okazja-sprzedam-mieszkanie-ID4r2Gl.html</t>
        </is>
      </c>
      <c r="E304">
        <f>HYPERLINK("https://www.otodom.pl/pl/oferta/okazja-sprzedam-mieszkanie-ID4r2Gl.html", "https://www.otodom.pl/pl/oferta/okazja-sprzedam-mieszkanie-ID4r2Gl.html")</f>
        <v/>
      </c>
      <c r="F304" t="inlineStr">
        <is>
          <t>lim</t>
        </is>
      </c>
      <c r="G304" t="inlineStr">
        <is>
          <t>Teofilów</t>
        </is>
      </c>
      <c r="H304" t="inlineStr">
        <is>
          <t>Teofilów</t>
        </is>
      </c>
      <c r="I304" t="inlineStr">
        <is>
          <t>TAK</t>
        </is>
      </c>
      <c r="J304" t="inlineStr">
        <is>
          <t>NIE</t>
        </is>
      </c>
      <c r="K304" t="n">
        <v>575590440</v>
      </c>
      <c r="L304" t="n">
        <v>300000</v>
      </c>
      <c r="M304" t="n">
        <v>6666.666666666667</v>
      </c>
      <c r="N304" t="n">
        <v>45</v>
      </c>
      <c r="O304" t="inlineStr">
        <is>
          <t>2+k</t>
        </is>
      </c>
      <c r="P304" t="n">
        <v>2</v>
      </c>
      <c r="Q304" t="inlineStr">
        <is>
          <t>Nie da się zamieszkać</t>
        </is>
      </c>
      <c r="R304" t="inlineStr">
        <is>
          <t xml:space="preserve">10.07 nieaktualne, zarezerwowane. </t>
        </is>
      </c>
    </row>
    <row r="305">
      <c r="A305" t="n">
        <v>304</v>
      </c>
      <c r="B305" s="3" t="n">
        <v>45456</v>
      </c>
      <c r="C305" s="3" t="n">
        <v>45475</v>
      </c>
      <c r="D305" t="inlineStr">
        <is>
          <t>https://www.otodom.pl/pl/oferta/m3-ul-matejki-i-pietro-rezerwacja-ID4qZ4v.html</t>
        </is>
      </c>
      <c r="E305">
        <f>HYPERLINK("https://www.otodom.pl/pl/oferta/m3-ul-matejki-i-pietro-rezerwacja-ID4qZ4v.html", "https://www.otodom.pl/pl/oferta/m3-ul-matejki-i-pietro-rezerwacja-ID4qZ4v.html")</f>
        <v/>
      </c>
      <c r="F305" t="inlineStr">
        <is>
          <t>matejki</t>
        </is>
      </c>
      <c r="G305" t="inlineStr">
        <is>
          <t>Śródmieście</t>
        </is>
      </c>
      <c r="H305" t="inlineStr">
        <is>
          <t>Śródmieście</t>
        </is>
      </c>
      <c r="I305" t="inlineStr">
        <is>
          <t>TAK</t>
        </is>
      </c>
      <c r="J305" t="inlineStr">
        <is>
          <t>TAK</t>
        </is>
      </c>
      <c r="K305" t="n">
        <v>512262098</v>
      </c>
      <c r="L305" t="n">
        <v>285000</v>
      </c>
      <c r="M305" t="n">
        <v>7606.084867894316</v>
      </c>
      <c r="N305" t="n">
        <v>37.47</v>
      </c>
      <c r="O305" t="inlineStr">
        <is>
          <t>2+k</t>
        </is>
      </c>
      <c r="P305" t="n">
        <v>1</v>
      </c>
      <c r="Q305" t="inlineStr">
        <is>
          <t>Nie da się zamieszkać</t>
        </is>
      </c>
    </row>
    <row r="306">
      <c r="A306" t="n">
        <v>305</v>
      </c>
      <c r="B306" s="3" t="n">
        <v>45456</v>
      </c>
      <c r="C306" s="3" t="n">
        <v>45497</v>
      </c>
      <c r="D306" t="inlineStr">
        <is>
          <t>https://www.otodom.pl/pl/oferta/dwa-pokojerozkladowedo-remontu-ID4r2KW.html</t>
        </is>
      </c>
      <c r="E306">
        <f>HYPERLINK("https://www.otodom.pl/pl/oferta/dwa-pokojerozkladowedo-remontu-ID4r2KW.html", "https://www.otodom.pl/pl/oferta/dwa-pokojerozkladowedo-remontu-ID4r2KW.html")</f>
        <v/>
      </c>
      <c r="F306" t="inlineStr">
        <is>
          <t>lutomierska</t>
        </is>
      </c>
      <c r="G306" t="inlineStr">
        <is>
          <t>Bałuty</t>
        </is>
      </c>
      <c r="H306" t="inlineStr">
        <is>
          <t>Bałuty blisko centrum</t>
        </is>
      </c>
      <c r="I306" t="inlineStr">
        <is>
          <t>TAK</t>
        </is>
      </c>
      <c r="J306" t="inlineStr">
        <is>
          <t>TAK</t>
        </is>
      </c>
      <c r="K306" t="n">
        <v>606275582</v>
      </c>
      <c r="L306" t="n">
        <v>320000</v>
      </c>
      <c r="M306" t="n">
        <v>6896.551724137931</v>
      </c>
      <c r="N306" t="n">
        <v>46.4</v>
      </c>
      <c r="O306" t="inlineStr">
        <is>
          <t>2+k</t>
        </is>
      </c>
      <c r="P306" t="n">
        <v>1</v>
      </c>
      <c r="Q306" t="inlineStr">
        <is>
          <t>Nie da się zamieszkać</t>
        </is>
      </c>
      <c r="R306" t="inlineStr">
        <is>
          <t>13.07 było 350</t>
        </is>
      </c>
    </row>
    <row r="307">
      <c r="A307" t="n">
        <v>306</v>
      </c>
      <c r="B307" s="3" t="n">
        <v>45456</v>
      </c>
      <c r="C307" s="3" t="n">
        <v>45522</v>
      </c>
      <c r="D307" t="inlineStr">
        <is>
          <t>https://www.olx.pl/d/oferta/mieszkanie-na-sprzedaz-lodz-retkinia-CID3-ID10AbsH.html</t>
        </is>
      </c>
      <c r="E307">
        <f>HYPERLINK("https://www.olx.pl/d/oferta/mieszkanie-na-sprzedaz-lodz-retkinia-CID3-ID10AbsH.html", "https://www.olx.pl/d/oferta/mieszkanie-na-sprzedaz-lodz-retkinia-CID3-ID10AbsH.html")</f>
        <v/>
      </c>
      <c r="F307" t="inlineStr">
        <is>
          <t>popiełuszki</t>
        </is>
      </c>
      <c r="G307" t="inlineStr">
        <is>
          <t>Retkinia</t>
        </is>
      </c>
      <c r="H307" t="inlineStr">
        <is>
          <t>Retkinia</t>
        </is>
      </c>
      <c r="I307" t="inlineStr">
        <is>
          <t>TAK</t>
        </is>
      </c>
      <c r="J307" t="inlineStr">
        <is>
          <t>NIE</t>
        </is>
      </c>
      <c r="K307" t="n">
        <v>570556676</v>
      </c>
      <c r="L307" t="n">
        <v>330000</v>
      </c>
      <c r="M307" t="n">
        <v>7779.349363507779</v>
      </c>
      <c r="N307" t="n">
        <v>42.42</v>
      </c>
      <c r="O307" t="inlineStr">
        <is>
          <t>2+k</t>
        </is>
      </c>
      <c r="P307" t="n">
        <v>2</v>
      </c>
      <c r="Q307" t="inlineStr">
        <is>
          <t>Nie da się zamieszkać</t>
        </is>
      </c>
      <c r="R307" t="inlineStr">
        <is>
          <t>było 350000</t>
        </is>
      </c>
    </row>
    <row r="308">
      <c r="A308" t="n">
        <v>307</v>
      </c>
      <c r="B308" s="3" t="n">
        <v>45456</v>
      </c>
      <c r="C308" s="3" t="n">
        <v>45522</v>
      </c>
      <c r="D308" t="inlineStr">
        <is>
          <t>https://nieruchomosci.gratka.pl/nieruchomosci/mieszkanie-lodz-gorna-podhalanska/ob/34875097</t>
        </is>
      </c>
      <c r="E308">
        <f>HYPERLINK("https://nieruchomosci.gratka.pl/nieruchomosci/mieszkanie-lodz-gorna-podhalanska/ob/34875097", "https://nieruchomosci.gratka.pl/nieruchomosci/mieszkanie-lodz-gorna-podhalanska/ob/34875097")</f>
        <v/>
      </c>
      <c r="F308" t="inlineStr">
        <is>
          <t>podhalanska</t>
        </is>
      </c>
      <c r="G308" t="inlineStr">
        <is>
          <t>Dąbrowa</t>
        </is>
      </c>
      <c r="H308" t="inlineStr">
        <is>
          <t>Dąbrowa</t>
        </is>
      </c>
      <c r="I308" t="inlineStr">
        <is>
          <t>TAK</t>
        </is>
      </c>
      <c r="J308" t="inlineStr">
        <is>
          <t>TAK</t>
        </is>
      </c>
      <c r="K308" t="n">
        <v>606275582</v>
      </c>
      <c r="L308" t="n">
        <v>320000</v>
      </c>
      <c r="M308" t="n">
        <v>6776.789495976282</v>
      </c>
      <c r="N308" t="n">
        <v>47.22</v>
      </c>
      <c r="O308" t="inlineStr">
        <is>
          <t>3+k</t>
        </is>
      </c>
      <c r="P308" t="n">
        <v>3</v>
      </c>
      <c r="Q308" t="inlineStr">
        <is>
          <t>Nie da się zamieszkać</t>
        </is>
      </c>
      <c r="R308" t="inlineStr">
        <is>
          <t>22.07. było 330k</t>
        </is>
      </c>
    </row>
    <row r="309">
      <c r="A309" t="n">
        <v>308</v>
      </c>
      <c r="B309" s="3" t="n">
        <v>45456</v>
      </c>
      <c r="C309" s="3" t="n">
        <v>45487</v>
      </c>
      <c r="D309" t="inlineStr">
        <is>
          <t>https://www.otodom.pl/pl/oferta/45m-z-balkonem-do-generalnego-remontu-teofilow-ID4r3cm.html</t>
        </is>
      </c>
      <c r="E309">
        <f>HYPERLINK("https://www.otodom.pl/pl/oferta/45m-z-balkonem-do-generalnego-remontu-teofilow-ID4r3cm.html", "https://www.otodom.pl/pl/oferta/45m-z-balkonem-do-generalnego-remontu-teofilow-ID4r3cm.html")</f>
        <v/>
      </c>
      <c r="F309" t="inlineStr">
        <is>
          <t>rojna</t>
        </is>
      </c>
      <c r="G309" t="inlineStr">
        <is>
          <t>Teofilów</t>
        </is>
      </c>
      <c r="H309" t="inlineStr">
        <is>
          <t>Teofilów</t>
        </is>
      </c>
      <c r="I309" t="inlineStr">
        <is>
          <t>TAK</t>
        </is>
      </c>
      <c r="J309" t="inlineStr">
        <is>
          <t>NIE</t>
        </is>
      </c>
      <c r="K309" t="n">
        <v>452161158</v>
      </c>
      <c r="L309" t="n">
        <v>294800</v>
      </c>
      <c r="M309" t="n">
        <v>6536.585365853658</v>
      </c>
      <c r="N309" t="n">
        <v>45.1</v>
      </c>
      <c r="O309" t="inlineStr">
        <is>
          <t>2+k</t>
        </is>
      </c>
      <c r="P309" t="n">
        <v>3</v>
      </c>
      <c r="Q309" t="inlineStr">
        <is>
          <t>Puste</t>
        </is>
      </c>
    </row>
    <row r="310">
      <c r="A310" t="n">
        <v>309</v>
      </c>
      <c r="B310" s="3" t="n">
        <v>45456</v>
      </c>
      <c r="C310" s="3" t="n">
        <v>45467</v>
      </c>
      <c r="D310" t="inlineStr">
        <is>
          <t>https://www.olx.pl/d/oferta/2-pokoje-balkon-pelen-rozklad-teofilow-CID3-ID10AsRm.html</t>
        </is>
      </c>
      <c r="E310">
        <f>HYPERLINK("https://www.olx.pl/d/oferta/2-pokoje-balkon-pelen-rozklad-teofilow-CID3-ID10AsRm.html", "https://www.olx.pl/d/oferta/2-pokoje-balkon-pelen-rozklad-teofilow-CID3-ID10AsRm.html")</f>
        <v/>
      </c>
      <c r="F310" t="inlineStr">
        <is>
          <t>traktorowa</t>
        </is>
      </c>
      <c r="G310" t="inlineStr">
        <is>
          <t>Teofilów</t>
        </is>
      </c>
      <c r="H310" t="inlineStr">
        <is>
          <t>Teofilów</t>
        </is>
      </c>
      <c r="I310" t="inlineStr">
        <is>
          <t>TAK</t>
        </is>
      </c>
      <c r="J310" t="inlineStr">
        <is>
          <t>TAK</t>
        </is>
      </c>
      <c r="K310" t="n">
        <v>881791779</v>
      </c>
      <c r="L310" t="n">
        <v>299000</v>
      </c>
      <c r="M310" t="n">
        <v>6644.444444444444</v>
      </c>
      <c r="N310" t="n">
        <v>45</v>
      </c>
      <c r="O310" t="inlineStr">
        <is>
          <t>2+k</t>
        </is>
      </c>
      <c r="P310" t="n">
        <v>3</v>
      </c>
      <c r="Q310" t="inlineStr">
        <is>
          <t>Nie da się zamieszkać</t>
        </is>
      </c>
    </row>
    <row r="311">
      <c r="A311" t="n">
        <v>310</v>
      </c>
      <c r="B311" s="3" t="n">
        <v>45456</v>
      </c>
      <c r="D311" t="inlineStr">
        <is>
          <t>https://www.okolica.pl/offer/show/57630-S-31472_3685_OMS/formular</t>
        </is>
      </c>
      <c r="E311">
        <f>HYPERLINK("https://www.okolica.pl/offer/show/57630-S-31472_3685_OMS/formular", "https://www.okolica.pl/offer/show/57630-S-31472_3685_OMS/formular")</f>
        <v/>
      </c>
      <c r="F311" t="inlineStr">
        <is>
          <t>parcelacyjna 9b</t>
        </is>
      </c>
      <c r="G311" t="inlineStr">
        <is>
          <t>Teofilów</t>
        </is>
      </c>
      <c r="H311" t="inlineStr">
        <is>
          <t>Teofilów</t>
        </is>
      </c>
      <c r="I311" t="inlineStr">
        <is>
          <t>NIE</t>
        </is>
      </c>
      <c r="J311" t="inlineStr">
        <is>
          <t>TAK</t>
        </is>
      </c>
      <c r="K311" t="n">
        <v>660728432</v>
      </c>
      <c r="L311" t="n">
        <v>295000</v>
      </c>
      <c r="M311" t="n">
        <v>6541.019955654102</v>
      </c>
      <c r="N311" t="n">
        <v>45.1</v>
      </c>
      <c r="O311" t="inlineStr">
        <is>
          <t>2+k</t>
        </is>
      </c>
      <c r="P311" t="n">
        <v>1</v>
      </c>
      <c r="Q311" t="inlineStr">
        <is>
          <t>Nie da się zamieszkać</t>
        </is>
      </c>
      <c r="R311" t="inlineStr">
        <is>
          <t>konatkt 10.07 minimalna cena na która zejda 290k., kontakt 23.08.2024 - ta sama cena</t>
        </is>
      </c>
    </row>
    <row r="312">
      <c r="A312" t="n">
        <v>311</v>
      </c>
      <c r="B312" s="3" t="n">
        <v>45456</v>
      </c>
      <c r="C312" s="3" t="n">
        <v>45497</v>
      </c>
      <c r="D312" t="inlineStr">
        <is>
          <t>https://www.oferty.net/mieszkanie-na-sprzedaz-plk-dr-stanislawa-wieckowskiego-36m2-kawalerka-300000-pln-ba,1538945760</t>
        </is>
      </c>
      <c r="E312">
        <f>HYPERLINK("https://www.oferty.net/mieszkanie-na-sprzedaz-plk-dr-stanislawa-wieckowskiego-36m2-kawalerka-300000-pln-ba,1538945760", "https://www.oferty.net/mieszkanie-na-sprzedaz-plk-dr-stanislawa-wieckowskiego-36m2-kawalerka-300000-pln-ba,1538945760")</f>
        <v/>
      </c>
      <c r="F312" t="inlineStr">
        <is>
          <t>wieckowskiego</t>
        </is>
      </c>
      <c r="G312" t="inlineStr">
        <is>
          <t>Śródmieście</t>
        </is>
      </c>
      <c r="H312" t="inlineStr">
        <is>
          <t>Śródmieście</t>
        </is>
      </c>
      <c r="I312" t="inlineStr">
        <is>
          <t>TAK</t>
        </is>
      </c>
      <c r="J312" t="inlineStr">
        <is>
          <t>TAK</t>
        </is>
      </c>
      <c r="K312" t="n">
        <v>731096777</v>
      </c>
      <c r="L312" t="n">
        <v>300000</v>
      </c>
      <c r="M312" t="n">
        <v>8264.462809917355</v>
      </c>
      <c r="N312" t="n">
        <v>36.3</v>
      </c>
      <c r="O312" t="inlineStr">
        <is>
          <t>1+k</t>
        </is>
      </c>
      <c r="P312" t="n">
        <v>1</v>
      </c>
      <c r="Q312" t="inlineStr">
        <is>
          <t>Puste</t>
        </is>
      </c>
    </row>
    <row r="313">
      <c r="A313" t="n">
        <v>312</v>
      </c>
      <c r="B313" s="3" t="n">
        <v>45456</v>
      </c>
      <c r="C313" s="3" t="n">
        <v>45461</v>
      </c>
      <c r="D313" t="inlineStr">
        <is>
          <t>https://www.olx.pl/d/oferta/m4-3-pok-radogoszcz-zachod-do-remontu-CID3-ID10AGHQ.html?isPreviewActive=0&amp;sliderIndex=2</t>
        </is>
      </c>
      <c r="E313">
        <f>HYPERLINK("https://www.olx.pl/d/oferta/m4-3-pok-radogoszcz-zachod-do-remontu-CID3-ID10AGHQ.html?isPreviewActive=0&amp;sliderIndex=2", "https://www.olx.pl/d/oferta/m4-3-pok-radogoszcz-zachod-do-remontu-CID3-ID10AGHQ.html?isPreviewActive=0&amp;sliderIndex=2")</f>
        <v/>
      </c>
      <c r="F313" t="inlineStr">
        <is>
          <t>radogoszcz zachód</t>
        </is>
      </c>
      <c r="G313" t="inlineStr">
        <is>
          <t>Bałuty</t>
        </is>
      </c>
      <c r="H313" t="inlineStr">
        <is>
          <t>Dalekie bałuty</t>
        </is>
      </c>
      <c r="I313" t="inlineStr">
        <is>
          <t>TAK</t>
        </is>
      </c>
      <c r="J313" t="inlineStr">
        <is>
          <t>NIE</t>
        </is>
      </c>
      <c r="K313" t="n">
        <v>739232770</v>
      </c>
      <c r="L313" t="n">
        <v>385000</v>
      </c>
      <c r="M313" t="n">
        <v>7264.150943396226</v>
      </c>
      <c r="N313" t="n">
        <v>53</v>
      </c>
      <c r="O313" t="inlineStr">
        <is>
          <t>3+k</t>
        </is>
      </c>
      <c r="P313" t="n">
        <v>2</v>
      </c>
      <c r="Q313" t="inlineStr">
        <is>
          <t>Nie da się zamieszkać</t>
        </is>
      </c>
    </row>
    <row r="314">
      <c r="A314" t="n">
        <v>313</v>
      </c>
      <c r="B314" s="3" t="n">
        <v>45456</v>
      </c>
      <c r="C314" s="3" t="n">
        <v>45481</v>
      </c>
      <c r="D314" t="inlineStr">
        <is>
          <t>https://www.olx.pl/d/oferta/m3-45m2-z-balkonem-lodz-dabrowa-ul-tatrzanska-bezposrednio-sprzedam-CID3-ID10AQI5.html?isPreviewActive=0&amp;sliderIndex=1</t>
        </is>
      </c>
      <c r="E314">
        <f>HYPERLINK("https://www.olx.pl/d/oferta/m3-45m2-z-balkonem-lodz-dabrowa-ul-tatrzanska-bezposrednio-sprzedam-CID3-ID10AQI5.html?isPreviewActive=0&amp;sliderIndex=1", "https://www.olx.pl/d/oferta/m3-45m2-z-balkonem-lodz-dabrowa-ul-tatrzanska-bezposrednio-sprzedam-CID3-ID10AQI5.html?isPreviewActive=0&amp;sliderIndex=1")</f>
        <v/>
      </c>
      <c r="F314" t="inlineStr">
        <is>
          <t>tatrzańska</t>
        </is>
      </c>
      <c r="G314" t="inlineStr">
        <is>
          <t>Dąbrowa</t>
        </is>
      </c>
      <c r="H314" t="inlineStr">
        <is>
          <t>Dąbrowa</t>
        </is>
      </c>
      <c r="I314" t="inlineStr">
        <is>
          <t>TAK</t>
        </is>
      </c>
      <c r="J314" t="inlineStr">
        <is>
          <t>NIE</t>
        </is>
      </c>
      <c r="K314" t="n">
        <v>720804706</v>
      </c>
      <c r="L314" t="n">
        <v>370000</v>
      </c>
      <c r="M314" t="n">
        <v>8198.537558165301</v>
      </c>
      <c r="N314" t="n">
        <v>45.13</v>
      </c>
      <c r="O314" t="inlineStr">
        <is>
          <t>2+k</t>
        </is>
      </c>
      <c r="P314" t="n">
        <v>3</v>
      </c>
      <c r="Q314" t="inlineStr">
        <is>
          <t>Nie da się zamieszkać</t>
        </is>
      </c>
    </row>
    <row r="315">
      <c r="A315" t="n">
        <v>314</v>
      </c>
      <c r="B315" s="3" t="n">
        <v>45456</v>
      </c>
      <c r="C315" s="3" t="n">
        <v>45487</v>
      </c>
      <c r="D315" t="inlineStr">
        <is>
          <t>https://www.olx.pl/d/oferta/trzypokojowe-47-m2-i-pietro-balkon-ul-tatrzanska-CID3-ID10B7fC.html</t>
        </is>
      </c>
      <c r="E315">
        <f>HYPERLINK("https://www.olx.pl/d/oferta/trzypokojowe-47-m2-i-pietro-balkon-ul-tatrzanska-CID3-ID10B7fC.html", "https://www.olx.pl/d/oferta/trzypokojowe-47-m2-i-pietro-balkon-ul-tatrzanska-CID3-ID10B7fC.html")</f>
        <v/>
      </c>
      <c r="F315" t="inlineStr">
        <is>
          <t xml:space="preserve">tatrzańska 108 </t>
        </is>
      </c>
      <c r="G315" t="inlineStr">
        <is>
          <t>Dąbrowa</t>
        </is>
      </c>
      <c r="H315" t="inlineStr">
        <is>
          <t>Dąbrowa</t>
        </is>
      </c>
      <c r="I315" t="inlineStr">
        <is>
          <t>TAK</t>
        </is>
      </c>
      <c r="J315" t="inlineStr">
        <is>
          <t>TAK</t>
        </is>
      </c>
      <c r="K315" t="n">
        <v>730020051</v>
      </c>
      <c r="L315" t="n">
        <v>339000</v>
      </c>
      <c r="M315" t="n">
        <v>7179.161372299873</v>
      </c>
      <c r="N315" t="n">
        <v>47.22</v>
      </c>
      <c r="O315" t="inlineStr">
        <is>
          <t>3+k</t>
        </is>
      </c>
      <c r="P315" t="n">
        <v>1</v>
      </c>
      <c r="Q315" t="inlineStr">
        <is>
          <t>Puste posprzątane i odświeżone</t>
        </is>
      </c>
    </row>
    <row r="316">
      <c r="A316" t="n">
        <v>315</v>
      </c>
      <c r="B316" s="3" t="n">
        <v>45457</v>
      </c>
      <c r="C316" t="inlineStr">
        <is>
          <t>28.06.20224</t>
        </is>
      </c>
      <c r="D316" t="inlineStr">
        <is>
          <t>https://www.otodom.pl/pl/oferta/2-pokoje-ul-traktorowa-teofilow-baluty-2-p-ID4rbra</t>
        </is>
      </c>
      <c r="E316">
        <f>HYPERLINK("https://www.otodom.pl/pl/oferta/2-pokoje-ul-traktorowa-teofilow-baluty-2-p-ID4rbra", "https://www.otodom.pl/pl/oferta/2-pokoje-ul-traktorowa-teofilow-baluty-2-p-ID4rbra")</f>
        <v/>
      </c>
      <c r="F316" t="inlineStr">
        <is>
          <t>traktorowa</t>
        </is>
      </c>
      <c r="G316" t="inlineStr">
        <is>
          <t>Teofilów</t>
        </is>
      </c>
      <c r="H316" t="inlineStr">
        <is>
          <t>Teofilów</t>
        </is>
      </c>
      <c r="I316" t="inlineStr">
        <is>
          <t>TAK</t>
        </is>
      </c>
      <c r="J316" t="inlineStr">
        <is>
          <t>TAK</t>
        </is>
      </c>
      <c r="K316" t="n">
        <v>535990973</v>
      </c>
      <c r="L316" t="n">
        <v>330000</v>
      </c>
      <c r="M316" t="n">
        <v>6111.111111111111</v>
      </c>
      <c r="N316" t="n">
        <v>54</v>
      </c>
      <c r="O316" t="inlineStr">
        <is>
          <t>3+k</t>
        </is>
      </c>
      <c r="P316" t="n">
        <v>2</v>
      </c>
      <c r="Q316" t="inlineStr">
        <is>
          <t>Nie da się zamieszkać</t>
        </is>
      </c>
    </row>
    <row r="317">
      <c r="A317" t="n">
        <v>316</v>
      </c>
      <c r="B317" s="3" t="n">
        <v>45457</v>
      </c>
      <c r="C317" s="3" t="n">
        <v>45510</v>
      </c>
      <c r="D317" t="inlineStr">
        <is>
          <t>https://www.otodom.pl/pl/oferta/m3-os-mireckiego-ID4qlta.html</t>
        </is>
      </c>
      <c r="E317">
        <f>HYPERLINK("https://www.otodom.pl/pl/oferta/m3-os-mireckiego-ID4qlta.html", "https://www.otodom.pl/pl/oferta/m3-os-mireckiego-ID4qlta.html")</f>
        <v/>
      </c>
      <c r="F317" t="inlineStr">
        <is>
          <t>mireckiego</t>
        </is>
      </c>
      <c r="G317" t="inlineStr">
        <is>
          <t>Polesie</t>
        </is>
      </c>
      <c r="H317" t="inlineStr">
        <is>
          <t>Polesie</t>
        </is>
      </c>
      <c r="I317" t="inlineStr">
        <is>
          <t>TAK</t>
        </is>
      </c>
      <c r="J317" t="inlineStr">
        <is>
          <t>TAK</t>
        </is>
      </c>
      <c r="K317" t="n">
        <v>797542793</v>
      </c>
      <c r="L317" t="n">
        <v>260000</v>
      </c>
      <c r="M317" t="n">
        <v>7878.787878787879</v>
      </c>
      <c r="N317" t="n">
        <v>33</v>
      </c>
      <c r="O317" t="inlineStr">
        <is>
          <t>2+k</t>
        </is>
      </c>
      <c r="P317" t="n">
        <v>2</v>
      </c>
      <c r="Q317" t="inlineStr">
        <is>
          <t>Nie da się zamieszkać</t>
        </is>
      </c>
    </row>
    <row r="318">
      <c r="A318" t="n">
        <v>317</v>
      </c>
      <c r="B318" s="3" t="n">
        <v>45457</v>
      </c>
      <c r="C318" s="3" t="n">
        <v>45475</v>
      </c>
      <c r="D318" t="inlineStr">
        <is>
          <t>https://www.otodom.pl/pl/oferta/rozkladowe-2-pokoje-na-retkini-loggia-ID4qWmn.html</t>
        </is>
      </c>
      <c r="E318">
        <f>HYPERLINK("https://www.otodom.pl/pl/oferta/rozkladowe-2-pokoje-na-retkini-loggia-ID4qWmn.html", "https://www.otodom.pl/pl/oferta/rozkladowe-2-pokoje-na-retkini-loggia-ID4qWmn.html")</f>
        <v/>
      </c>
      <c r="F318" t="inlineStr">
        <is>
          <t>armi krajowej</t>
        </is>
      </c>
      <c r="G318" t="inlineStr">
        <is>
          <t>Retkinia</t>
        </is>
      </c>
      <c r="H318" t="inlineStr">
        <is>
          <t>Retkinia</t>
        </is>
      </c>
      <c r="I318" t="inlineStr">
        <is>
          <t>TAK</t>
        </is>
      </c>
      <c r="J318" t="inlineStr">
        <is>
          <t>TAK</t>
        </is>
      </c>
      <c r="K318" t="n">
        <v>789635952</v>
      </c>
      <c r="L318" t="n">
        <v>319000</v>
      </c>
      <c r="M318" t="n">
        <v>7418.604651162791</v>
      </c>
      <c r="N318" t="n">
        <v>43</v>
      </c>
      <c r="O318" t="inlineStr">
        <is>
          <t>2+k</t>
        </is>
      </c>
      <c r="P318" t="n">
        <v>3</v>
      </c>
      <c r="Q318" t="inlineStr">
        <is>
          <t>Puste posprzątane</t>
        </is>
      </c>
    </row>
    <row r="319">
      <c r="A319" t="n">
        <v>318</v>
      </c>
      <c r="B319" s="3" t="n">
        <v>45458</v>
      </c>
      <c r="D319" t="inlineStr">
        <is>
          <t>https://www.otodom.pl/pl/oferta/2-pokoje-do-remontu-rozkladowe-dabrowa-gorna-ID4r3RK.html</t>
        </is>
      </c>
      <c r="E319">
        <f>HYPERLINK("https://www.otodom.pl/pl/oferta/2-pokoje-do-remontu-rozkladowe-dabrowa-gorna-ID4r3RK.html", "https://www.otodom.pl/pl/oferta/2-pokoje-do-remontu-rozkladowe-dabrowa-gorna-ID4r3RK.html")</f>
        <v/>
      </c>
      <c r="F319" t="inlineStr">
        <is>
          <t>.</t>
        </is>
      </c>
      <c r="G319" t="inlineStr">
        <is>
          <t>Dąbrowa</t>
        </is>
      </c>
      <c r="H319" t="inlineStr">
        <is>
          <t>Dąbrowa</t>
        </is>
      </c>
      <c r="I319" t="inlineStr">
        <is>
          <t>NIE</t>
        </is>
      </c>
      <c r="J319" t="inlineStr">
        <is>
          <t>TAK</t>
        </is>
      </c>
      <c r="K319" t="n">
        <v>798907229</v>
      </c>
      <c r="L319" t="n">
        <v>269000</v>
      </c>
      <c r="M319" t="n">
        <v>7321.720195971692</v>
      </c>
      <c r="N319" t="n">
        <v>36.74</v>
      </c>
      <c r="O319" t="inlineStr">
        <is>
          <t>2+k</t>
        </is>
      </c>
      <c r="P319" t="n">
        <v>3</v>
      </c>
      <c r="Q319" t="inlineStr">
        <is>
          <t>Puste</t>
        </is>
      </c>
      <c r="R319" t="inlineStr">
        <is>
          <t>06.08 było 282</t>
        </is>
      </c>
    </row>
    <row r="320">
      <c r="A320" t="n">
        <v>319</v>
      </c>
      <c r="B320" s="3" t="n">
        <v>45458</v>
      </c>
      <c r="C320" s="3" t="n">
        <v>45548</v>
      </c>
      <c r="D320" t="inlineStr">
        <is>
          <t>https://nieruchomosci.gratka.pl/nieruchomosci/mieszkanie-lodz-baluty-aleksandrowska/ob/34887653</t>
        </is>
      </c>
      <c r="E320">
        <f>HYPERLINK("https://nieruchomosci.gratka.pl/nieruchomosci/mieszkanie-lodz-baluty-aleksandrowska/ob/34887653", "https://nieruchomosci.gratka.pl/nieruchomosci/mieszkanie-lodz-baluty-aleksandrowska/ob/34887653")</f>
        <v/>
      </c>
      <c r="F320" t="inlineStr">
        <is>
          <t>Aleksandrowska</t>
        </is>
      </c>
      <c r="G320" t="inlineStr">
        <is>
          <t>Teofilów</t>
        </is>
      </c>
      <c r="H320" t="inlineStr">
        <is>
          <t>Teofilów</t>
        </is>
      </c>
      <c r="I320" t="inlineStr">
        <is>
          <t>TAK</t>
        </is>
      </c>
      <c r="J320" t="inlineStr">
        <is>
          <t>TAK</t>
        </is>
      </c>
      <c r="K320" t="n">
        <v>730020051</v>
      </c>
      <c r="L320" t="n">
        <v>339000</v>
      </c>
      <c r="M320" t="n">
        <v>7179.161372299873</v>
      </c>
      <c r="N320" t="n">
        <v>47.22</v>
      </c>
      <c r="O320" t="inlineStr">
        <is>
          <t>3+k</t>
        </is>
      </c>
      <c r="P320" t="n">
        <v>1</v>
      </c>
      <c r="Q320" t="inlineStr">
        <is>
          <t>Nie da się zamieszkać</t>
        </is>
      </c>
    </row>
    <row r="321">
      <c r="A321" t="n">
        <v>320</v>
      </c>
      <c r="B321" s="3" t="n">
        <v>45458</v>
      </c>
      <c r="D321" t="inlineStr">
        <is>
          <t>https://www.okolica.pl/offer/show/57296-S-743871/formular</t>
        </is>
      </c>
      <c r="E321">
        <f>HYPERLINK("https://www.okolica.pl/offer/show/57296-S-743871/formular", "https://www.okolica.pl/offer/show/57296-S-743871/formular")</f>
        <v/>
      </c>
      <c r="F321" t="inlineStr">
        <is>
          <t>pabianicka</t>
        </is>
      </c>
      <c r="G321" t="inlineStr">
        <is>
          <t>Górna</t>
        </is>
      </c>
      <c r="H321" t="inlineStr">
        <is>
          <t>Daleka górna</t>
        </is>
      </c>
      <c r="I321" t="inlineStr">
        <is>
          <t>NIE</t>
        </is>
      </c>
      <c r="J321" t="inlineStr">
        <is>
          <t>NIE</t>
        </is>
      </c>
      <c r="K321" t="n">
        <v>601275051</v>
      </c>
      <c r="L321" t="n">
        <v>359000</v>
      </c>
      <c r="M321" t="n">
        <v>7289.340101522843</v>
      </c>
      <c r="N321" t="n">
        <v>49.25</v>
      </c>
      <c r="O321" t="inlineStr">
        <is>
          <t>2+k</t>
        </is>
      </c>
      <c r="P321" t="n">
        <v>8</v>
      </c>
      <c r="Q321" t="inlineStr">
        <is>
          <t>Puste posprzątane</t>
        </is>
      </c>
      <c r="R321" t="inlineStr">
        <is>
          <t>było 380000 zobaczylismy na żywo 07.08 -  Fajne mieszkanie dobrze przygotowane ale okolica mi się wgl nie podba, widok z okna średni. Cięzko będzie im to sprzedać.</t>
        </is>
      </c>
    </row>
    <row r="322">
      <c r="A322" t="n">
        <v>321</v>
      </c>
      <c r="B322" s="3" t="n">
        <v>45458</v>
      </c>
      <c r="C322" s="3" t="n">
        <v>45522</v>
      </c>
      <c r="D322" t="inlineStr">
        <is>
          <t>https://nieruchomosci.gratka.pl/nieruchomosci/mieszkanie-lodz-baluty/ob/34890757</t>
        </is>
      </c>
      <c r="E322">
        <f>HYPERLINK("https://nieruchomosci.gratka.pl/nieruchomosci/mieszkanie-lodz-baluty/ob/34890757", "https://nieruchomosci.gratka.pl/nieruchomosci/mieszkanie-lodz-baluty/ob/34890757")</f>
        <v/>
      </c>
      <c r="F322" t="inlineStr">
        <is>
          <t xml:space="preserve">żubardź </t>
        </is>
      </c>
      <c r="G322" t="inlineStr">
        <is>
          <t>Bałuty</t>
        </is>
      </c>
      <c r="H322" t="inlineStr">
        <is>
          <t>Bałuty blisko centrum</t>
        </is>
      </c>
      <c r="I322" t="inlineStr">
        <is>
          <t>TAK</t>
        </is>
      </c>
      <c r="J322" t="inlineStr">
        <is>
          <t>TAK</t>
        </is>
      </c>
      <c r="K322" t="n">
        <v>609623106</v>
      </c>
      <c r="L322" t="n">
        <v>235000</v>
      </c>
      <c r="M322" t="n">
        <v>7343.75</v>
      </c>
      <c r="N322" t="n">
        <v>32</v>
      </c>
      <c r="O322" t="inlineStr">
        <is>
          <t>1+k</t>
        </is>
      </c>
      <c r="P322" t="n">
        <v>0</v>
      </c>
      <c r="Q322" t="inlineStr">
        <is>
          <t>Nie da się zamieszkać</t>
        </is>
      </c>
    </row>
    <row r="323">
      <c r="A323" t="n">
        <v>322</v>
      </c>
      <c r="B323" s="3" t="n">
        <v>45458</v>
      </c>
      <c r="D323" t="inlineStr">
        <is>
          <t>https://www.otodom.pl/pl/oferta/mieszkanie-2-pokojowe-46m2-z-balkonem-do-remontu-ID4r4Fq.html</t>
        </is>
      </c>
      <c r="E323">
        <f>HYPERLINK("https://www.otodom.pl/pl/oferta/mieszkanie-2-pokojowe-46m2-z-balkonem-do-remontu-ID4r4Fq.html", "https://www.otodom.pl/pl/oferta/mieszkanie-2-pokojowe-46m2-z-balkonem-do-remontu-ID4r4Fq.html")</f>
        <v/>
      </c>
      <c r="F323" t="inlineStr">
        <is>
          <t>wapienna</t>
        </is>
      </c>
      <c r="G323" t="inlineStr">
        <is>
          <t>Polesie</t>
        </is>
      </c>
      <c r="H323" t="inlineStr">
        <is>
          <t>Polesie</t>
        </is>
      </c>
      <c r="I323" t="inlineStr">
        <is>
          <t>NIE</t>
        </is>
      </c>
      <c r="J323" t="inlineStr">
        <is>
          <t>TAK</t>
        </is>
      </c>
      <c r="K323" t="n">
        <v>799350792</v>
      </c>
      <c r="L323" t="n">
        <v>319000</v>
      </c>
      <c r="M323" t="n">
        <v>6845.49356223176</v>
      </c>
      <c r="N323" t="n">
        <v>46.6</v>
      </c>
      <c r="O323" t="inlineStr">
        <is>
          <t>2+k</t>
        </is>
      </c>
      <c r="P323" t="n">
        <v>3</v>
      </c>
      <c r="Q323" t="inlineStr">
        <is>
          <t>Puste posprzątane</t>
        </is>
      </c>
      <c r="R323" t="inlineStr">
        <is>
          <t xml:space="preserve">15.07 było 355000 07.08 obejrzane na żywo-  Fajny blok fajna okolica, tutaj zaraz przy drewnowskiej koziny. Powinno się szybko sprzedać.  16.08 było 335k </t>
        </is>
      </c>
    </row>
    <row r="324">
      <c r="A324" t="n">
        <v>323</v>
      </c>
      <c r="B324" s="3" t="n">
        <v>45458</v>
      </c>
      <c r="C324" s="3" t="n">
        <v>45461</v>
      </c>
      <c r="D324" t="inlineStr">
        <is>
          <t>https://www.olx.pl/d/oferta/mieszkanie-kawalerke-CID3-ID10C7ZD.html?isPreviewActive=0&amp;sliderIndex=4</t>
        </is>
      </c>
      <c r="E324">
        <f>HYPERLINK("https://www.olx.pl/d/oferta/mieszkanie-kawalerke-CID3-ID10C7ZD.html?isPreviewActive=0&amp;sliderIndex=4", "https://www.olx.pl/d/oferta/mieszkanie-kawalerke-CID3-ID10C7ZD.html?isPreviewActive=0&amp;sliderIndex=4")</f>
        <v/>
      </c>
      <c r="G324" t="inlineStr">
        <is>
          <t>Górna</t>
        </is>
      </c>
      <c r="H324" t="inlineStr">
        <is>
          <t>Górna</t>
        </is>
      </c>
      <c r="I324" t="inlineStr">
        <is>
          <t>TAK</t>
        </is>
      </c>
      <c r="J324" t="inlineStr">
        <is>
          <t>NIE</t>
        </is>
      </c>
      <c r="K324" t="n">
        <v>508220626</v>
      </c>
      <c r="L324" t="n">
        <v>200000</v>
      </c>
      <c r="M324" t="n">
        <v>7142.857142857143</v>
      </c>
      <c r="N324" t="n">
        <v>28</v>
      </c>
      <c r="O324" t="inlineStr">
        <is>
          <t>1+k</t>
        </is>
      </c>
      <c r="P324" t="n">
        <v>3</v>
      </c>
      <c r="Q324" t="inlineStr">
        <is>
          <t>Nie da się zamieszkać</t>
        </is>
      </c>
    </row>
    <row r="325">
      <c r="A325" t="n">
        <v>324</v>
      </c>
      <c r="B325" s="3" t="n">
        <v>45459</v>
      </c>
      <c r="D325" t="inlineStr">
        <is>
          <t>https://www.otodom.pl/pl/oferta/1-pietro-rozkladowe-m3-balkon-ID4ssLK</t>
        </is>
      </c>
      <c r="E325">
        <f>HYPERLINK("https://www.otodom.pl/pl/oferta/1-pietro-rozkladowe-m3-balkon-ID4ssLK", "https://www.otodom.pl/pl/oferta/1-pietro-rozkladowe-m3-balkon-ID4ssLK")</f>
        <v/>
      </c>
      <c r="F325" t="inlineStr">
        <is>
          <t>klonowa</t>
        </is>
      </c>
      <c r="G325" t="inlineStr">
        <is>
          <t>Bałuty</t>
        </is>
      </c>
      <c r="H325" t="inlineStr">
        <is>
          <t>Bałuty blisko centrum</t>
        </is>
      </c>
      <c r="I325" t="inlineStr">
        <is>
          <t>NIE</t>
        </is>
      </c>
      <c r="J325" t="inlineStr">
        <is>
          <t>TAK</t>
        </is>
      </c>
      <c r="K325" t="n">
        <v>572900115</v>
      </c>
      <c r="L325" t="n">
        <v>385000</v>
      </c>
      <c r="M325" t="n">
        <v>8279.569892473119</v>
      </c>
      <c r="N325" t="n">
        <v>46.5</v>
      </c>
      <c r="O325" t="inlineStr">
        <is>
          <t>2+k</t>
        </is>
      </c>
      <c r="P325" t="n">
        <v>1</v>
      </c>
      <c r="Q325" t="inlineStr">
        <is>
          <t>Nie da się zamieszkać</t>
        </is>
      </c>
      <c r="R325" t="inlineStr">
        <is>
          <t>Być może numer do własciciela : 793000555</t>
        </is>
      </c>
    </row>
    <row r="326">
      <c r="A326" t="n">
        <v>325</v>
      </c>
      <c r="B326" s="3" t="n">
        <v>45459</v>
      </c>
      <c r="C326" s="3" t="n">
        <v>45497</v>
      </c>
      <c r="D326" t="inlineStr">
        <is>
          <t>https://nieruchomosci.gratka.pl/nieruchomosci/mieszkanie-lodz-baluty-turoszowska/oi/34903309</t>
        </is>
      </c>
      <c r="E326">
        <f>HYPERLINK("https://nieruchomosci.gratka.pl/nieruchomosci/mieszkanie-lodz-baluty-turoszowska/oi/34903309", "https://nieruchomosci.gratka.pl/nieruchomosci/mieszkanie-lodz-baluty-turoszowska/oi/34903309")</f>
        <v/>
      </c>
      <c r="F326" t="inlineStr">
        <is>
          <t>turoszowska</t>
        </is>
      </c>
      <c r="G326" t="inlineStr">
        <is>
          <t>Teofilów</t>
        </is>
      </c>
      <c r="H326" t="inlineStr">
        <is>
          <t>Teofilów</t>
        </is>
      </c>
      <c r="I326" t="inlineStr">
        <is>
          <t>TAK</t>
        </is>
      </c>
      <c r="J326" t="inlineStr">
        <is>
          <t>NIE</t>
        </is>
      </c>
      <c r="K326" t="n">
        <v>504420154</v>
      </c>
      <c r="L326" t="n">
        <v>290000</v>
      </c>
      <c r="M326" t="n">
        <v>7945.205479452055</v>
      </c>
      <c r="N326" t="n">
        <v>36.5</v>
      </c>
      <c r="O326" t="inlineStr">
        <is>
          <t>2+k</t>
        </is>
      </c>
      <c r="P326" t="n">
        <v>0</v>
      </c>
      <c r="Q326" t="inlineStr">
        <is>
          <t>Da się zamieszkać</t>
        </is>
      </c>
    </row>
    <row r="327">
      <c r="A327" t="n">
        <v>326</v>
      </c>
      <c r="B327" s="3" t="n">
        <v>45459</v>
      </c>
      <c r="C327" s="3" t="n">
        <v>45467</v>
      </c>
      <c r="D327" t="inlineStr">
        <is>
          <t>https://www.otodom.pl/pl/oferta/2-poknowa-cena-manu-winda-balkon-ID4qKBF.html</t>
        </is>
      </c>
      <c r="E327">
        <f>HYPERLINK("https://www.otodom.pl/pl/oferta/2-poknowa-cena-manu-winda-balkon-ID4qKBF.html", "https://www.otodom.pl/pl/oferta/2-poknowa-cena-manu-winda-balkon-ID4qKBF.html")</f>
        <v/>
      </c>
      <c r="F327" t="inlineStr">
        <is>
          <t>bolesława prusa</t>
        </is>
      </c>
      <c r="G327" t="inlineStr">
        <is>
          <t>Bałuty</t>
        </is>
      </c>
      <c r="H327" t="inlineStr">
        <is>
          <t>Bałuty</t>
        </is>
      </c>
      <c r="I327" t="inlineStr">
        <is>
          <t>TAK</t>
        </is>
      </c>
      <c r="J327" t="inlineStr">
        <is>
          <t>TAK</t>
        </is>
      </c>
      <c r="K327" t="n">
        <v>798448397</v>
      </c>
      <c r="L327" t="n">
        <v>295000</v>
      </c>
      <c r="M327" t="n">
        <v>6323.68703108253</v>
      </c>
      <c r="N327" t="n">
        <v>46.65</v>
      </c>
      <c r="O327" t="inlineStr">
        <is>
          <t>2+k</t>
        </is>
      </c>
      <c r="P327" t="n">
        <v>10</v>
      </c>
      <c r="Q327" t="inlineStr">
        <is>
          <t>Puste posprzątane</t>
        </is>
      </c>
    </row>
    <row r="328">
      <c r="A328" t="n">
        <v>327</v>
      </c>
      <c r="B328" s="3" t="n">
        <v>45459</v>
      </c>
      <c r="C328" s="3" t="n">
        <v>45497</v>
      </c>
      <c r="D328" t="inlineStr">
        <is>
          <t>https://www.olx.pl/d/oferta/m3baluty-rozkladowe-do-wprowadzenia-do-negocjacji-CID3-IDZR5jB.html?isPreviewActive=0&amp;sliderIndex=3</t>
        </is>
      </c>
      <c r="E328">
        <f>HYPERLINK("https://www.olx.pl/d/oferta/m3baluty-rozkladowe-do-wprowadzenia-do-negocjacji-CID3-IDZR5jB.html?isPreviewActive=0&amp;sliderIndex=3", "https://www.olx.pl/d/oferta/m3baluty-rozkladowe-do-wprowadzenia-do-negocjacji-CID3-IDZR5jB.html?isPreviewActive=0&amp;sliderIndex=3")</f>
        <v/>
      </c>
      <c r="F328" t="inlineStr">
        <is>
          <t>.</t>
        </is>
      </c>
      <c r="G328" t="inlineStr">
        <is>
          <t>Bałuty</t>
        </is>
      </c>
      <c r="H328" t="inlineStr">
        <is>
          <t>Bałuty</t>
        </is>
      </c>
      <c r="I328" t="inlineStr">
        <is>
          <t>TAK</t>
        </is>
      </c>
      <c r="J328" t="inlineStr">
        <is>
          <t>TAK</t>
        </is>
      </c>
      <c r="K328" t="n">
        <v>530442532</v>
      </c>
      <c r="L328" t="n">
        <v>362000</v>
      </c>
      <c r="M328" t="n">
        <v>6482.808022922636</v>
      </c>
      <c r="N328" t="n">
        <v>55.84</v>
      </c>
      <c r="O328" t="inlineStr">
        <is>
          <t>2+k</t>
        </is>
      </c>
      <c r="P328" t="n">
        <v>0</v>
      </c>
      <c r="Q328" t="inlineStr">
        <is>
          <t>Nie da się zamieszkać</t>
        </is>
      </c>
      <c r="R328" t="inlineStr">
        <is>
          <t>herberg odpada</t>
        </is>
      </c>
    </row>
    <row r="329">
      <c r="A329" t="n">
        <v>328</v>
      </c>
      <c r="B329" s="3" t="n">
        <v>45459</v>
      </c>
      <c r="C329" s="3" t="n">
        <v>45467</v>
      </c>
      <c r="D329" t="inlineStr">
        <is>
          <t>https://www.otodom.pl/pl/oferta/przestronne-i-sloneczne-3-pokjowe-mieszkanie-ID4r5I9</t>
        </is>
      </c>
      <c r="E329">
        <f>HYPERLINK("https://www.otodom.pl/pl/oferta/przestronne-i-sloneczne-3-pokjowe-mieszkanie-ID4r5I9", "https://www.otodom.pl/pl/oferta/przestronne-i-sloneczne-3-pokjowe-mieszkanie-ID4r5I9")</f>
        <v/>
      </c>
      <c r="F329" t="inlineStr">
        <is>
          <t>przyborowskiego 9</t>
        </is>
      </c>
      <c r="G329" t="inlineStr">
        <is>
          <t>Górna</t>
        </is>
      </c>
      <c r="H329" t="inlineStr">
        <is>
          <t>Górna</t>
        </is>
      </c>
      <c r="I329" t="inlineStr">
        <is>
          <t>TAK</t>
        </is>
      </c>
      <c r="J329" t="inlineStr">
        <is>
          <t>TAK</t>
        </is>
      </c>
      <c r="K329" t="n">
        <v>453507202</v>
      </c>
      <c r="L329" t="n">
        <v>305000</v>
      </c>
      <c r="M329" t="n">
        <v>6489.36170212766</v>
      </c>
      <c r="N329" t="n">
        <v>47</v>
      </c>
      <c r="O329" t="inlineStr">
        <is>
          <t>2+k</t>
        </is>
      </c>
      <c r="P329" t="n">
        <v>4</v>
      </c>
      <c r="Q329" t="inlineStr">
        <is>
          <t>Nie da się zamieszkać</t>
        </is>
      </c>
    </row>
    <row r="330">
      <c r="A330" t="n">
        <v>329</v>
      </c>
      <c r="B330" s="3" t="n">
        <v>45459</v>
      </c>
      <c r="C330" s="3" t="n">
        <v>45522</v>
      </c>
      <c r="D330" t="inlineStr">
        <is>
          <t>https://nieruchomosci.gratka.pl/nieruchomosci/mieszkanie-lodz-baluty/ob/34904351</t>
        </is>
      </c>
      <c r="E330">
        <f>HYPERLINK("https://nieruchomosci.gratka.pl/nieruchomosci/mieszkanie-lodz-baluty/ob/34904351", "https://nieruchomosci.gratka.pl/nieruchomosci/mieszkanie-lodz-baluty/ob/34904351")</f>
        <v/>
      </c>
      <c r="F330" t="inlineStr">
        <is>
          <t>nastrojowa</t>
        </is>
      </c>
      <c r="G330" t="inlineStr">
        <is>
          <t>Bałuty</t>
        </is>
      </c>
      <c r="H330" t="inlineStr">
        <is>
          <t>Dalekie bałuty</t>
        </is>
      </c>
      <c r="I330" t="inlineStr">
        <is>
          <t>TAK</t>
        </is>
      </c>
      <c r="J330" t="inlineStr">
        <is>
          <t>TAK</t>
        </is>
      </c>
      <c r="K330" t="n">
        <v>730965991</v>
      </c>
      <c r="L330" t="n">
        <v>349000</v>
      </c>
      <c r="M330" t="n">
        <v>7842.696629213483</v>
      </c>
      <c r="N330" t="n">
        <v>44.5</v>
      </c>
      <c r="O330" t="inlineStr">
        <is>
          <t>2+k</t>
        </is>
      </c>
      <c r="P330" t="n">
        <v>4</v>
      </c>
      <c r="Q330" t="inlineStr">
        <is>
          <t>Puste posprzątane i odświeżone</t>
        </is>
      </c>
    </row>
    <row r="331">
      <c r="A331" t="n">
        <v>330</v>
      </c>
      <c r="B331" s="3" t="n">
        <v>45460</v>
      </c>
      <c r="D331" t="inlineStr">
        <is>
          <t>https://www.otodom.pl/pl/oferta/przestronne-m3-w-cichej-okolicy-koziny-ID4r5NU</t>
        </is>
      </c>
      <c r="E331">
        <f>HYPERLINK("https://www.otodom.pl/pl/oferta/przestronne-m3-w-cichej-okolicy-koziny-ID4r5NU", "https://www.otodom.pl/pl/oferta/przestronne-m3-w-cichej-okolicy-koziny-ID4r5NU")</f>
        <v/>
      </c>
      <c r="F331" t="inlineStr">
        <is>
          <t xml:space="preserve">lorentza </t>
        </is>
      </c>
      <c r="G331" t="inlineStr">
        <is>
          <t>Polesie</t>
        </is>
      </c>
      <c r="H331" t="inlineStr">
        <is>
          <t>Polesie</t>
        </is>
      </c>
      <c r="I331" t="inlineStr">
        <is>
          <t>NIE</t>
        </is>
      </c>
      <c r="J331" t="inlineStr">
        <is>
          <t>TAK</t>
        </is>
      </c>
      <c r="K331" t="n">
        <v>780097861</v>
      </c>
      <c r="L331" t="n">
        <v>393000</v>
      </c>
      <c r="M331" t="n">
        <v>6976.744186046511</v>
      </c>
      <c r="N331" t="n">
        <v>56.33</v>
      </c>
      <c r="O331" t="inlineStr">
        <is>
          <t>2+k</t>
        </is>
      </c>
      <c r="P331" t="n">
        <v>0</v>
      </c>
      <c r="Q331" t="inlineStr">
        <is>
          <t>Nie da się zamieszkać</t>
        </is>
      </c>
      <c r="R331" t="inlineStr">
        <is>
          <t>27.07 było 396</t>
        </is>
      </c>
    </row>
    <row r="332">
      <c r="A332" t="n">
        <v>331</v>
      </c>
      <c r="B332" s="3" t="n">
        <v>45460</v>
      </c>
      <c r="C332" s="3" t="n">
        <v>45497</v>
      </c>
      <c r="D332" t="inlineStr">
        <is>
          <t>https://www.otodom.pl/pl/oferta/rozkladowe-3-pokoje-botanik-1-pietro-winda-ID4r5NW</t>
        </is>
      </c>
      <c r="E332">
        <f>HYPERLINK("https://www.otodom.pl/pl/oferta/rozkladowe-3-pokoje-botanik-1-pietro-winda-ID4r5NW", "https://www.otodom.pl/pl/oferta/rozkladowe-3-pokoje-botanik-1-pietro-winda-ID4r5NW")</f>
        <v/>
      </c>
      <c r="F332" t="inlineStr">
        <is>
          <t>.</t>
        </is>
      </c>
      <c r="G332" t="inlineStr">
        <is>
          <t>Retkinia</t>
        </is>
      </c>
      <c r="H332" t="inlineStr">
        <is>
          <t>Retkinia</t>
        </is>
      </c>
      <c r="I332" t="inlineStr">
        <is>
          <t>TAK</t>
        </is>
      </c>
      <c r="J332" t="inlineStr">
        <is>
          <t>TAK</t>
        </is>
      </c>
      <c r="K332" t="n">
        <v>789635952</v>
      </c>
      <c r="L332" t="n">
        <v>460000</v>
      </c>
      <c r="M332" t="n">
        <v>8196.72131147541</v>
      </c>
      <c r="N332" t="n">
        <v>56.12</v>
      </c>
      <c r="O332" t="inlineStr">
        <is>
          <t>2+k</t>
        </is>
      </c>
      <c r="P332" t="n">
        <v>1</v>
      </c>
      <c r="Q332" t="inlineStr">
        <is>
          <t>Puste</t>
        </is>
      </c>
    </row>
    <row r="333">
      <c r="A333" t="n">
        <v>332</v>
      </c>
      <c r="B333" s="3" t="n">
        <v>45460</v>
      </c>
      <c r="C333" s="3" t="n">
        <v>45497</v>
      </c>
      <c r="D333" t="inlineStr">
        <is>
          <t>https://www.olx.pl/d/oferta/jasne-przestronne-60m2-w-cegle-swietna-okolica-CID3-IDZUFSX.html</t>
        </is>
      </c>
      <c r="E333">
        <f>HYPERLINK("https://www.olx.pl/d/oferta/jasne-przestronne-60m2-w-cegle-swietna-okolica-CID3-IDZUFSX.html", "https://www.olx.pl/d/oferta/jasne-przestronne-60m2-w-cegle-swietna-okolica-CID3-IDZUFSX.html")</f>
        <v/>
      </c>
      <c r="F333" t="inlineStr">
        <is>
          <t xml:space="preserve">Alei Chryzantem 6 </t>
        </is>
      </c>
      <c r="G333" t="inlineStr">
        <is>
          <t>Bałuty</t>
        </is>
      </c>
      <c r="H333" t="inlineStr">
        <is>
          <t>Bałuty blisko centrum</t>
        </is>
      </c>
      <c r="I333" t="inlineStr">
        <is>
          <t>TAK</t>
        </is>
      </c>
      <c r="J333" t="inlineStr">
        <is>
          <t>TAK</t>
        </is>
      </c>
      <c r="K333" t="n">
        <v>730965608</v>
      </c>
      <c r="L333" t="n">
        <v>429000</v>
      </c>
      <c r="M333" t="n">
        <v>7150</v>
      </c>
      <c r="N333" t="n">
        <v>60</v>
      </c>
      <c r="O333" t="inlineStr">
        <is>
          <t>3+k</t>
        </is>
      </c>
      <c r="P333" t="n">
        <v>1</v>
      </c>
      <c r="Q333" t="inlineStr">
        <is>
          <t>Puste</t>
        </is>
      </c>
    </row>
    <row r="334">
      <c r="A334" t="n">
        <v>333</v>
      </c>
      <c r="B334" s="3" t="n">
        <v>45460</v>
      </c>
      <c r="C334" s="3" t="n">
        <v>45497</v>
      </c>
      <c r="D334" t="inlineStr">
        <is>
          <t>https://www.olx.pl/d/oferta/mieszkanie-2-pokoje-43-19-m2-z-balkonem-ul-strycharska-CID3-ID10DmSd.html</t>
        </is>
      </c>
      <c r="E334">
        <f>HYPERLINK("https://www.olx.pl/d/oferta/mieszkanie-2-pokoje-43-19-m2-z-balkonem-ul-strycharska-CID3-ID10DmSd.html", "https://www.olx.pl/d/oferta/mieszkanie-2-pokoje-43-19-m2-z-balkonem-ul-strycharska-CID3-ID10DmSd.html")</f>
        <v/>
      </c>
      <c r="F334" t="inlineStr">
        <is>
          <t>strycharska</t>
        </is>
      </c>
      <c r="G334" t="inlineStr">
        <is>
          <t>Górna</t>
        </is>
      </c>
      <c r="H334" t="inlineStr">
        <is>
          <t>Górna</t>
        </is>
      </c>
      <c r="I334" t="inlineStr">
        <is>
          <t>TAK</t>
        </is>
      </c>
      <c r="J334" t="inlineStr">
        <is>
          <t>NIE</t>
        </is>
      </c>
      <c r="K334" t="n">
        <v>600903474</v>
      </c>
      <c r="L334" t="n">
        <v>315000</v>
      </c>
      <c r="M334" t="n">
        <v>7293.354943273906</v>
      </c>
      <c r="N334" t="n">
        <v>43.19</v>
      </c>
      <c r="O334" t="inlineStr">
        <is>
          <t>2+k</t>
        </is>
      </c>
      <c r="P334" t="n">
        <v>8</v>
      </c>
      <c r="Q334" t="inlineStr">
        <is>
          <t>Nie da się zamieszkać</t>
        </is>
      </c>
      <c r="R334" t="inlineStr">
        <is>
          <t xml:space="preserve"> 06.07 było 330 </t>
        </is>
      </c>
    </row>
    <row r="335">
      <c r="A335" t="n">
        <v>334</v>
      </c>
      <c r="B335" s="3" t="n">
        <v>45460</v>
      </c>
      <c r="C335" s="3" t="n">
        <v>45497</v>
      </c>
      <c r="D335" t="inlineStr">
        <is>
          <t>https://www.otodom.pl/pl/oferta/m-3-dabrowa-duzo-zieleni-i-miejsc-parkingowych-ID4r6nY</t>
        </is>
      </c>
      <c r="E335">
        <f>HYPERLINK("https://www.otodom.pl/pl/oferta/m-3-dabrowa-duzo-zieleni-i-miejsc-parkingowych-ID4r6nY", "https://www.otodom.pl/pl/oferta/m-3-dabrowa-duzo-zieleni-i-miejsc-parkingowych-ID4r6nY")</f>
        <v/>
      </c>
      <c r="F335" t="inlineStr">
        <is>
          <t>.</t>
        </is>
      </c>
      <c r="G335" t="inlineStr">
        <is>
          <t>Dąbrowa</t>
        </is>
      </c>
      <c r="H335" t="inlineStr">
        <is>
          <t>Dąbrowa</t>
        </is>
      </c>
      <c r="I335" t="inlineStr">
        <is>
          <t>TAK</t>
        </is>
      </c>
      <c r="J335" t="inlineStr">
        <is>
          <t>TAK</t>
        </is>
      </c>
      <c r="K335" t="n">
        <v>883200511</v>
      </c>
      <c r="L335" t="n">
        <v>290000</v>
      </c>
      <c r="M335" t="n">
        <v>8096.035734226689</v>
      </c>
      <c r="N335" t="n">
        <v>35.82</v>
      </c>
      <c r="O335" t="inlineStr">
        <is>
          <t>2+k</t>
        </is>
      </c>
      <c r="P335" t="n">
        <v>3</v>
      </c>
      <c r="Q335" t="inlineStr">
        <is>
          <t>Nie da się zamieszkać</t>
        </is>
      </c>
    </row>
    <row r="336">
      <c r="A336" t="n">
        <v>335</v>
      </c>
      <c r="B336" s="3" t="n">
        <v>45460</v>
      </c>
      <c r="C336" s="3" t="n">
        <v>45467</v>
      </c>
      <c r="D336" t="inlineStr">
        <is>
          <t>https://www.otodom.pl/pl/oferta/m3-do-remontu-swietna-lokalizacja-ID4qggw.html</t>
        </is>
      </c>
      <c r="E336">
        <f>HYPERLINK("https://www.otodom.pl/pl/oferta/m3-do-remontu-swietna-lokalizacja-ID4qggw.html", "https://www.otodom.pl/pl/oferta/m3-do-remontu-swietna-lokalizacja-ID4qggw.html")</f>
        <v/>
      </c>
      <c r="F336" t="inlineStr">
        <is>
          <t>lniana</t>
        </is>
      </c>
      <c r="G336" t="inlineStr">
        <is>
          <t>Teofilów</t>
        </is>
      </c>
      <c r="H336" t="inlineStr">
        <is>
          <t>Teofilów</t>
        </is>
      </c>
      <c r="I336" t="inlineStr">
        <is>
          <t>TAK</t>
        </is>
      </c>
      <c r="J336" t="inlineStr">
        <is>
          <t>TAK</t>
        </is>
      </c>
      <c r="K336" t="n">
        <v>793993162</v>
      </c>
      <c r="L336" t="n">
        <v>295000</v>
      </c>
      <c r="M336" t="n">
        <v>7702.349869451697</v>
      </c>
      <c r="N336" t="n">
        <v>38.3</v>
      </c>
      <c r="O336" t="inlineStr">
        <is>
          <t>2+k</t>
        </is>
      </c>
      <c r="P336" t="n">
        <v>1</v>
      </c>
      <c r="Q336" t="inlineStr">
        <is>
          <t>Nie da się zamieszkać</t>
        </is>
      </c>
    </row>
    <row r="337">
      <c r="A337" t="n">
        <v>336</v>
      </c>
      <c r="B337" s="3" t="n">
        <v>45460</v>
      </c>
      <c r="C337" s="3" t="n">
        <v>45497</v>
      </c>
      <c r="D337" t="inlineStr">
        <is>
          <t>https://www.olx.pl/d/oferta/mieszkanie-kolo-rynku-gorniak-dobra-cena-do-remontu-CID3-ID10DDea.html</t>
        </is>
      </c>
      <c r="E337">
        <f>HYPERLINK("https://www.olx.pl/d/oferta/mieszkanie-kolo-rynku-gorniak-dobra-cena-do-remontu-CID3-ID10DDea.html", "https://www.olx.pl/d/oferta/mieszkanie-kolo-rynku-gorniak-dobra-cena-do-remontu-CID3-ID10DDea.html")</f>
        <v/>
      </c>
      <c r="F337" t="inlineStr">
        <is>
          <t>wólczańska</t>
        </is>
      </c>
      <c r="G337" t="inlineStr">
        <is>
          <t>Śródmieście</t>
        </is>
      </c>
      <c r="H337" t="inlineStr">
        <is>
          <t>Śródmieście</t>
        </is>
      </c>
      <c r="I337" t="inlineStr">
        <is>
          <t>TAK</t>
        </is>
      </c>
      <c r="J337" t="inlineStr">
        <is>
          <t>NIE</t>
        </is>
      </c>
      <c r="K337" t="n">
        <v>535415815</v>
      </c>
      <c r="L337" t="n">
        <v>300000</v>
      </c>
      <c r="M337" t="n">
        <v>7317.073170731707</v>
      </c>
      <c r="N337" t="n">
        <v>41</v>
      </c>
      <c r="O337" t="inlineStr">
        <is>
          <t>2+k</t>
        </is>
      </c>
      <c r="P337" t="n">
        <v>3</v>
      </c>
      <c r="Q337" t="inlineStr">
        <is>
          <t>Nie da się zamieszkać</t>
        </is>
      </c>
    </row>
    <row r="338">
      <c r="A338" t="n">
        <v>337</v>
      </c>
      <c r="B338" s="3" t="n">
        <v>45460</v>
      </c>
      <c r="D338" t="inlineStr">
        <is>
          <t>https://www.otodom.pl/pl/oferta/mieszkanie-37-75-m-lodz-ID4r6Gm.html</t>
        </is>
      </c>
      <c r="E338">
        <f>HYPERLINK("https://www.otodom.pl/pl/oferta/mieszkanie-37-75-m-lodz-ID4r6Gm.html", "https://www.otodom.pl/pl/oferta/mieszkanie-37-75-m-lodz-ID4r6Gm.html")</f>
        <v/>
      </c>
      <c r="F338" t="inlineStr">
        <is>
          <t>górna</t>
        </is>
      </c>
      <c r="G338" t="inlineStr">
        <is>
          <t>Bałuty</t>
        </is>
      </c>
      <c r="H338" t="inlineStr">
        <is>
          <t>Bałuty blisko centrum</t>
        </is>
      </c>
      <c r="I338" t="inlineStr">
        <is>
          <t>NIE</t>
        </is>
      </c>
      <c r="J338" t="inlineStr">
        <is>
          <t>TAK</t>
        </is>
      </c>
      <c r="K338" t="n">
        <v>884704506</v>
      </c>
      <c r="L338" t="n">
        <v>265000</v>
      </c>
      <c r="M338" t="n">
        <v>7019.867549668874</v>
      </c>
      <c r="N338" t="n">
        <v>37.75</v>
      </c>
      <c r="O338" t="inlineStr">
        <is>
          <t>2+k</t>
        </is>
      </c>
      <c r="P338" t="n">
        <v>3</v>
      </c>
      <c r="Q338" t="inlineStr">
        <is>
          <t>Nie da się zamieszkać</t>
        </is>
      </c>
    </row>
    <row r="339">
      <c r="A339" t="n">
        <v>338</v>
      </c>
      <c r="B339" s="3" t="n">
        <v>45460</v>
      </c>
      <c r="D339" t="inlineStr">
        <is>
          <t>https://www.otodom.pl/pl/oferta/teofilow-2-pokoje-z-balkonem-ID4r6Ji.html</t>
        </is>
      </c>
      <c r="E339">
        <f>HYPERLINK("https://www.otodom.pl/pl/oferta/teofilow-2-pokoje-z-balkonem-ID4r6Ji.html", "https://www.otodom.pl/pl/oferta/teofilow-2-pokoje-z-balkonem-ID4r6Ji.html")</f>
        <v/>
      </c>
      <c r="F339" t="inlineStr">
        <is>
          <t>wici</t>
        </is>
      </c>
      <c r="G339" t="inlineStr">
        <is>
          <t>Teofilów</t>
        </is>
      </c>
      <c r="H339" t="inlineStr">
        <is>
          <t>Teofilów</t>
        </is>
      </c>
      <c r="I339" t="inlineStr">
        <is>
          <t>NIE</t>
        </is>
      </c>
      <c r="J339" t="inlineStr">
        <is>
          <t>TAK</t>
        </is>
      </c>
      <c r="K339" t="n">
        <v>661359089</v>
      </c>
      <c r="L339" t="n">
        <v>345000</v>
      </c>
      <c r="M339" t="n">
        <v>7666.666666666667</v>
      </c>
      <c r="N339" t="n">
        <v>45</v>
      </c>
      <c r="O339" t="inlineStr">
        <is>
          <t>2+k</t>
        </is>
      </c>
      <c r="P339" t="n">
        <v>4</v>
      </c>
      <c r="Q339" t="inlineStr">
        <is>
          <t>Nie da się zamieszkać</t>
        </is>
      </c>
    </row>
    <row r="340">
      <c r="A340" t="n">
        <v>339</v>
      </c>
      <c r="B340" s="3" t="n">
        <v>45460</v>
      </c>
      <c r="C340" s="3" t="n">
        <v>45532</v>
      </c>
      <c r="D340" t="inlineStr">
        <is>
          <t>https://www.olx.pl/d/oferta/mieszkanie-zachodnia-podrzeczna-manufaktura-okazja-CID3-ID1076qU.html?isPreviewActive=0&amp;sliderIndex=6</t>
        </is>
      </c>
      <c r="E340">
        <f>HYPERLINK("https://www.olx.pl/d/oferta/mieszkanie-zachodnia-podrzeczna-manufaktura-okazja-CID3-ID1076qU.html?isPreviewActive=0&amp;sliderIndex=6", "https://www.olx.pl/d/oferta/mieszkanie-zachodnia-podrzeczna-manufaktura-okazja-CID3-ID1076qU.html?isPreviewActive=0&amp;sliderIndex=6")</f>
        <v/>
      </c>
      <c r="F340" t="inlineStr">
        <is>
          <t>zachodnia</t>
        </is>
      </c>
      <c r="G340" t="inlineStr">
        <is>
          <t>Bałuty</t>
        </is>
      </c>
      <c r="H340" t="inlineStr">
        <is>
          <t>Bałuty blisko centrum</t>
        </is>
      </c>
      <c r="I340" t="inlineStr">
        <is>
          <t>TAK</t>
        </is>
      </c>
      <c r="J340" t="inlineStr">
        <is>
          <t>TAK</t>
        </is>
      </c>
      <c r="K340" t="n">
        <v>668905720</v>
      </c>
      <c r="L340" t="n">
        <v>322000</v>
      </c>
      <c r="M340" t="n">
        <v>6851.063829787234</v>
      </c>
      <c r="N340" t="n">
        <v>47</v>
      </c>
      <c r="O340" t="inlineStr">
        <is>
          <t>2+k</t>
        </is>
      </c>
      <c r="P340" t="n">
        <v>1</v>
      </c>
      <c r="Q340" t="inlineStr">
        <is>
          <t>Nie da się zamieszkać</t>
        </is>
      </c>
      <c r="R340" t="inlineStr">
        <is>
          <t>22.08 Było 368k</t>
        </is>
      </c>
    </row>
    <row r="341">
      <c r="A341" t="n">
        <v>340</v>
      </c>
      <c r="B341" s="3" t="n">
        <v>45460</v>
      </c>
      <c r="C341" s="3" t="n">
        <v>45467</v>
      </c>
      <c r="D341" t="inlineStr">
        <is>
          <t>https://www.otodom.pl/pl/oferta/kawalerka-z-balkonem-ID4r6RT</t>
        </is>
      </c>
      <c r="E341">
        <f>HYPERLINK("https://www.otodom.pl/pl/oferta/kawalerka-z-balkonem-ID4r6RT", "https://www.otodom.pl/pl/oferta/kawalerka-z-balkonem-ID4r6RT")</f>
        <v/>
      </c>
      <c r="F341" t="inlineStr">
        <is>
          <t>zarzew</t>
        </is>
      </c>
      <c r="G341" t="inlineStr">
        <is>
          <t>Widzew</t>
        </is>
      </c>
      <c r="H341" t="inlineStr">
        <is>
          <t>Widzew blisko centrum</t>
        </is>
      </c>
      <c r="I341" t="inlineStr">
        <is>
          <t>TAK</t>
        </is>
      </c>
      <c r="J341" t="inlineStr">
        <is>
          <t>TAK</t>
        </is>
      </c>
      <c r="K341" t="n">
        <v>509289025</v>
      </c>
      <c r="L341" t="n">
        <v>210000</v>
      </c>
      <c r="M341" t="n">
        <v>7500</v>
      </c>
      <c r="N341" t="n">
        <v>28</v>
      </c>
      <c r="O341" t="inlineStr">
        <is>
          <t>1+k</t>
        </is>
      </c>
      <c r="P341" t="n">
        <v>5</v>
      </c>
      <c r="Q341" t="inlineStr">
        <is>
          <t>Nie da się zamieszkać</t>
        </is>
      </c>
    </row>
    <row r="342">
      <c r="A342" t="n">
        <v>341</v>
      </c>
      <c r="B342" s="3" t="n">
        <v>45460</v>
      </c>
      <c r="C342" s="3" t="n">
        <v>45497</v>
      </c>
      <c r="D342" t="inlineStr">
        <is>
          <t>https://www.otodom.pl/pl/oferta/cudne-3-pokoje-z-duzym-balkonem-w-zielonej-okolicy-ID4qUzO.html</t>
        </is>
      </c>
      <c r="E342">
        <f>HYPERLINK("https://www.otodom.pl/pl/oferta/cudne-3-pokoje-z-duzym-balkonem-w-zielonej-okolicy-ID4qUzO.html", "https://www.otodom.pl/pl/oferta/cudne-3-pokoje-z-duzym-balkonem-w-zielonej-okolicy-ID4qUzO.html")</f>
        <v/>
      </c>
      <c r="F342" t="inlineStr">
        <is>
          <t>Broniewskiego</t>
        </is>
      </c>
      <c r="G342" t="inlineStr">
        <is>
          <t>Górna</t>
        </is>
      </c>
      <c r="H342" t="inlineStr">
        <is>
          <t>Górna</t>
        </is>
      </c>
      <c r="I342" t="inlineStr">
        <is>
          <t>TAK</t>
        </is>
      </c>
      <c r="J342" t="inlineStr">
        <is>
          <t>TAK</t>
        </is>
      </c>
      <c r="K342" t="n">
        <v>500380137</v>
      </c>
      <c r="L342" t="n">
        <v>410000</v>
      </c>
      <c r="M342" t="n">
        <v>7793.195210036115</v>
      </c>
      <c r="N342" t="n">
        <v>52.61</v>
      </c>
      <c r="O342" t="inlineStr">
        <is>
          <t>3+k</t>
        </is>
      </c>
      <c r="P342" t="n">
        <v>3</v>
      </c>
      <c r="Q342" t="inlineStr">
        <is>
          <t>Nie da się zamieszkać</t>
        </is>
      </c>
    </row>
    <row r="343">
      <c r="A343" t="n">
        <v>342</v>
      </c>
      <c r="B343" s="3" t="n">
        <v>45460</v>
      </c>
      <c r="C343" s="3" t="n">
        <v>45497</v>
      </c>
      <c r="D343" t="inlineStr">
        <is>
          <t>https://www.olx.pl/d/oferta/sprzedam-2-pokojowe-mieszkanie-bloki-lodz-retkinia-CID3-ID10DZKZ.html</t>
        </is>
      </c>
      <c r="E343">
        <f>HYPERLINK("https://www.olx.pl/d/oferta/sprzedam-2-pokojowe-mieszkanie-bloki-lodz-retkinia-CID3-ID10DZKZ.html", "https://www.olx.pl/d/oferta/sprzedam-2-pokojowe-mieszkanie-bloki-lodz-retkinia-CID3-ID10DZKZ.html")</f>
        <v/>
      </c>
      <c r="F343" t="inlineStr">
        <is>
          <t>batalionów chłopskich</t>
        </is>
      </c>
      <c r="G343" t="inlineStr">
        <is>
          <t>Retkinia</t>
        </is>
      </c>
      <c r="H343" t="inlineStr">
        <is>
          <t>Retkinia</t>
        </is>
      </c>
      <c r="I343" t="inlineStr">
        <is>
          <t>TAK</t>
        </is>
      </c>
      <c r="J343" t="inlineStr">
        <is>
          <t>TAK</t>
        </is>
      </c>
      <c r="K343" t="n">
        <v>691461873</v>
      </c>
      <c r="L343" t="n">
        <v>300000</v>
      </c>
      <c r="M343" t="n">
        <v>7092.198581560284</v>
      </c>
      <c r="N343" t="n">
        <v>42.3</v>
      </c>
      <c r="O343" t="inlineStr">
        <is>
          <t>2+k</t>
        </is>
      </c>
      <c r="P343" t="n">
        <v>4</v>
      </c>
      <c r="Q343" t="inlineStr">
        <is>
          <t>Nie da się zamieszkać</t>
        </is>
      </c>
    </row>
    <row r="344">
      <c r="A344" t="n">
        <v>343</v>
      </c>
      <c r="B344" s="3" t="n">
        <v>45460</v>
      </c>
      <c r="C344" s="3" t="n">
        <v>45487</v>
      </c>
      <c r="D344" t="inlineStr">
        <is>
          <t>https://szybko.pl/o/na-sprzedaz/lokal-mieszkalny+mieszkanie/Łódź+Bałuty/oferta-15274459</t>
        </is>
      </c>
      <c r="E344">
        <f>HYPERLINK("https://szybko.pl/o/na-sprzedaz/lokal-mieszkalny+mieszkanie/Łódź+Bałuty/oferta-15274459", "https://szybko.pl/o/na-sprzedaz/lokal-mieszkalny+mieszkanie/Łódź+Bałuty/oferta-15274459")</f>
        <v/>
      </c>
      <c r="G344" t="inlineStr">
        <is>
          <t>Teofilów</t>
        </is>
      </c>
      <c r="H344" t="inlineStr">
        <is>
          <t>Teofilów</t>
        </is>
      </c>
      <c r="I344" t="inlineStr">
        <is>
          <t>TAK</t>
        </is>
      </c>
      <c r="J344" t="inlineStr">
        <is>
          <t>TAK</t>
        </is>
      </c>
      <c r="K344" t="n">
        <v>502112226</v>
      </c>
      <c r="L344" t="n">
        <v>374000</v>
      </c>
      <c r="M344" t="n">
        <v>7192.307692307692</v>
      </c>
      <c r="N344" t="n">
        <v>52</v>
      </c>
      <c r="O344" t="inlineStr">
        <is>
          <t>2+k</t>
        </is>
      </c>
      <c r="P344" t="n">
        <v>3</v>
      </c>
      <c r="Q344" t="inlineStr">
        <is>
          <t>Nie da się zamieszkać</t>
        </is>
      </c>
    </row>
    <row r="345">
      <c r="A345" t="n">
        <v>344</v>
      </c>
      <c r="B345" s="3" t="n">
        <v>45460</v>
      </c>
      <c r="C345" s="3" t="n">
        <v>45532</v>
      </c>
      <c r="D345" t="inlineStr">
        <is>
          <t>https://szybko.pl/o/na-sprzedaz/lokal-mieszkalny+mieszkanie/Łódź+Polesie/oferta-15387844</t>
        </is>
      </c>
      <c r="E345">
        <f>HYPERLINK("https://szybko.pl/o/na-sprzedaz/lokal-mieszkalny+mieszkanie/Łódź+Polesie/oferta-15387844", "https://szybko.pl/o/na-sprzedaz/lokal-mieszkalny+mieszkanie/Łódź+Polesie/oferta-15387844")</f>
        <v/>
      </c>
      <c r="F345" t="inlineStr">
        <is>
          <t>karolew</t>
        </is>
      </c>
      <c r="G345" t="inlineStr">
        <is>
          <t>Retkinia</t>
        </is>
      </c>
      <c r="H345" t="inlineStr">
        <is>
          <t>Retkinia</t>
        </is>
      </c>
      <c r="I345" t="inlineStr">
        <is>
          <t>TAK</t>
        </is>
      </c>
      <c r="J345" t="inlineStr">
        <is>
          <t>TAK</t>
        </is>
      </c>
      <c r="K345" t="n">
        <v>537163259</v>
      </c>
      <c r="L345" t="n">
        <v>337000</v>
      </c>
      <c r="M345" t="n">
        <v>7802.732113915258</v>
      </c>
      <c r="N345" t="n">
        <v>43.19</v>
      </c>
      <c r="O345" t="inlineStr">
        <is>
          <t>2+k</t>
        </is>
      </c>
      <c r="P345" t="n">
        <v>8</v>
      </c>
      <c r="Q345" t="inlineStr">
        <is>
          <t>Nie da się zamieszkać</t>
        </is>
      </c>
      <c r="R345" t="n">
        <v>0</v>
      </c>
    </row>
    <row r="346">
      <c r="A346" t="n">
        <v>345</v>
      </c>
      <c r="B346" s="3" t="n">
        <v>45460</v>
      </c>
      <c r="C346" s="3" t="n">
        <v>45471</v>
      </c>
      <c r="D346" t="inlineStr">
        <is>
          <t>https://www.olx.pl/d/oferta/kawalerka-teofilow-CID3-ID10ErFJ.html?isPreviewActive=0&amp;sliderIndex=1</t>
        </is>
      </c>
      <c r="E346">
        <f>HYPERLINK("https://www.olx.pl/d/oferta/kawalerka-teofilow-CID3-ID10ErFJ.html?isPreviewActive=0&amp;sliderIndex=1", "https://www.olx.pl/d/oferta/kawalerka-teofilow-CID3-ID10ErFJ.html?isPreviewActive=0&amp;sliderIndex=1")</f>
        <v/>
      </c>
      <c r="F346" t="inlineStr">
        <is>
          <t>lniana</t>
        </is>
      </c>
      <c r="G346" t="inlineStr">
        <is>
          <t>Teofilów</t>
        </is>
      </c>
      <c r="H346" t="inlineStr">
        <is>
          <t>Teofilów</t>
        </is>
      </c>
      <c r="I346" t="inlineStr">
        <is>
          <t>TAK</t>
        </is>
      </c>
      <c r="J346" t="inlineStr">
        <is>
          <t>NIE</t>
        </is>
      </c>
      <c r="K346" t="n">
        <v>602300284</v>
      </c>
      <c r="L346" t="n">
        <v>198000</v>
      </c>
      <c r="M346" t="n">
        <v>7352.395098403268</v>
      </c>
      <c r="N346" t="n">
        <v>26.93</v>
      </c>
      <c r="O346" t="inlineStr">
        <is>
          <t>1+k</t>
        </is>
      </c>
      <c r="P346" t="n">
        <v>3</v>
      </c>
      <c r="Q346" t="inlineStr">
        <is>
          <t>Nie da się zamieszkać</t>
        </is>
      </c>
    </row>
    <row r="347">
      <c r="A347" t="n">
        <v>346</v>
      </c>
      <c r="B347" s="3" t="n">
        <v>45461</v>
      </c>
      <c r="C347" s="3" t="n">
        <v>45497</v>
      </c>
      <c r="D347" t="inlineStr">
        <is>
          <t>https://adresowo.pl/o/i6p3v4</t>
        </is>
      </c>
      <c r="E347">
        <f>HYPERLINK("https://adresowo.pl/o/i6p3v4", "https://adresowo.pl/o/i6p3v4")</f>
        <v/>
      </c>
      <c r="F347" t="inlineStr">
        <is>
          <t>elsnera</t>
        </is>
      </c>
      <c r="G347" t="inlineStr">
        <is>
          <t>Widzew</t>
        </is>
      </c>
      <c r="H347" t="inlineStr">
        <is>
          <t>Widzew</t>
        </is>
      </c>
      <c r="I347" t="inlineStr">
        <is>
          <t>TAK</t>
        </is>
      </c>
      <c r="J347" t="inlineStr">
        <is>
          <t>NIE</t>
        </is>
      </c>
      <c r="L347" t="n">
        <v>360000</v>
      </c>
      <c r="M347" t="n">
        <v>7058.823529411765</v>
      </c>
      <c r="N347" t="n">
        <v>51</v>
      </c>
      <c r="O347" t="inlineStr">
        <is>
          <t>2+k</t>
        </is>
      </c>
      <c r="P347" t="n">
        <v>5</v>
      </c>
      <c r="Q347" t="inlineStr">
        <is>
          <t>Nie da się zamieszkać</t>
        </is>
      </c>
    </row>
    <row r="348">
      <c r="A348" t="n">
        <v>347</v>
      </c>
      <c r="B348" s="3" t="n">
        <v>45461</v>
      </c>
      <c r="D348" t="inlineStr">
        <is>
          <t>https://www.otodom.pl/pl/oferta/retkiniowa-wymarzona-inwestycja-mieszkaniowa-ID4rtwx.html</t>
        </is>
      </c>
      <c r="E348">
        <f>HYPERLINK("https://www.otodom.pl/pl/oferta/retkiniowa-wymarzona-inwestycja-mieszkaniowa-ID4rtwx.html", "https://www.otodom.pl/pl/oferta/retkiniowa-wymarzona-inwestycja-mieszkaniowa-ID4rtwx.html")</f>
        <v/>
      </c>
      <c r="F348" t="inlineStr">
        <is>
          <t>popiełuszki</t>
        </is>
      </c>
      <c r="G348" t="inlineStr">
        <is>
          <t>Retkinia</t>
        </is>
      </c>
      <c r="H348" t="inlineStr">
        <is>
          <t>Retkinia</t>
        </is>
      </c>
      <c r="I348" t="inlineStr">
        <is>
          <t>NIE</t>
        </is>
      </c>
      <c r="J348" t="inlineStr">
        <is>
          <t>TAK</t>
        </is>
      </c>
      <c r="K348" t="n">
        <v>502647125</v>
      </c>
      <c r="L348" t="n">
        <v>320000</v>
      </c>
      <c r="M348" t="n">
        <v>6041.155370964697</v>
      </c>
      <c r="N348" t="n">
        <v>52.97</v>
      </c>
      <c r="O348" t="inlineStr">
        <is>
          <t>3+k</t>
        </is>
      </c>
      <c r="P348" t="n">
        <v>4</v>
      </c>
      <c r="Q348" t="inlineStr">
        <is>
          <t>Nie da się zamieszkać</t>
        </is>
      </c>
      <c r="R348" t="inlineStr">
        <is>
          <t>10.07 było 390k 03.08 było 380</t>
        </is>
      </c>
    </row>
    <row r="349">
      <c r="A349" t="n">
        <v>348</v>
      </c>
      <c r="B349" s="3" t="n">
        <v>45461</v>
      </c>
      <c r="C349" s="3" t="n">
        <v>45522</v>
      </c>
      <c r="D349" t="inlineStr">
        <is>
          <t>https://www.olx.pl/d/oferta/mieszkanie-48m2-bratyslawska-13-2-pokoje-2-pietro-balkon-CID3-IDZzXjr.html</t>
        </is>
      </c>
      <c r="E349">
        <f>HYPERLINK("https://www.olx.pl/d/oferta/mieszkanie-48m2-bratyslawska-13-2-pokoje-2-pietro-balkon-CID3-IDZzXjr.html", "https://www.olx.pl/d/oferta/mieszkanie-48m2-bratyslawska-13-2-pokoje-2-pietro-balkon-CID3-IDZzXjr.html")</f>
        <v/>
      </c>
      <c r="F349" t="inlineStr">
        <is>
          <t>bratysławska</t>
        </is>
      </c>
      <c r="G349" t="inlineStr">
        <is>
          <t>Retkinia</t>
        </is>
      </c>
      <c r="H349" t="inlineStr">
        <is>
          <t>Retkinia blisko centrum</t>
        </is>
      </c>
      <c r="I349" t="inlineStr">
        <is>
          <t>TAK</t>
        </is>
      </c>
      <c r="J349" t="inlineStr">
        <is>
          <t>NIE</t>
        </is>
      </c>
      <c r="K349" t="n">
        <v>537975170</v>
      </c>
      <c r="L349" t="n">
        <v>350000</v>
      </c>
      <c r="M349" t="n">
        <v>7291.666666666667</v>
      </c>
      <c r="N349" t="n">
        <v>48</v>
      </c>
      <c r="O349" t="inlineStr">
        <is>
          <t>2+k</t>
        </is>
      </c>
      <c r="P349" t="n">
        <v>2</v>
      </c>
      <c r="Q349" t="inlineStr">
        <is>
          <t>Puste</t>
        </is>
      </c>
    </row>
    <row r="350">
      <c r="A350" t="n">
        <v>349</v>
      </c>
      <c r="B350" s="3" t="n">
        <v>45461</v>
      </c>
      <c r="C350" s="3" t="n">
        <v>45510</v>
      </c>
      <c r="D350" t="inlineStr">
        <is>
          <t>https://www.otodom.pl/pl/oferta/okazja-3-pokoje-przy-ul-tatrzanskiej-ID4r7Rw.html</t>
        </is>
      </c>
      <c r="E350">
        <f>HYPERLINK("https://www.otodom.pl/pl/oferta/okazja-3-pokoje-przy-ul-tatrzanskiej-ID4r7Rw.html", "https://www.otodom.pl/pl/oferta/okazja-3-pokoje-przy-ul-tatrzanskiej-ID4r7Rw.html")</f>
        <v/>
      </c>
      <c r="F350" t="inlineStr">
        <is>
          <t>tatrzańska</t>
        </is>
      </c>
      <c r="G350" t="inlineStr">
        <is>
          <t>Dąbrowa</t>
        </is>
      </c>
      <c r="H350" t="inlineStr">
        <is>
          <t>Dąbrowa</t>
        </is>
      </c>
      <c r="I350" t="inlineStr">
        <is>
          <t>TAK</t>
        </is>
      </c>
      <c r="J350" t="inlineStr">
        <is>
          <t>TAK</t>
        </is>
      </c>
      <c r="K350" t="n">
        <v>737160999</v>
      </c>
      <c r="L350" t="n">
        <v>336000</v>
      </c>
      <c r="M350" t="n">
        <v>7000</v>
      </c>
      <c r="N350" t="n">
        <v>48</v>
      </c>
      <c r="O350" t="inlineStr">
        <is>
          <t>3+k</t>
        </is>
      </c>
      <c r="P350" t="n">
        <v>0</v>
      </c>
      <c r="Q350" t="inlineStr">
        <is>
          <t>Nie da się zamieszkać</t>
        </is>
      </c>
      <c r="R350" t="inlineStr">
        <is>
          <t>02.07 Było 359000 04.07 było 339000</t>
        </is>
      </c>
    </row>
    <row r="351">
      <c r="A351" t="n">
        <v>350</v>
      </c>
      <c r="B351" s="3" t="n">
        <v>45461</v>
      </c>
      <c r="D351" t="inlineStr">
        <is>
          <t>https://www.okolica.pl/offer/show/66978-S-O_16370/formular</t>
        </is>
      </c>
      <c r="E351">
        <f>HYPERLINK("https://www.okolica.pl/offer/show/66978-S-O_16370/formular", "https://www.okolica.pl/offer/show/66978-S-O_16370/formular")</f>
        <v/>
      </c>
      <c r="F351" t="inlineStr">
        <is>
          <t>marysińska</t>
        </is>
      </c>
      <c r="G351" t="inlineStr">
        <is>
          <t>Bałuty</t>
        </is>
      </c>
      <c r="H351" t="inlineStr">
        <is>
          <t>Bałuty</t>
        </is>
      </c>
      <c r="I351" t="inlineStr">
        <is>
          <t>NIE</t>
        </is>
      </c>
      <c r="J351" t="inlineStr">
        <is>
          <t>TAK</t>
        </is>
      </c>
      <c r="K351" t="n">
        <v>511488139</v>
      </c>
      <c r="L351" t="n">
        <v>390000</v>
      </c>
      <c r="M351" t="n">
        <v>6842.105263157895</v>
      </c>
      <c r="N351" t="n">
        <v>57</v>
      </c>
      <c r="O351" t="inlineStr">
        <is>
          <t>3+k</t>
        </is>
      </c>
      <c r="P351" t="n">
        <v>10</v>
      </c>
      <c r="Q351" t="inlineStr">
        <is>
          <t>Da się zamieszkać</t>
        </is>
      </c>
    </row>
    <row r="352">
      <c r="A352" t="n">
        <v>351</v>
      </c>
      <c r="B352" s="3" t="n">
        <v>45461</v>
      </c>
      <c r="C352" s="3" t="n">
        <v>45467</v>
      </c>
      <c r="D352" t="inlineStr">
        <is>
          <t>https://nieruchomosci.gratka.pl/nieruchomosci/mieszkanie-lodz-baluty-przemyslowa/ob/34935149</t>
        </is>
      </c>
      <c r="E352">
        <f>HYPERLINK("https://nieruchomosci.gratka.pl/nieruchomosci/mieszkanie-lodz-baluty-przemyslowa/ob/34935149", "https://nieruchomosci.gratka.pl/nieruchomosci/mieszkanie-lodz-baluty-przemyslowa/ob/34935149")</f>
        <v/>
      </c>
      <c r="F352" t="inlineStr">
        <is>
          <t>przemysłowa</t>
        </is>
      </c>
      <c r="G352" t="inlineStr">
        <is>
          <t>Bałuty</t>
        </is>
      </c>
      <c r="H352" t="inlineStr">
        <is>
          <t>Bałuty</t>
        </is>
      </c>
      <c r="I352" t="inlineStr">
        <is>
          <t>TAK</t>
        </is>
      </c>
      <c r="J352" t="inlineStr">
        <is>
          <t>TAK</t>
        </is>
      </c>
      <c r="K352" t="n">
        <v>504900221</v>
      </c>
      <c r="L352" t="n">
        <v>200000</v>
      </c>
      <c r="M352" t="n">
        <v>6060.606060606061</v>
      </c>
      <c r="N352" t="n">
        <v>33</v>
      </c>
      <c r="O352" t="inlineStr">
        <is>
          <t>1+k</t>
        </is>
      </c>
      <c r="P352" t="n">
        <v>2</v>
      </c>
      <c r="Q352" t="inlineStr">
        <is>
          <t>Nie da się zamieszkać</t>
        </is>
      </c>
    </row>
    <row r="353">
      <c r="A353" t="n">
        <v>352</v>
      </c>
      <c r="B353" s="3" t="n">
        <v>45462</v>
      </c>
      <c r="C353" s="3" t="n">
        <v>45532</v>
      </c>
      <c r="D353" t="inlineStr">
        <is>
          <t>https://www.otodom.pl/pl/oferta/kawalerka-z-balkonem-do-remontu-lodz-ID4r8T6.html</t>
        </is>
      </c>
      <c r="E353">
        <f>HYPERLINK("https://www.otodom.pl/pl/oferta/kawalerka-z-balkonem-do-remontu-lodz-ID4r8T6.html", "https://www.otodom.pl/pl/oferta/kawalerka-z-balkonem-do-remontu-lodz-ID4r8T6.html")</f>
        <v/>
      </c>
      <c r="F353" t="inlineStr">
        <is>
          <t>zapolskiej</t>
        </is>
      </c>
      <c r="G353" t="inlineStr">
        <is>
          <t>Dąbrowa</t>
        </is>
      </c>
      <c r="H353" t="inlineStr">
        <is>
          <t>Dąbrowa</t>
        </is>
      </c>
      <c r="I353" t="inlineStr">
        <is>
          <t>TAK</t>
        </is>
      </c>
      <c r="J353" t="inlineStr">
        <is>
          <t>TAK</t>
        </is>
      </c>
      <c r="K353" t="n">
        <v>531661851</v>
      </c>
      <c r="L353" t="n">
        <v>223000</v>
      </c>
      <c r="M353" t="n">
        <v>7964.285714285715</v>
      </c>
      <c r="N353" t="n">
        <v>28</v>
      </c>
      <c r="O353" t="inlineStr">
        <is>
          <t>1+k</t>
        </is>
      </c>
      <c r="P353" t="n">
        <v>10</v>
      </c>
      <c r="Q353" t="inlineStr">
        <is>
          <t>Nie da się zamieszkać</t>
        </is>
      </c>
      <c r="R353" t="inlineStr">
        <is>
          <t>Było nie aktywne od 24.07 wróciło w czasie do 02.08</t>
        </is>
      </c>
    </row>
    <row r="354">
      <c r="A354" t="n">
        <v>353</v>
      </c>
      <c r="B354" s="3" t="n">
        <v>45462</v>
      </c>
      <c r="C354" s="3" t="n">
        <v>45497</v>
      </c>
      <c r="D354" t="inlineStr">
        <is>
          <t>https://www.otodom.pl/pl/oferta/ul-mieszkalna-2-pokoje-45-74-mkw-ID4r8Lx.html</t>
        </is>
      </c>
      <c r="E354">
        <f>HYPERLINK("https://www.otodom.pl/pl/oferta/ul-mieszkalna-2-pokoje-45-74-mkw-ID4r8Lx.html", "https://www.otodom.pl/pl/oferta/ul-mieszkalna-2-pokoje-45-74-mkw-ID4r8Lx.html")</f>
        <v/>
      </c>
      <c r="F354" t="inlineStr">
        <is>
          <t>mieszkalna 51</t>
        </is>
      </c>
      <c r="G354" t="inlineStr">
        <is>
          <t>Górna</t>
        </is>
      </c>
      <c r="H354" t="inlineStr">
        <is>
          <t>Daleka górna</t>
        </is>
      </c>
      <c r="I354" t="inlineStr">
        <is>
          <t>TAK</t>
        </is>
      </c>
      <c r="J354" t="inlineStr">
        <is>
          <t>TAK</t>
        </is>
      </c>
      <c r="K354" t="n">
        <v>732850190</v>
      </c>
      <c r="L354" t="n">
        <v>319000</v>
      </c>
      <c r="M354" t="n">
        <v>6974.202011368605</v>
      </c>
      <c r="N354" t="n">
        <v>45.74</v>
      </c>
      <c r="O354" t="inlineStr">
        <is>
          <t>2+k</t>
        </is>
      </c>
      <c r="P354" t="n">
        <v>2</v>
      </c>
      <c r="Q354" t="inlineStr">
        <is>
          <t>Puste</t>
        </is>
      </c>
    </row>
    <row r="355">
      <c r="A355" t="n">
        <v>354</v>
      </c>
      <c r="B355" s="3" t="n">
        <v>45462</v>
      </c>
      <c r="D355" t="inlineStr">
        <is>
          <t>https://www.otodom.pl/pl/oferta/przytulne-mieszkanie-z-potencjalem-z-loggia-ID4r8XG.html</t>
        </is>
      </c>
      <c r="E355">
        <f>HYPERLINK("https://www.otodom.pl/pl/oferta/przytulne-mieszkanie-z-potencjalem-z-loggia-ID4r8XG.html", "https://www.otodom.pl/pl/oferta/przytulne-mieszkanie-z-potencjalem-z-loggia-ID4r8XG.html")</f>
        <v/>
      </c>
      <c r="F355" t="inlineStr">
        <is>
          <t>piasta</t>
        </is>
      </c>
      <c r="G355" t="inlineStr">
        <is>
          <t>Górna</t>
        </is>
      </c>
      <c r="H355" t="inlineStr">
        <is>
          <t>Górna</t>
        </is>
      </c>
      <c r="I355" t="inlineStr">
        <is>
          <t>NIE</t>
        </is>
      </c>
      <c r="J355" t="inlineStr">
        <is>
          <t>TAK</t>
        </is>
      </c>
      <c r="K355" t="n">
        <v>579523584</v>
      </c>
      <c r="L355" t="n">
        <v>349500</v>
      </c>
      <c r="M355" t="n">
        <v>7281.25</v>
      </c>
      <c r="N355" t="n">
        <v>48</v>
      </c>
      <c r="O355" t="inlineStr">
        <is>
          <t>2+k</t>
        </is>
      </c>
      <c r="P355" t="n">
        <v>0</v>
      </c>
      <c r="Q355" t="inlineStr">
        <is>
          <t>Puste posprzątane</t>
        </is>
      </c>
      <c r="R355" t="inlineStr">
        <is>
          <t>07.08 obejrzane na żywo - Fajne mieszkanie dobrze przygotowane dobra okolica- powinno się sprzedać.</t>
        </is>
      </c>
      <c r="T355" t="inlineStr">
        <is>
          <t>657</t>
        </is>
      </c>
    </row>
    <row r="356">
      <c r="A356" t="n">
        <v>355</v>
      </c>
      <c r="B356" s="3" t="n">
        <v>45462</v>
      </c>
      <c r="D356" t="inlineStr">
        <is>
          <t>https://www.domiporta.pl/nieruchomosci/sprzedam-mieszkanie-dwupokojowe-lodz-teofilow-plantowa-37m2/155211919</t>
        </is>
      </c>
      <c r="E356">
        <f>HYPERLINK("https://www.domiporta.pl/nieruchomosci/sprzedam-mieszkanie-dwupokojowe-lodz-teofilow-plantowa-37m2/155211919", "https://www.domiporta.pl/nieruchomosci/sprzedam-mieszkanie-dwupokojowe-lodz-teofilow-plantowa-37m2/155211919")</f>
        <v/>
      </c>
      <c r="F356" t="inlineStr">
        <is>
          <t>plantowa</t>
        </is>
      </c>
      <c r="G356" t="inlineStr">
        <is>
          <t>Teofilów</t>
        </is>
      </c>
      <c r="H356" t="inlineStr">
        <is>
          <t>Teofilów</t>
        </is>
      </c>
      <c r="I356" t="inlineStr">
        <is>
          <t>NIE</t>
        </is>
      </c>
      <c r="J356" t="inlineStr">
        <is>
          <t>TAK</t>
        </is>
      </c>
      <c r="K356" t="n">
        <v>518332634</v>
      </c>
      <c r="L356" t="n">
        <v>274000</v>
      </c>
      <c r="M356" t="n">
        <v>7405.405405405405</v>
      </c>
      <c r="N356" t="n">
        <v>37</v>
      </c>
      <c r="O356" t="inlineStr">
        <is>
          <t>2+k</t>
        </is>
      </c>
      <c r="P356" t="n">
        <v>1</v>
      </c>
      <c r="Q356" t="inlineStr">
        <is>
          <t>Nie da się zamieszkać</t>
        </is>
      </c>
      <c r="R356" t="inlineStr">
        <is>
          <t>20.07 było 289k</t>
        </is>
      </c>
    </row>
    <row r="357">
      <c r="A357" t="n">
        <v>356</v>
      </c>
      <c r="B357" s="3" t="n">
        <v>45462</v>
      </c>
      <c r="C357" s="3" t="n">
        <v>45522</v>
      </c>
      <c r="D357" t="inlineStr">
        <is>
          <t>https://www.otodom.pl/pl/oferta/2-pokoje-2-pietro-lodz-dabrowa-ID4q18y.html</t>
        </is>
      </c>
      <c r="E357">
        <f>HYPERLINK("https://www.otodom.pl/pl/oferta/2-pokoje-2-pietro-lodz-dabrowa-ID4q18y.html", "https://www.otodom.pl/pl/oferta/2-pokoje-2-pietro-lodz-dabrowa-ID4q18y.html")</f>
        <v/>
      </c>
      <c r="F357" t="inlineStr">
        <is>
          <t xml:space="preserve">dąbrowskiego </t>
        </is>
      </c>
      <c r="G357" t="inlineStr">
        <is>
          <t>Dąbrowa</t>
        </is>
      </c>
      <c r="H357" t="inlineStr">
        <is>
          <t>Dąbrowa</t>
        </is>
      </c>
      <c r="I357" t="inlineStr">
        <is>
          <t>TAK</t>
        </is>
      </c>
      <c r="J357" t="inlineStr">
        <is>
          <t>TAK</t>
        </is>
      </c>
      <c r="K357" t="n">
        <v>881791778</v>
      </c>
      <c r="L357" t="n">
        <v>248000</v>
      </c>
      <c r="M357" t="n">
        <v>6843.26710816777</v>
      </c>
      <c r="N357" t="n">
        <v>36.24</v>
      </c>
      <c r="O357" t="inlineStr">
        <is>
          <t>2+k</t>
        </is>
      </c>
      <c r="P357" t="n">
        <v>2</v>
      </c>
      <c r="Q357" t="inlineStr">
        <is>
          <t>Nie da się zamieszkać</t>
        </is>
      </c>
      <c r="R357" t="inlineStr">
        <is>
          <t xml:space="preserve">20.07. było 258k 16.08 było 255k </t>
        </is>
      </c>
    </row>
    <row r="358">
      <c r="A358" t="n">
        <v>357</v>
      </c>
      <c r="B358" s="3" t="n">
        <v>45462</v>
      </c>
      <c r="C358" s="3" t="n">
        <v>45497</v>
      </c>
      <c r="D358" t="inlineStr">
        <is>
          <t>https://www.olx.pl/d/oferta/3-pokojowe-mieszkanie-na-gornej-CID3-IDYTeM9.html</t>
        </is>
      </c>
      <c r="E358">
        <f>HYPERLINK("https://www.olx.pl/d/oferta/3-pokojowe-mieszkanie-na-gornej-CID3-IDYTeM9.html", "https://www.olx.pl/d/oferta/3-pokojowe-mieszkanie-na-gornej-CID3-IDYTeM9.html")</f>
        <v/>
      </c>
      <c r="F358" t="inlineStr">
        <is>
          <t>.</t>
        </is>
      </c>
      <c r="G358" t="inlineStr">
        <is>
          <t>Górna</t>
        </is>
      </c>
      <c r="H358" t="inlineStr">
        <is>
          <t>Górna</t>
        </is>
      </c>
      <c r="I358" t="inlineStr">
        <is>
          <t>TAK</t>
        </is>
      </c>
      <c r="J358" t="inlineStr">
        <is>
          <t>TAK</t>
        </is>
      </c>
      <c r="K358" t="n">
        <v>733317925</v>
      </c>
      <c r="L358" t="n">
        <v>380000</v>
      </c>
      <c r="M358" t="n">
        <v>6949.524506217996</v>
      </c>
      <c r="N358" t="n">
        <v>54.68</v>
      </c>
      <c r="O358" t="inlineStr">
        <is>
          <t>3+k</t>
        </is>
      </c>
      <c r="P358" t="n">
        <v>1</v>
      </c>
      <c r="Q358" t="inlineStr">
        <is>
          <t>Nie da się zamieszkać</t>
        </is>
      </c>
      <c r="R358" t="inlineStr">
        <is>
          <t xml:space="preserve">15.07 było 399 </t>
        </is>
      </c>
    </row>
    <row r="359">
      <c r="A359" t="n">
        <v>358</v>
      </c>
      <c r="B359" s="3" t="n">
        <v>45462</v>
      </c>
      <c r="C359" s="3" t="n">
        <v>45532</v>
      </c>
      <c r="D359" t="inlineStr">
        <is>
          <t>https://www.otodom.pl/pl/oferta/m3dabrowa-pelen-rozklad-balkon-1pietro-okazja-ID4pUyE.html</t>
        </is>
      </c>
      <c r="E359">
        <f>HYPERLINK("https://www.otodom.pl/pl/oferta/m3dabrowa-pelen-rozklad-balkon-1pietro-okazja-ID4pUyE.html", "https://www.otodom.pl/pl/oferta/m3dabrowa-pelen-rozklad-balkon-1pietro-okazja-ID4pUyE.html")</f>
        <v/>
      </c>
      <c r="F359" t="inlineStr">
        <is>
          <t>wincentego kadłubka</t>
        </is>
      </c>
      <c r="G359" t="inlineStr">
        <is>
          <t>Dąbrowa</t>
        </is>
      </c>
      <c r="H359" t="inlineStr">
        <is>
          <t>Dąbrowa</t>
        </is>
      </c>
      <c r="I359" t="inlineStr">
        <is>
          <t>TAK</t>
        </is>
      </c>
      <c r="J359" t="inlineStr">
        <is>
          <t>TAK</t>
        </is>
      </c>
      <c r="K359" t="n">
        <v>530442532</v>
      </c>
      <c r="L359" t="n">
        <v>309000</v>
      </c>
      <c r="M359" t="n">
        <v>6776.315789473684</v>
      </c>
      <c r="N359" t="n">
        <v>45.6</v>
      </c>
      <c r="O359" t="inlineStr">
        <is>
          <t>2+k</t>
        </is>
      </c>
      <c r="P359" t="n">
        <v>1</v>
      </c>
      <c r="Q359" t="inlineStr">
        <is>
          <t>Nie da się zamieszkać</t>
        </is>
      </c>
      <c r="R359" t="inlineStr">
        <is>
          <t>herberg odpada</t>
        </is>
      </c>
    </row>
    <row r="360">
      <c r="A360" t="n">
        <v>359</v>
      </c>
      <c r="B360" s="3" t="n">
        <v>45463</v>
      </c>
      <c r="C360" s="3" t="n">
        <v>45497</v>
      </c>
      <c r="D360" t="inlineStr">
        <is>
          <t>https://www.olx.pl/d/oferta/mieszkanie-dwupokojowe-do-wlasnej-aranzacji-CID3-ID10FY07.html</t>
        </is>
      </c>
      <c r="E360">
        <f>HYPERLINK("https://www.olx.pl/d/oferta/mieszkanie-dwupokojowe-do-wlasnej-aranzacji-CID3-ID10FY07.html", "https://www.olx.pl/d/oferta/mieszkanie-dwupokojowe-do-wlasnej-aranzacji-CID3-ID10FY07.html")</f>
        <v/>
      </c>
      <c r="F360" t="inlineStr">
        <is>
          <t>.</t>
        </is>
      </c>
      <c r="G360" t="inlineStr">
        <is>
          <t>Dąbrowa</t>
        </is>
      </c>
      <c r="H360" t="inlineStr">
        <is>
          <t>Dąbrowa</t>
        </is>
      </c>
      <c r="I360" t="inlineStr">
        <is>
          <t>TAK</t>
        </is>
      </c>
      <c r="J360" t="inlineStr">
        <is>
          <t>NIE</t>
        </is>
      </c>
      <c r="K360" t="n">
        <v>513376729</v>
      </c>
      <c r="L360" t="n">
        <v>280000</v>
      </c>
      <c r="M360" t="n">
        <v>7777.777777777777</v>
      </c>
      <c r="N360" t="n">
        <v>36</v>
      </c>
      <c r="O360" t="inlineStr">
        <is>
          <t>2+k</t>
        </is>
      </c>
      <c r="P360" t="n">
        <v>2</v>
      </c>
      <c r="Q360" t="inlineStr">
        <is>
          <t>Puste</t>
        </is>
      </c>
      <c r="T360" t="inlineStr">
        <is>
          <t>76, 817, 852</t>
        </is>
      </c>
    </row>
    <row r="361">
      <c r="A361" t="n">
        <v>360</v>
      </c>
      <c r="B361" s="3" t="n">
        <v>45463</v>
      </c>
      <c r="C361" s="3" t="n">
        <v>45522</v>
      </c>
      <c r="D361" t="inlineStr">
        <is>
          <t>https://www.otodom.pl/pl/oferta/mieszkanie-2-pokojowe-teofilow-zabieniec-m3-ID4r9TH</t>
        </is>
      </c>
      <c r="E361">
        <f>HYPERLINK("https://www.otodom.pl/pl/oferta/mieszkanie-2-pokojowe-teofilow-zabieniec-m3-ID4r9TH", "https://www.otodom.pl/pl/oferta/mieszkanie-2-pokojowe-teofilow-zabieniec-m3-ID4r9TH")</f>
        <v/>
      </c>
      <c r="F361" t="inlineStr">
        <is>
          <t>plantowa</t>
        </is>
      </c>
      <c r="G361" t="inlineStr">
        <is>
          <t>Teofilów</t>
        </is>
      </c>
      <c r="H361" t="inlineStr">
        <is>
          <t>Teofilów</t>
        </is>
      </c>
      <c r="I361" t="inlineStr">
        <is>
          <t>TAK</t>
        </is>
      </c>
      <c r="J361" t="inlineStr">
        <is>
          <t>TAK</t>
        </is>
      </c>
      <c r="K361" t="n">
        <v>793369878</v>
      </c>
      <c r="L361" t="n">
        <v>280000</v>
      </c>
      <c r="M361" t="n">
        <v>7368.421052631579</v>
      </c>
      <c r="N361" t="n">
        <v>38</v>
      </c>
      <c r="O361" t="inlineStr">
        <is>
          <t>2+k</t>
        </is>
      </c>
      <c r="P361" t="n">
        <v>0</v>
      </c>
      <c r="Q361" t="inlineStr">
        <is>
          <t>Puste posprzątane i odświeżone</t>
        </is>
      </c>
    </row>
    <row r="362">
      <c r="A362" t="n">
        <v>361</v>
      </c>
      <c r="B362" s="3" t="n">
        <v>45463</v>
      </c>
      <c r="C362" s="3" t="n">
        <v>45475</v>
      </c>
      <c r="D362" t="inlineStr">
        <is>
          <t>https://www.okolica.pl/offer/show/30667-S-27672/formular</t>
        </is>
      </c>
      <c r="E362">
        <f>HYPERLINK("https://www.okolica.pl/offer/show/30667-S-27672/formular", "https://www.okolica.pl/offer/show/30667-S-27672/formular")</f>
        <v/>
      </c>
      <c r="F362" t="inlineStr">
        <is>
          <t>wawelska</t>
        </is>
      </c>
      <c r="G362" t="inlineStr">
        <is>
          <t>Bałuty</t>
        </is>
      </c>
      <c r="H362" t="inlineStr">
        <is>
          <t>Bałuty</t>
        </is>
      </c>
      <c r="I362" t="inlineStr">
        <is>
          <t>TAK</t>
        </is>
      </c>
      <c r="J362" t="inlineStr">
        <is>
          <t>NIE</t>
        </is>
      </c>
      <c r="K362" t="n">
        <v>667503303</v>
      </c>
      <c r="L362" t="n">
        <v>260000</v>
      </c>
      <c r="M362" t="n">
        <v>6046.511627906977</v>
      </c>
      <c r="N362" t="n">
        <v>43</v>
      </c>
      <c r="O362" t="inlineStr">
        <is>
          <t>2+k</t>
        </is>
      </c>
      <c r="P362" t="n">
        <v>0</v>
      </c>
      <c r="Q362" t="inlineStr">
        <is>
          <t>Nie da się zamieszkać</t>
        </is>
      </c>
    </row>
    <row r="363">
      <c r="A363" t="n">
        <v>362</v>
      </c>
      <c r="B363" s="3" t="n">
        <v>45463</v>
      </c>
      <c r="D363" t="inlineStr">
        <is>
          <t>https://www.otodom.pl/pl/oferta/sloneczne-rozkladowe-2-pokojowe-mieszkanie-ID4r9JZ.html</t>
        </is>
      </c>
      <c r="E363">
        <f>HYPERLINK("https://www.otodom.pl/pl/oferta/sloneczne-rozkladowe-2-pokojowe-mieszkanie-ID4r9JZ.html", "https://www.otodom.pl/pl/oferta/sloneczne-rozkladowe-2-pokojowe-mieszkanie-ID4r9JZ.html")</f>
        <v/>
      </c>
      <c r="F363" t="inlineStr">
        <is>
          <t>lniana</t>
        </is>
      </c>
      <c r="G363" t="inlineStr">
        <is>
          <t>Teofilów</t>
        </is>
      </c>
      <c r="H363" t="inlineStr">
        <is>
          <t>Teofilów</t>
        </is>
      </c>
      <c r="I363" t="inlineStr">
        <is>
          <t>NIE</t>
        </is>
      </c>
      <c r="J363" t="inlineStr">
        <is>
          <t>TAK</t>
        </is>
      </c>
      <c r="K363" t="n">
        <v>506187127</v>
      </c>
      <c r="L363" t="n">
        <v>330000</v>
      </c>
      <c r="M363" t="n">
        <v>7361.142092348874</v>
      </c>
      <c r="N363" t="n">
        <v>44.83</v>
      </c>
      <c r="O363" t="inlineStr">
        <is>
          <t>2+k</t>
        </is>
      </c>
      <c r="P363" t="n">
        <v>3</v>
      </c>
      <c r="Q363" t="inlineStr">
        <is>
          <t>Nie da się zamieszkać</t>
        </is>
      </c>
      <c r="R363" t="inlineStr">
        <is>
          <t>20.07 było 3500000</t>
        </is>
      </c>
    </row>
    <row r="364">
      <c r="A364" t="n">
        <v>363</v>
      </c>
      <c r="B364" s="3" t="n">
        <v>45463</v>
      </c>
      <c r="C364" s="3" t="n">
        <v>45532</v>
      </c>
      <c r="D364" t="inlineStr">
        <is>
          <t>https://www.otodom.pl/pl/oferta/dwa-pokoje-45-m2-do-remontu-ID4ranG</t>
        </is>
      </c>
      <c r="E364">
        <f>HYPERLINK("https://www.otodom.pl/pl/oferta/dwa-pokoje-45-m2-do-remontu-ID4ranG", "https://www.otodom.pl/pl/oferta/dwa-pokoje-45-m2-do-remontu-ID4ranG")</f>
        <v/>
      </c>
      <c r="F364" t="inlineStr">
        <is>
          <t>pojezierska</t>
        </is>
      </c>
      <c r="G364" t="inlineStr">
        <is>
          <t>Bałuty</t>
        </is>
      </c>
      <c r="H364" t="inlineStr">
        <is>
          <t>Bałuty</t>
        </is>
      </c>
      <c r="I364" t="inlineStr">
        <is>
          <t>TAK</t>
        </is>
      </c>
      <c r="J364" t="inlineStr">
        <is>
          <t>TAK</t>
        </is>
      </c>
      <c r="K364" t="n">
        <v>509700339</v>
      </c>
      <c r="L364" t="n">
        <v>300000</v>
      </c>
      <c r="M364" t="n">
        <v>6666.666666666667</v>
      </c>
      <c r="N364" t="n">
        <v>45</v>
      </c>
      <c r="O364" t="inlineStr">
        <is>
          <t>2+k</t>
        </is>
      </c>
      <c r="P364" t="n">
        <v>0</v>
      </c>
      <c r="Q364" t="inlineStr">
        <is>
          <t>Nie da się zamieszkać</t>
        </is>
      </c>
      <c r="R364" t="inlineStr">
        <is>
          <t>03.09 nieaktualne, pośredniczka jakaś zaspana czy coś</t>
        </is>
      </c>
    </row>
    <row r="365">
      <c r="A365" t="n">
        <v>364</v>
      </c>
      <c r="B365" s="3" t="n">
        <v>45463</v>
      </c>
      <c r="D365" t="inlineStr">
        <is>
          <t>https://lodz.nieruchomosci-online.pl/mieszkanie,m2,z-oddzielna-kuchnia/24768698.html</t>
        </is>
      </c>
      <c r="E365">
        <f>HYPERLINK("https://lodz.nieruchomosci-online.pl/mieszkanie,m2,z-oddzielna-kuchnia/24768698.html", "https://lodz.nieruchomosci-online.pl/mieszkanie,m2,z-oddzielna-kuchnia/24768698.html")</f>
        <v/>
      </c>
      <c r="F365" t="inlineStr">
        <is>
          <t>pietrusińskiego</t>
        </is>
      </c>
      <c r="G365" t="inlineStr">
        <is>
          <t>Polesie</t>
        </is>
      </c>
      <c r="H365" t="inlineStr">
        <is>
          <t>Polesie</t>
        </is>
      </c>
      <c r="I365" t="inlineStr">
        <is>
          <t>NIE</t>
        </is>
      </c>
      <c r="J365" t="inlineStr">
        <is>
          <t>TAK</t>
        </is>
      </c>
      <c r="K365" t="n">
        <v>519110513</v>
      </c>
      <c r="L365" t="n">
        <v>330000</v>
      </c>
      <c r="M365" t="n">
        <v>7276.736493936052</v>
      </c>
      <c r="N365" t="n">
        <v>45.35</v>
      </c>
      <c r="O365" t="inlineStr">
        <is>
          <t>2+k</t>
        </is>
      </c>
      <c r="P365" t="n">
        <v>1</v>
      </c>
      <c r="Q365" t="inlineStr">
        <is>
          <t>Nie da się zamieszkać</t>
        </is>
      </c>
    </row>
    <row r="366">
      <c r="A366" t="n">
        <v>365</v>
      </c>
      <c r="B366" s="3" t="n">
        <v>45464</v>
      </c>
      <c r="C366" s="3" t="n">
        <v>45522</v>
      </c>
      <c r="D366" t="inlineStr">
        <is>
          <t>https://www.okolica.pl/offer/show/33885-S-JAKU683/formular</t>
        </is>
      </c>
      <c r="E366">
        <f>HYPERLINK("https://www.okolica.pl/offer/show/33885-S-JAKU683/formular", "https://www.okolica.pl/offer/show/33885-S-JAKU683/formular")</f>
        <v/>
      </c>
      <c r="F366" t="inlineStr">
        <is>
          <t>obrońców westerplatte</t>
        </is>
      </c>
      <c r="G366" t="inlineStr">
        <is>
          <t>Bałuty</t>
        </is>
      </c>
      <c r="H366" t="inlineStr">
        <is>
          <t>Bałuty blisko centrum</t>
        </is>
      </c>
      <c r="I366" t="inlineStr">
        <is>
          <t>TAK</t>
        </is>
      </c>
      <c r="J366" t="inlineStr">
        <is>
          <t>TAK</t>
        </is>
      </c>
      <c r="K366" t="n">
        <v>573068839</v>
      </c>
      <c r="L366" t="n">
        <v>379000</v>
      </c>
      <c r="M366" t="n">
        <v>7564.870259481037</v>
      </c>
      <c r="N366" t="n">
        <v>50.1</v>
      </c>
      <c r="O366" t="inlineStr">
        <is>
          <t>2+k</t>
        </is>
      </c>
      <c r="P366" t="n">
        <v>3</v>
      </c>
      <c r="Q366" t="inlineStr">
        <is>
          <t>Puste posprzątane</t>
        </is>
      </c>
      <c r="R366" t="inlineStr">
        <is>
          <t>Obejrzane 5 sierpień</t>
        </is>
      </c>
    </row>
    <row r="367">
      <c r="A367" t="n">
        <v>366</v>
      </c>
      <c r="B367" s="3" t="n">
        <v>45464</v>
      </c>
      <c r="C367" t="inlineStr">
        <is>
          <t>28.06.20224</t>
        </is>
      </c>
      <c r="D367" t="inlineStr">
        <is>
          <t>https://www.otodom.pl/pl/oferta/m-3-teofilow-ID4raO7.html</t>
        </is>
      </c>
      <c r="E367">
        <f>HYPERLINK("https://www.otodom.pl/pl/oferta/m-3-teofilow-ID4raO7.html", "https://www.otodom.pl/pl/oferta/m-3-teofilow-ID4raO7.html")</f>
        <v/>
      </c>
      <c r="F367" t="inlineStr">
        <is>
          <t>wici</t>
        </is>
      </c>
      <c r="G367" t="inlineStr">
        <is>
          <t>Teofilów</t>
        </is>
      </c>
      <c r="H367" t="inlineStr">
        <is>
          <t>Teofilów</t>
        </is>
      </c>
      <c r="I367" t="inlineStr">
        <is>
          <t>TAK</t>
        </is>
      </c>
      <c r="J367" t="inlineStr">
        <is>
          <t>NIE</t>
        </is>
      </c>
      <c r="K367" t="n">
        <v>502464686</v>
      </c>
      <c r="L367" t="n">
        <v>239000</v>
      </c>
      <c r="M367" t="n">
        <v>6376.734258271078</v>
      </c>
      <c r="N367" t="n">
        <v>37.48</v>
      </c>
      <c r="O367" t="inlineStr">
        <is>
          <t>2+k</t>
        </is>
      </c>
      <c r="P367" t="n">
        <v>0</v>
      </c>
      <c r="Q367" t="inlineStr">
        <is>
          <t>Nie da się zamieszkać</t>
        </is>
      </c>
    </row>
    <row r="368">
      <c r="A368" t="n">
        <v>367</v>
      </c>
      <c r="B368" s="3" t="n">
        <v>45464</v>
      </c>
      <c r="C368" s="3" t="n">
        <v>45481</v>
      </c>
      <c r="D368" t="inlineStr">
        <is>
          <t>https://www.otodom.pl/pl/oferta/dwa-pokoje-parter-w-okolicy-al-unii-lubelskiej-ID4prde.html</t>
        </is>
      </c>
      <c r="E368">
        <f>HYPERLINK("https://www.otodom.pl/pl/oferta/dwa-pokoje-parter-w-okolicy-al-unii-lubelskiej-ID4prde.html", "https://www.otodom.pl/pl/oferta/dwa-pokoje-parter-w-okolicy-al-unii-lubelskiej-ID4prde.html")</f>
        <v/>
      </c>
      <c r="F368" t="inlineStr">
        <is>
          <t>alei uni lubelskiej</t>
        </is>
      </c>
      <c r="G368" t="inlineStr">
        <is>
          <t>Polesie</t>
        </is>
      </c>
      <c r="H368" t="inlineStr">
        <is>
          <t>Polesie</t>
        </is>
      </c>
      <c r="I368" t="inlineStr">
        <is>
          <t>TAK</t>
        </is>
      </c>
      <c r="J368" t="inlineStr">
        <is>
          <t>TAK</t>
        </is>
      </c>
      <c r="K368" t="n">
        <v>690269600</v>
      </c>
      <c r="L368" t="n">
        <v>339000</v>
      </c>
      <c r="M368" t="n">
        <v>7078.722071413657</v>
      </c>
      <c r="N368" t="n">
        <v>47.89</v>
      </c>
      <c r="O368" t="inlineStr">
        <is>
          <t>2+k</t>
        </is>
      </c>
      <c r="P368" t="n">
        <v>0</v>
      </c>
      <c r="Q368" t="inlineStr">
        <is>
          <t>Nie da się zamieszkać</t>
        </is>
      </c>
    </row>
    <row r="369">
      <c r="A369" t="n">
        <v>368</v>
      </c>
      <c r="B369" s="3" t="n">
        <v>45464</v>
      </c>
      <c r="C369" s="3" t="n">
        <v>45481</v>
      </c>
      <c r="D369" t="inlineStr">
        <is>
          <t>https://www.otodom.pl/pl/oferta/rozkladowe-m3-z-balkonem-ii-p-ul-hipoteczna-ID4rb0H.html</t>
        </is>
      </c>
      <c r="E369">
        <f>HYPERLINK("https://www.otodom.pl/pl/oferta/rozkladowe-m3-z-balkonem-ii-p-ul-hipoteczna-ID4rb0H.html", "https://www.otodom.pl/pl/oferta/rozkladowe-m3-z-balkonem-ii-p-ul-hipoteczna-ID4rb0H.html")</f>
        <v/>
      </c>
      <c r="F369" t="inlineStr">
        <is>
          <t>hipoteczna</t>
        </is>
      </c>
      <c r="G369" t="inlineStr">
        <is>
          <t>Bałuty</t>
        </is>
      </c>
      <c r="H369" t="inlineStr">
        <is>
          <t>Bałuty</t>
        </is>
      </c>
      <c r="I369" t="inlineStr">
        <is>
          <t>TAK</t>
        </is>
      </c>
      <c r="J369" t="inlineStr">
        <is>
          <t>TAK</t>
        </is>
      </c>
      <c r="K369" t="n">
        <v>505208905</v>
      </c>
      <c r="L369" t="n">
        <v>299000</v>
      </c>
      <c r="M369" t="n">
        <v>6625.304675382229</v>
      </c>
      <c r="N369" t="n">
        <v>45.13</v>
      </c>
      <c r="O369" t="inlineStr">
        <is>
          <t>2+k</t>
        </is>
      </c>
      <c r="P369" t="n">
        <v>2</v>
      </c>
      <c r="Q369" t="inlineStr">
        <is>
          <t>Nie da się zamieszkać</t>
        </is>
      </c>
    </row>
    <row r="370">
      <c r="A370" t="n">
        <v>369</v>
      </c>
      <c r="B370" s="3" t="n">
        <v>45464</v>
      </c>
      <c r="D370" t="inlineStr">
        <is>
          <t>https://www.otodom.pl/pl/oferta/m4-zabieniec-ID4pGv4</t>
        </is>
      </c>
      <c r="E370">
        <f>HYPERLINK("https://www.otodom.pl/pl/oferta/m4-zabieniec-ID4pGv4", "https://www.otodom.pl/pl/oferta/m4-zabieniec-ID4pGv4")</f>
        <v/>
      </c>
      <c r="F370" t="inlineStr">
        <is>
          <t>wielkopolska</t>
        </is>
      </c>
      <c r="G370" t="inlineStr">
        <is>
          <t>Teofilów</t>
        </is>
      </c>
      <c r="H370" t="inlineStr">
        <is>
          <t>Teofilów</t>
        </is>
      </c>
      <c r="I370" t="inlineStr">
        <is>
          <t>NIE</t>
        </is>
      </c>
      <c r="J370" t="inlineStr">
        <is>
          <t>TAK</t>
        </is>
      </c>
      <c r="K370" t="n">
        <v>797542793</v>
      </c>
      <c r="L370" t="n">
        <v>345000</v>
      </c>
      <c r="M370" t="n">
        <v>6634.615384615385</v>
      </c>
      <c r="N370" t="n">
        <v>52</v>
      </c>
      <c r="O370" t="inlineStr">
        <is>
          <t>3+k</t>
        </is>
      </c>
      <c r="P370" t="n">
        <v>4</v>
      </c>
      <c r="Q370" t="inlineStr">
        <is>
          <t>Nie da się zamieszkać</t>
        </is>
      </c>
    </row>
    <row r="371">
      <c r="A371" t="n">
        <v>370</v>
      </c>
      <c r="B371" s="3" t="n">
        <v>45464</v>
      </c>
      <c r="D371" t="inlineStr">
        <is>
          <t>https://www.otodom.pl/pl/oferta/m3-park-podolski-45-mkw-ID4qWgF.html</t>
        </is>
      </c>
      <c r="E371">
        <f>HYPERLINK("https://www.otodom.pl/pl/oferta/m3-park-podolski-45-mkw-ID4qWgF.html", "https://www.otodom.pl/pl/oferta/m3-park-podolski-45-mkw-ID4qWgF.html")</f>
        <v/>
      </c>
      <c r="F371" t="inlineStr">
        <is>
          <t>park podolskiego</t>
        </is>
      </c>
      <c r="G371" t="inlineStr">
        <is>
          <t>Dąbrowa</t>
        </is>
      </c>
      <c r="H371" t="inlineStr">
        <is>
          <t>Dąbrowa</t>
        </is>
      </c>
      <c r="I371" t="inlineStr">
        <is>
          <t>NIE</t>
        </is>
      </c>
      <c r="J371" t="inlineStr">
        <is>
          <t>TAK</t>
        </is>
      </c>
      <c r="K371" t="n">
        <v>797542793</v>
      </c>
      <c r="L371" t="n">
        <v>312000</v>
      </c>
      <c r="M371" t="n">
        <v>6933.333333333333</v>
      </c>
      <c r="N371" t="n">
        <v>45</v>
      </c>
      <c r="O371" t="inlineStr">
        <is>
          <t>2+k</t>
        </is>
      </c>
      <c r="P371" t="n">
        <v>4</v>
      </c>
      <c r="Q371" t="inlineStr">
        <is>
          <t>Nie da się zamieszkać</t>
        </is>
      </c>
    </row>
    <row r="372">
      <c r="A372" t="n">
        <v>371</v>
      </c>
      <c r="B372" s="3" t="n">
        <v>45464</v>
      </c>
      <c r="C372" s="3" t="n">
        <v>45497</v>
      </c>
      <c r="D372" t="inlineStr">
        <is>
          <t>https://www.otodom.pl/pl/oferta/m4-blisko-centrum-dobry-rozklad-ID4rblZ</t>
        </is>
      </c>
      <c r="E372">
        <f>HYPERLINK("https://www.otodom.pl/pl/oferta/m4-blisko-centrum-dobry-rozklad-ID4rblZ", "https://www.otodom.pl/pl/oferta/m4-blisko-centrum-dobry-rozklad-ID4rblZ")</f>
        <v/>
      </c>
      <c r="F372" t="inlineStr">
        <is>
          <t xml:space="preserve">zarzewska </t>
        </is>
      </c>
      <c r="G372" t="inlineStr">
        <is>
          <t>Górna</t>
        </is>
      </c>
      <c r="H372" t="inlineStr">
        <is>
          <t>Górna blisko centrum</t>
        </is>
      </c>
      <c r="I372" t="inlineStr">
        <is>
          <t>TAK</t>
        </is>
      </c>
      <c r="J372" t="inlineStr">
        <is>
          <t>TAK</t>
        </is>
      </c>
      <c r="K372" t="n">
        <v>797433992</v>
      </c>
      <c r="L372" t="n">
        <v>369000</v>
      </c>
      <c r="M372" t="n">
        <v>6750.823271130626</v>
      </c>
      <c r="N372" t="n">
        <v>54.66</v>
      </c>
      <c r="O372" t="inlineStr">
        <is>
          <t>3+k</t>
        </is>
      </c>
      <c r="P372" t="n">
        <v>0</v>
      </c>
      <c r="Q372" t="inlineStr">
        <is>
          <t>Nie da się zamieszkać</t>
        </is>
      </c>
      <c r="R372" t="inlineStr">
        <is>
          <t>17.07 było 379k</t>
        </is>
      </c>
    </row>
    <row r="373">
      <c r="A373" t="n">
        <v>372</v>
      </c>
      <c r="B373" s="3" t="n">
        <v>45464</v>
      </c>
      <c r="C373" s="3" t="n">
        <v>45532</v>
      </c>
      <c r="D373" t="inlineStr">
        <is>
          <t>https://www.olx.pl/d/oferta/widzew-zarzew-rozkladowe-m-4-z-balkonem-CID3-ID10HaAy.html?isPreviewActive=0&amp;sliderIndex=3</t>
        </is>
      </c>
      <c r="E373">
        <f>HYPERLINK("https://www.olx.pl/d/oferta/widzew-zarzew-rozkladowe-m-4-z-balkonem-CID3-ID10HaAy.html?isPreviewActive=0&amp;sliderIndex=3", "https://www.olx.pl/d/oferta/widzew-zarzew-rozkladowe-m-4-z-balkonem-CID3-ID10HaAy.html?isPreviewActive=0&amp;sliderIndex=3")</f>
        <v/>
      </c>
      <c r="F373" t="inlineStr">
        <is>
          <t>.</t>
        </is>
      </c>
      <c r="G373" t="inlineStr">
        <is>
          <t>Widzew</t>
        </is>
      </c>
      <c r="H373" t="inlineStr">
        <is>
          <t>Widzew</t>
        </is>
      </c>
      <c r="I373" t="inlineStr">
        <is>
          <t>TAK</t>
        </is>
      </c>
      <c r="J373" t="inlineStr">
        <is>
          <t>TAK</t>
        </is>
      </c>
      <c r="K373" t="n">
        <v>501579748</v>
      </c>
      <c r="L373" t="n">
        <v>420000</v>
      </c>
      <c r="M373" t="n">
        <v>7777.777777777777</v>
      </c>
      <c r="N373" t="n">
        <v>54</v>
      </c>
      <c r="O373" t="inlineStr">
        <is>
          <t>3+k</t>
        </is>
      </c>
      <c r="P373" t="n">
        <v>9</v>
      </c>
      <c r="Q373" t="inlineStr">
        <is>
          <t>Nie da się zamieszkać</t>
        </is>
      </c>
      <c r="R373" t="inlineStr">
        <is>
          <t>Było nie aktywne od 24.07 wróciło w czasie do 02.08</t>
        </is>
      </c>
    </row>
    <row r="374">
      <c r="A374" t="n">
        <v>373</v>
      </c>
      <c r="B374" s="3" t="n">
        <v>45464</v>
      </c>
      <c r="D374" t="inlineStr">
        <is>
          <t>https://www.domiporta.pl/nieruchomosci/sprzedam-kawalerke-lodz-baluty-obroncow-westerplatte-37m2/155217229</t>
        </is>
      </c>
      <c r="E374">
        <f>HYPERLINK("https://www.domiporta.pl/nieruchomosci/sprzedam-kawalerke-lodz-baluty-obroncow-westerplatte-37m2/155217229", "https://www.domiporta.pl/nieruchomosci/sprzedam-kawalerke-lodz-baluty-obroncow-westerplatte-37m2/155217229")</f>
        <v/>
      </c>
      <c r="F374" t="inlineStr">
        <is>
          <t>obrońców westerplatte</t>
        </is>
      </c>
      <c r="G374" t="inlineStr">
        <is>
          <t>Bałuty</t>
        </is>
      </c>
      <c r="H374" t="inlineStr">
        <is>
          <t>Bałuty blisko centrum</t>
        </is>
      </c>
      <c r="I374" t="inlineStr">
        <is>
          <t>NIE</t>
        </is>
      </c>
      <c r="J374" t="inlineStr">
        <is>
          <t>TAK</t>
        </is>
      </c>
      <c r="K374" t="n">
        <v>518322634</v>
      </c>
      <c r="L374" t="n">
        <v>265000</v>
      </c>
      <c r="M374" t="n">
        <v>7162.162162162163</v>
      </c>
      <c r="N374" t="n">
        <v>37</v>
      </c>
      <c r="O374" t="inlineStr">
        <is>
          <t>1+k</t>
        </is>
      </c>
      <c r="P374" t="n">
        <v>2</v>
      </c>
      <c r="Q374" t="inlineStr">
        <is>
          <t>Nie da się zamieszkać</t>
        </is>
      </c>
    </row>
    <row r="375">
      <c r="A375" t="n">
        <v>374</v>
      </c>
      <c r="B375" s="3" t="n">
        <v>45464</v>
      </c>
      <c r="C375" t="inlineStr">
        <is>
          <t>28.06.20224</t>
        </is>
      </c>
      <c r="D375" t="inlineStr">
        <is>
          <t>https://www.olx.pl/d/oferta/mieszkanie-rozkladowe-2-pokoje-lodz-teofilow-45-m2-od-reki-CID3-ID10HcUy.html</t>
        </is>
      </c>
      <c r="E375">
        <f>HYPERLINK("https://www.olx.pl/d/oferta/mieszkanie-rozkladowe-2-pokoje-lodz-teofilow-45-m2-od-reki-CID3-ID10HcUy.html", "https://www.olx.pl/d/oferta/mieszkanie-rozkladowe-2-pokoje-lodz-teofilow-45-m2-od-reki-CID3-ID10HcUy.html")</f>
        <v/>
      </c>
      <c r="F375" t="inlineStr">
        <is>
          <t xml:space="preserve">Harcerzy-Zatorowców </t>
        </is>
      </c>
      <c r="G375" t="inlineStr">
        <is>
          <t>Teofilów</t>
        </is>
      </c>
      <c r="H375" t="inlineStr">
        <is>
          <t>Daleki Teofilów</t>
        </is>
      </c>
      <c r="I375" t="inlineStr">
        <is>
          <t>TAK</t>
        </is>
      </c>
      <c r="J375" t="inlineStr">
        <is>
          <t>NIE</t>
        </is>
      </c>
      <c r="K375" t="n">
        <v>533666641</v>
      </c>
      <c r="L375" t="n">
        <v>292000</v>
      </c>
      <c r="M375" t="n">
        <v>6488.888888888889</v>
      </c>
      <c r="N375" t="n">
        <v>45</v>
      </c>
      <c r="O375" t="inlineStr">
        <is>
          <t>2+k</t>
        </is>
      </c>
      <c r="P375" t="n">
        <v>2</v>
      </c>
      <c r="Q375" t="inlineStr">
        <is>
          <t>Nie da się zamieszkać</t>
        </is>
      </c>
    </row>
    <row r="376">
      <c r="A376" t="n">
        <v>375</v>
      </c>
      <c r="B376" s="3" t="n">
        <v>45464</v>
      </c>
      <c r="C376" s="3" t="n">
        <v>45497</v>
      </c>
      <c r="D376" t="inlineStr">
        <is>
          <t>https://www.otodom.pl/pl/oferta/m448-balkon-do-remontu-dabrowa-ID4rAj8</t>
        </is>
      </c>
      <c r="E376">
        <f>HYPERLINK("https://www.otodom.pl/pl/oferta/m448-balkon-do-remontu-dabrowa-ID4rAj8", "https://www.otodom.pl/pl/oferta/m448-balkon-do-remontu-dabrowa-ID4rAj8")</f>
        <v/>
      </c>
      <c r="F376" t="inlineStr">
        <is>
          <t>felińskiego</t>
        </is>
      </c>
      <c r="G376" t="inlineStr">
        <is>
          <t>Dąbrowa</t>
        </is>
      </c>
      <c r="H376" t="inlineStr">
        <is>
          <t>Dąbrowa</t>
        </is>
      </c>
      <c r="I376" t="inlineStr">
        <is>
          <t>TAK</t>
        </is>
      </c>
      <c r="J376" t="inlineStr">
        <is>
          <t>TAK</t>
        </is>
      </c>
      <c r="K376" t="n">
        <v>500189458</v>
      </c>
      <c r="L376" t="n">
        <v>287000</v>
      </c>
      <c r="M376" t="n">
        <v>6106.382978723404</v>
      </c>
      <c r="N376" t="n">
        <v>47</v>
      </c>
      <c r="O376" t="inlineStr">
        <is>
          <t>3+k</t>
        </is>
      </c>
      <c r="P376" t="n">
        <v>7</v>
      </c>
      <c r="Q376" t="inlineStr">
        <is>
          <t>Nie da się zamieszkać</t>
        </is>
      </c>
      <c r="R376" t="inlineStr">
        <is>
          <t>17.07 było 309k umówieni na 17.07. godzina 15.</t>
        </is>
      </c>
      <c r="T376" t="inlineStr">
        <is>
          <t>681</t>
        </is>
      </c>
    </row>
    <row r="377">
      <c r="A377" t="n">
        <v>376</v>
      </c>
      <c r="B377" s="3" t="n">
        <v>45464</v>
      </c>
      <c r="D377" t="inlineStr">
        <is>
          <t>https://nieruchomosci.gratka.pl/nieruchomosci/mieszkanie-lodz-gorna-zbaraska/ob/34964077</t>
        </is>
      </c>
      <c r="E377">
        <f>HYPERLINK("https://nieruchomosci.gratka.pl/nieruchomosci/mieszkanie-lodz-gorna-zbaraska/ob/34964077", "https://nieruchomosci.gratka.pl/nieruchomosci/mieszkanie-lodz-gorna-zbaraska/ob/34964077")</f>
        <v/>
      </c>
      <c r="F377" t="inlineStr">
        <is>
          <t>zbaraska</t>
        </is>
      </c>
      <c r="G377" t="inlineStr">
        <is>
          <t>Dąbrowa</t>
        </is>
      </c>
      <c r="H377" t="inlineStr">
        <is>
          <t>Dąbrowa</t>
        </is>
      </c>
      <c r="I377" t="inlineStr">
        <is>
          <t>NIE</t>
        </is>
      </c>
      <c r="J377" t="inlineStr">
        <is>
          <t>TAK</t>
        </is>
      </c>
      <c r="K377" t="n">
        <v>737338309</v>
      </c>
      <c r="L377" t="n">
        <v>367000</v>
      </c>
      <c r="M377" t="n">
        <v>6986.483913953931</v>
      </c>
      <c r="N377" t="n">
        <v>52.53</v>
      </c>
      <c r="O377" t="inlineStr">
        <is>
          <t>3+k</t>
        </is>
      </c>
      <c r="P377" t="n">
        <v>3</v>
      </c>
      <c r="Q377" t="inlineStr">
        <is>
          <t>Nie da się zamieszkać</t>
        </is>
      </c>
    </row>
    <row r="378">
      <c r="A378" t="n">
        <v>377</v>
      </c>
      <c r="B378" s="3" t="n">
        <v>45464</v>
      </c>
      <c r="C378" s="3" t="n">
        <v>45532</v>
      </c>
      <c r="D378" t="inlineStr">
        <is>
          <t>https://adresowo.pl/o/u6m1a1</t>
        </is>
      </c>
      <c r="E378">
        <f>HYPERLINK("https://adresowo.pl/o/u6m1a1", "https://adresowo.pl/o/u6m1a1")</f>
        <v/>
      </c>
      <c r="F378" t="inlineStr">
        <is>
          <t>tatrzańska</t>
        </is>
      </c>
      <c r="G378" t="inlineStr">
        <is>
          <t>Dąbrowa</t>
        </is>
      </c>
      <c r="H378" t="inlineStr">
        <is>
          <t>Dąbrowa</t>
        </is>
      </c>
      <c r="I378" t="inlineStr">
        <is>
          <t>TAK</t>
        </is>
      </c>
      <c r="J378" t="inlineStr">
        <is>
          <t>TAK</t>
        </is>
      </c>
      <c r="L378" t="n">
        <v>220000</v>
      </c>
      <c r="M378" t="n">
        <v>7857.142857142857</v>
      </c>
      <c r="N378" t="n">
        <v>28</v>
      </c>
      <c r="O378" t="inlineStr">
        <is>
          <t>1+k</t>
        </is>
      </c>
      <c r="P378" t="n">
        <v>2</v>
      </c>
      <c r="Q378" t="inlineStr">
        <is>
          <t>Puste</t>
        </is>
      </c>
    </row>
    <row r="379">
      <c r="A379" t="n">
        <v>378</v>
      </c>
      <c r="B379" s="3" t="n">
        <v>45464</v>
      </c>
      <c r="C379" s="3" t="n">
        <v>45497</v>
      </c>
      <c r="D379" t="inlineStr">
        <is>
          <t>https://www.otodom.pl/pl/oferta/na-sprzedaz-m-3-z-balkonem-45-10m2-teofilow-ID4qUAl.html</t>
        </is>
      </c>
      <c r="E379">
        <f>HYPERLINK("https://www.otodom.pl/pl/oferta/na-sprzedaz-m-3-z-balkonem-45-10m2-teofilow-ID4qUAl.html", "https://www.otodom.pl/pl/oferta/na-sprzedaz-m-3-z-balkonem-45-10m2-teofilow-ID4qUAl.html")</f>
        <v/>
      </c>
      <c r="F379" t="inlineStr">
        <is>
          <t>rojna</t>
        </is>
      </c>
      <c r="G379" t="inlineStr">
        <is>
          <t>Teofilów</t>
        </is>
      </c>
      <c r="H379" t="inlineStr">
        <is>
          <t>Teofilów</t>
        </is>
      </c>
      <c r="I379" t="inlineStr">
        <is>
          <t>TAK</t>
        </is>
      </c>
      <c r="J379" t="inlineStr">
        <is>
          <t>NIE</t>
        </is>
      </c>
      <c r="K379" t="n">
        <v>661067196</v>
      </c>
      <c r="L379" t="n">
        <v>285000</v>
      </c>
      <c r="M379" t="n">
        <v>6319.290465631929</v>
      </c>
      <c r="N379" t="n">
        <v>45.1</v>
      </c>
      <c r="O379" t="inlineStr">
        <is>
          <t>2+k</t>
        </is>
      </c>
      <c r="P379" t="n">
        <v>4</v>
      </c>
      <c r="Q379" t="inlineStr">
        <is>
          <t>Puste</t>
        </is>
      </c>
    </row>
    <row r="380">
      <c r="A380" t="n">
        <v>379</v>
      </c>
      <c r="B380" s="3" t="n">
        <v>45464</v>
      </c>
      <c r="D380" t="inlineStr">
        <is>
          <t>https://www.otodom.pl/pl/oferta/3-pokojowe-mieszkanie-do-remontu-retkinia-lodz-ID4rbRU</t>
        </is>
      </c>
      <c r="E380">
        <f>HYPERLINK("https://www.otodom.pl/pl/oferta/3-pokojowe-mieszkanie-do-remontu-retkinia-lodz-ID4rbRU", "https://www.otodom.pl/pl/oferta/3-pokojowe-mieszkanie-do-remontu-retkinia-lodz-ID4rbRU")</f>
        <v/>
      </c>
      <c r="F380" t="inlineStr">
        <is>
          <t xml:space="preserve">heleny marusarzówny </t>
        </is>
      </c>
      <c r="G380" t="inlineStr">
        <is>
          <t>Retkinia</t>
        </is>
      </c>
      <c r="H380" t="inlineStr">
        <is>
          <t>Retkinia</t>
        </is>
      </c>
      <c r="I380" t="inlineStr">
        <is>
          <t>NIE</t>
        </is>
      </c>
      <c r="J380" t="inlineStr">
        <is>
          <t>TAK</t>
        </is>
      </c>
      <c r="K380" t="n">
        <v>693437773</v>
      </c>
      <c r="L380" t="n">
        <v>320000</v>
      </c>
      <c r="M380" t="n">
        <v>6041.155370964697</v>
      </c>
      <c r="N380" t="n">
        <v>52.97</v>
      </c>
      <c r="O380" t="inlineStr">
        <is>
          <t>3+k</t>
        </is>
      </c>
      <c r="P380" t="n">
        <v>4</v>
      </c>
      <c r="Q380" t="inlineStr">
        <is>
          <t>Puste</t>
        </is>
      </c>
      <c r="R380" t="inlineStr">
        <is>
          <t xml:space="preserve">mieszkanie się nie powiela </t>
        </is>
      </c>
      <c r="T380" t="inlineStr">
        <is>
          <t>390</t>
        </is>
      </c>
    </row>
    <row r="381">
      <c r="A381" t="n">
        <v>380</v>
      </c>
      <c r="B381" s="3" t="n">
        <v>45466</v>
      </c>
      <c r="D381" t="inlineStr">
        <is>
          <t>https://szybko.pl/o/na-sprzedaz/lokal-mieszkalny+mieszkanie/Łódź+Górna/oferta-15407479</t>
        </is>
      </c>
      <c r="E381">
        <f>HYPERLINK("https://szybko.pl/o/na-sprzedaz/lokal-mieszkalny+mieszkanie/Łódź+Górna/oferta-15407479", "https://szybko.pl/o/na-sprzedaz/lokal-mieszkalny+mieszkanie/Łódź+Górna/oferta-15407479")</f>
        <v/>
      </c>
      <c r="F381" t="inlineStr">
        <is>
          <t>kołowa</t>
        </is>
      </c>
      <c r="G381" t="inlineStr">
        <is>
          <t>Górna</t>
        </is>
      </c>
      <c r="H381" t="inlineStr">
        <is>
          <t>Górna</t>
        </is>
      </c>
      <c r="I381" t="inlineStr">
        <is>
          <t>NIE</t>
        </is>
      </c>
      <c r="J381" t="inlineStr">
        <is>
          <t>TAK</t>
        </is>
      </c>
      <c r="K381" t="n">
        <v>668586615</v>
      </c>
      <c r="L381" t="n">
        <v>359000</v>
      </c>
      <c r="M381" t="n">
        <v>7804.347826086957</v>
      </c>
      <c r="N381" t="n">
        <v>46</v>
      </c>
      <c r="O381" t="inlineStr">
        <is>
          <t>3+k</t>
        </is>
      </c>
      <c r="P381" t="n">
        <v>3</v>
      </c>
      <c r="Q381" t="inlineStr">
        <is>
          <t>Nie da się zamieszkać</t>
        </is>
      </c>
    </row>
    <row r="382">
      <c r="A382" t="n">
        <v>381</v>
      </c>
      <c r="B382" s="3" t="n">
        <v>45466</v>
      </c>
      <c r="C382" s="3" t="n">
        <v>45522</v>
      </c>
      <c r="D382" t="inlineStr">
        <is>
          <t>https://szybko.pl/o/na-sprzedaz/lokal-mieszkalny+mieszkanie/Łódź+Górna/oferta-15324281</t>
        </is>
      </c>
      <c r="E382">
        <f>HYPERLINK("https://szybko.pl/o/na-sprzedaz/lokal-mieszkalny+mieszkanie/Łódź+Górna/oferta-15324281", "https://szybko.pl/o/na-sprzedaz/lokal-mieszkalny+mieszkanie/Łódź+Górna/oferta-15324281")</f>
        <v/>
      </c>
      <c r="F382" t="inlineStr">
        <is>
          <t>sokola</t>
        </is>
      </c>
      <c r="G382" t="inlineStr">
        <is>
          <t>Górna</t>
        </is>
      </c>
      <c r="H382" t="inlineStr">
        <is>
          <t>Górna</t>
        </is>
      </c>
      <c r="I382" t="inlineStr">
        <is>
          <t>TAK</t>
        </is>
      </c>
      <c r="J382" t="inlineStr">
        <is>
          <t>TAK</t>
        </is>
      </c>
      <c r="K382" t="n">
        <v>668586615</v>
      </c>
      <c r="L382" t="n">
        <v>429000</v>
      </c>
      <c r="M382" t="n">
        <v>7033.939990162321</v>
      </c>
      <c r="N382" t="n">
        <v>60.99</v>
      </c>
      <c r="O382" t="inlineStr">
        <is>
          <t>3+k</t>
        </is>
      </c>
      <c r="P382" t="n">
        <v>4</v>
      </c>
      <c r="Q382" t="inlineStr">
        <is>
          <t>Da się zamieszkać</t>
        </is>
      </c>
    </row>
    <row r="383">
      <c r="A383" t="n">
        <v>382</v>
      </c>
      <c r="B383" s="3" t="n">
        <v>45466</v>
      </c>
      <c r="C383" s="3" t="n">
        <v>45497</v>
      </c>
      <c r="D383" t="inlineStr">
        <is>
          <t>https://www.olx.pl/d/oferta/mieszkanie-3-pokojowe-z-balkonem-parter-lodz-zarzew-CID3-ID10ITqL.html</t>
        </is>
      </c>
      <c r="E383">
        <f>HYPERLINK("https://www.olx.pl/d/oferta/mieszkanie-3-pokojowe-z-balkonem-parter-lodz-zarzew-CID3-ID10ITqL.html", "https://www.olx.pl/d/oferta/mieszkanie-3-pokojowe-z-balkonem-parter-lodz-zarzew-CID3-ID10ITqL.html")</f>
        <v/>
      </c>
      <c r="F383" t="inlineStr">
        <is>
          <t>strzemińskiego</t>
        </is>
      </c>
      <c r="G383" t="inlineStr">
        <is>
          <t>Widzew</t>
        </is>
      </c>
      <c r="H383" t="inlineStr">
        <is>
          <t>Widzew blisko centrum</t>
        </is>
      </c>
      <c r="I383" t="inlineStr">
        <is>
          <t>TAK</t>
        </is>
      </c>
      <c r="J383" t="inlineStr">
        <is>
          <t>TAK</t>
        </is>
      </c>
      <c r="K383" t="n">
        <v>692288289</v>
      </c>
      <c r="L383" t="n">
        <v>340000</v>
      </c>
      <c r="M383" t="n">
        <v>7200.338839474799</v>
      </c>
      <c r="N383" t="n">
        <v>47.22</v>
      </c>
      <c r="O383" t="inlineStr">
        <is>
          <t>3+k</t>
        </is>
      </c>
      <c r="P383" t="n">
        <v>0</v>
      </c>
      <c r="Q383" t="inlineStr">
        <is>
          <t>Nie da się zamieszkać</t>
        </is>
      </c>
    </row>
    <row r="384">
      <c r="A384" t="n">
        <v>383</v>
      </c>
      <c r="B384" s="3" t="n">
        <v>45466</v>
      </c>
      <c r="C384" s="3" t="n">
        <v>45532</v>
      </c>
      <c r="D384" t="inlineStr">
        <is>
          <t>https://www.olx.pl/d/oferta/mieszkanie-m3-42-29-m2-lodz-koziny-srebrzynska-CID3-ID10IU1e.html</t>
        </is>
      </c>
      <c r="E384">
        <f>HYPERLINK("https://www.olx.pl/d/oferta/mieszkanie-m3-42-29-m2-lodz-koziny-srebrzynska-CID3-ID10IU1e.html", "https://www.olx.pl/d/oferta/mieszkanie-m3-42-29-m2-lodz-koziny-srebrzynska-CID3-ID10IU1e.html")</f>
        <v/>
      </c>
      <c r="F384" t="inlineStr">
        <is>
          <t>srebrzyńska</t>
        </is>
      </c>
      <c r="G384" t="inlineStr">
        <is>
          <t>Polesie</t>
        </is>
      </c>
      <c r="H384" t="inlineStr">
        <is>
          <t>Polesie</t>
        </is>
      </c>
      <c r="I384" t="inlineStr">
        <is>
          <t>TAK</t>
        </is>
      </c>
      <c r="J384" t="inlineStr">
        <is>
          <t>TAK</t>
        </is>
      </c>
      <c r="K384" t="n">
        <v>698128410</v>
      </c>
      <c r="L384" t="n">
        <v>310000</v>
      </c>
      <c r="M384" t="n">
        <v>7330.338141404587</v>
      </c>
      <c r="N384" t="n">
        <v>42.29</v>
      </c>
      <c r="O384" t="inlineStr">
        <is>
          <t>2+k</t>
        </is>
      </c>
      <c r="P384" t="n">
        <v>3</v>
      </c>
      <c r="Q384" t="inlineStr">
        <is>
          <t>Nie da się zamieszkać</t>
        </is>
      </c>
    </row>
    <row r="385">
      <c r="A385" t="n">
        <v>384</v>
      </c>
      <c r="B385" s="3" t="n">
        <v>45466</v>
      </c>
      <c r="D385" t="inlineStr">
        <is>
          <t>https://adresowo.pl/o/n6p1a6</t>
        </is>
      </c>
      <c r="E385">
        <f>HYPERLINK("https://adresowo.pl/o/n6p1a6", "https://adresowo.pl/o/n6p1a6")</f>
        <v/>
      </c>
      <c r="F385" t="inlineStr">
        <is>
          <t>czarneckiego</t>
        </is>
      </c>
      <c r="G385" t="inlineStr">
        <is>
          <t>Bałuty</t>
        </is>
      </c>
      <c r="H385" t="inlineStr">
        <is>
          <t>Bałuty</t>
        </is>
      </c>
      <c r="I385" t="inlineStr">
        <is>
          <t>NIE</t>
        </is>
      </c>
      <c r="J385" t="inlineStr">
        <is>
          <t>NIE</t>
        </is>
      </c>
      <c r="L385" t="n">
        <v>440000</v>
      </c>
      <c r="M385" t="n">
        <v>7719.298245614035</v>
      </c>
      <c r="N385" t="n">
        <v>57</v>
      </c>
      <c r="O385" t="inlineStr">
        <is>
          <t>3+k</t>
        </is>
      </c>
      <c r="P385" t="n">
        <v>4</v>
      </c>
      <c r="Q385" t="inlineStr">
        <is>
          <t>Nie da się zamieszkać</t>
        </is>
      </c>
      <c r="R385" t="inlineStr">
        <is>
          <t xml:space="preserve">jest winda </t>
        </is>
      </c>
    </row>
    <row r="386">
      <c r="A386" t="n">
        <v>385</v>
      </c>
      <c r="B386" s="3" t="n">
        <v>45467</v>
      </c>
      <c r="C386" s="3" t="n">
        <v>45522</v>
      </c>
      <c r="D386" t="inlineStr">
        <is>
          <t>https://adresowo.pl/o/r1k2v5</t>
        </is>
      </c>
      <c r="E386">
        <f>HYPERLINK("https://adresowo.pl/o/r1k2v5", "https://adresowo.pl/o/r1k2v5")</f>
        <v/>
      </c>
      <c r="F386" t="inlineStr">
        <is>
          <t>majzela</t>
        </is>
      </c>
      <c r="G386" t="inlineStr">
        <is>
          <t>Bałuty</t>
        </is>
      </c>
      <c r="H386" t="inlineStr">
        <is>
          <t>Bałuty blisko centrum</t>
        </is>
      </c>
      <c r="I386" t="inlineStr">
        <is>
          <t>TAK</t>
        </is>
      </c>
      <c r="J386" t="inlineStr">
        <is>
          <t>TAK</t>
        </is>
      </c>
      <c r="K386" t="n">
        <v>795842897</v>
      </c>
      <c r="L386" t="n">
        <v>255000</v>
      </c>
      <c r="M386" t="n">
        <v>7727.272727272727</v>
      </c>
      <c r="N386" t="n">
        <v>33</v>
      </c>
      <c r="O386" t="inlineStr">
        <is>
          <t>1+k</t>
        </is>
      </c>
      <c r="P386" t="n">
        <v>2</v>
      </c>
      <c r="Q386" t="inlineStr">
        <is>
          <t>Puste</t>
        </is>
      </c>
    </row>
    <row r="387">
      <c r="A387" t="n">
        <v>386</v>
      </c>
      <c r="B387" s="3" t="n">
        <v>45467</v>
      </c>
      <c r="C387" s="3" t="n">
        <v>45497</v>
      </c>
      <c r="D387" t="inlineStr">
        <is>
          <t>https://www.olx.pl/d/oferta/3-pokoje-ul-milionowa-gorka-widzewska-CID3-IDZLstM.html</t>
        </is>
      </c>
      <c r="E387">
        <f>HYPERLINK("https://www.olx.pl/d/oferta/3-pokoje-ul-milionowa-gorka-widzewska-CID3-IDZLstM.html", "https://www.olx.pl/d/oferta/3-pokoje-ul-milionowa-gorka-widzewska-CID3-IDZLstM.html")</f>
        <v/>
      </c>
      <c r="F387" t="inlineStr">
        <is>
          <t>milionowa</t>
        </is>
      </c>
      <c r="G387" t="inlineStr">
        <is>
          <t>Widzew</t>
        </is>
      </c>
      <c r="H387" t="inlineStr">
        <is>
          <t>Widzew blisko centrum</t>
        </is>
      </c>
      <c r="I387" t="inlineStr">
        <is>
          <t>TAK</t>
        </is>
      </c>
      <c r="J387" t="inlineStr">
        <is>
          <t>TAK</t>
        </is>
      </c>
      <c r="K387" t="n">
        <v>732850501</v>
      </c>
      <c r="L387" t="n">
        <v>441975</v>
      </c>
      <c r="M387" t="n">
        <v>8132.014719411223</v>
      </c>
      <c r="N387" t="n">
        <v>54.35</v>
      </c>
      <c r="O387" t="inlineStr">
        <is>
          <t>3+k</t>
        </is>
      </c>
      <c r="P387" t="n">
        <v>1</v>
      </c>
      <c r="Q387" t="inlineStr">
        <is>
          <t>Nie da się zamieszkać</t>
        </is>
      </c>
    </row>
    <row r="388">
      <c r="A388" t="n">
        <v>387</v>
      </c>
      <c r="B388" s="3" t="n">
        <v>45467</v>
      </c>
      <c r="D388" t="inlineStr">
        <is>
          <t>https://lodz.nieruchomosci-online.pl/mieszkanie,z-oddzielna-kuchnia/25011593.html</t>
        </is>
      </c>
      <c r="E388">
        <f>HYPERLINK("https://lodz.nieruchomosci-online.pl/mieszkanie,z-oddzielna-kuchnia/25011593.html", "https://lodz.nieruchomosci-online.pl/mieszkanie,z-oddzielna-kuchnia/25011593.html")</f>
        <v/>
      </c>
      <c r="F388" t="inlineStr">
        <is>
          <t xml:space="preserve">limanowskiego </t>
        </is>
      </c>
      <c r="G388" t="inlineStr">
        <is>
          <t>Bałuty</t>
        </is>
      </c>
      <c r="H388" t="inlineStr">
        <is>
          <t>Bałuty blisko centrum</t>
        </is>
      </c>
      <c r="I388" t="inlineStr">
        <is>
          <t>NIE</t>
        </is>
      </c>
      <c r="J388" t="inlineStr">
        <is>
          <t>TAK</t>
        </is>
      </c>
      <c r="K388" t="n">
        <v>729887550</v>
      </c>
      <c r="L388" t="n">
        <v>310000</v>
      </c>
      <c r="M388" t="n">
        <v>8271.077908217716</v>
      </c>
      <c r="N388" t="n">
        <v>37.48</v>
      </c>
      <c r="O388" t="inlineStr">
        <is>
          <t>2+k</t>
        </is>
      </c>
      <c r="P388" t="n">
        <v>0</v>
      </c>
      <c r="Q388" t="inlineStr">
        <is>
          <t>Puste posprzątane</t>
        </is>
      </c>
    </row>
    <row r="389">
      <c r="A389" t="n">
        <v>388</v>
      </c>
      <c r="B389" s="3" t="n">
        <v>45467</v>
      </c>
      <c r="C389" s="3" t="n">
        <v>45532</v>
      </c>
      <c r="D389" t="inlineStr">
        <is>
          <t>https://www.otodom.pl/pl/oferta/bezposrednio-3-pokoje-52-m2-baluty-ul-zbozowa-ID4rdPq.html</t>
        </is>
      </c>
      <c r="E389">
        <f>HYPERLINK("https://www.otodom.pl/pl/oferta/bezposrednio-3-pokoje-52-m2-baluty-ul-zbozowa-ID4rdPq.html", "https://www.otodom.pl/pl/oferta/bezposrednio-3-pokoje-52-m2-baluty-ul-zbozowa-ID4rdPq.html")</f>
        <v/>
      </c>
      <c r="F389" t="inlineStr">
        <is>
          <t>zbożowa</t>
        </is>
      </c>
      <c r="G389" t="inlineStr">
        <is>
          <t>Bałuty</t>
        </is>
      </c>
      <c r="H389" t="inlineStr">
        <is>
          <t>Bałuty</t>
        </is>
      </c>
      <c r="I389" t="inlineStr">
        <is>
          <t>TAK</t>
        </is>
      </c>
      <c r="J389" t="inlineStr">
        <is>
          <t>NIE</t>
        </is>
      </c>
      <c r="K389" t="n">
        <v>603385756</v>
      </c>
      <c r="L389" t="n">
        <v>370000</v>
      </c>
      <c r="M389" t="n">
        <v>7115.384615384615</v>
      </c>
      <c r="N389" t="n">
        <v>52</v>
      </c>
      <c r="O389" t="inlineStr">
        <is>
          <t>3+k</t>
        </is>
      </c>
      <c r="P389" t="n">
        <v>1</v>
      </c>
      <c r="Q389" t="inlineStr">
        <is>
          <t>Nie da się zamieszkać</t>
        </is>
      </c>
    </row>
    <row r="390">
      <c r="A390" t="n">
        <v>389</v>
      </c>
      <c r="B390" s="3" t="n">
        <v>45467</v>
      </c>
      <c r="D390" t="inlineStr">
        <is>
          <t>https://www.okolica.pl/offer/show/62780-S-1672_3913_OMS/formular</t>
        </is>
      </c>
      <c r="E390">
        <f>HYPERLINK("https://www.okolica.pl/offer/show/62780-S-1672_3913_OMS/formular", "https://www.okolica.pl/offer/show/62780-S-1672_3913_OMS/formular")</f>
        <v/>
      </c>
      <c r="F390" t="inlineStr">
        <is>
          <t>zgierska</t>
        </is>
      </c>
      <c r="G390" t="inlineStr">
        <is>
          <t>Bałuty</t>
        </is>
      </c>
      <c r="H390" t="inlineStr">
        <is>
          <t>Bałuty</t>
        </is>
      </c>
      <c r="I390" t="inlineStr">
        <is>
          <t>NIE</t>
        </is>
      </c>
      <c r="J390" t="inlineStr">
        <is>
          <t>TAK</t>
        </is>
      </c>
      <c r="K390" t="n">
        <v>601984515</v>
      </c>
      <c r="L390" t="n">
        <v>350000</v>
      </c>
      <c r="M390" t="n">
        <v>7446.808510638298</v>
      </c>
      <c r="N390" t="n">
        <v>47</v>
      </c>
      <c r="O390" t="inlineStr">
        <is>
          <t>2+k</t>
        </is>
      </c>
      <c r="P390" t="n">
        <v>4</v>
      </c>
      <c r="Q390" t="inlineStr">
        <is>
          <t>Nie da się zamieszkać</t>
        </is>
      </c>
      <c r="R390" t="inlineStr">
        <is>
          <t>ma 10 pięter</t>
        </is>
      </c>
    </row>
    <row r="391">
      <c r="A391" t="n">
        <v>390</v>
      </c>
      <c r="B391" s="3" t="n">
        <v>45468</v>
      </c>
      <c r="C391" s="3" t="n">
        <v>45548</v>
      </c>
      <c r="D391" t="inlineStr">
        <is>
          <t>https://www.otodom.pl/pl/oferta/rozkladowe-3-pokoje-retkinia-ID4reoS.html</t>
        </is>
      </c>
      <c r="E391">
        <f>HYPERLINK("https://www.otodom.pl/pl/oferta/rozkladowe-3-pokoje-retkinia-ID4reoS.html", "https://www.otodom.pl/pl/oferta/rozkladowe-3-pokoje-retkinia-ID4reoS.html")</f>
        <v/>
      </c>
      <c r="F391" t="inlineStr">
        <is>
          <t xml:space="preserve">heleny marusarzówny </t>
        </is>
      </c>
      <c r="G391" t="inlineStr">
        <is>
          <t>Retkinia</t>
        </is>
      </c>
      <c r="H391" t="inlineStr">
        <is>
          <t>Retkinia</t>
        </is>
      </c>
      <c r="I391" t="inlineStr">
        <is>
          <t>TAK</t>
        </is>
      </c>
      <c r="J391" t="inlineStr">
        <is>
          <t>TAK</t>
        </is>
      </c>
      <c r="K391" t="n">
        <v>510266471</v>
      </c>
      <c r="L391" t="n">
        <v>360000</v>
      </c>
      <c r="M391" t="n">
        <v>6796.299792335284</v>
      </c>
      <c r="N391" t="n">
        <v>52.97</v>
      </c>
      <c r="O391" t="inlineStr">
        <is>
          <t>3+k</t>
        </is>
      </c>
      <c r="P391" t="n">
        <v>4</v>
      </c>
      <c r="Q391" t="inlineStr">
        <is>
          <t>Nie da się zamieszkać</t>
        </is>
      </c>
      <c r="R391" t="inlineStr">
        <is>
          <t xml:space="preserve">mieszkanie się nie powiela </t>
        </is>
      </c>
      <c r="T391" t="inlineStr">
        <is>
          <t>379</t>
        </is>
      </c>
    </row>
    <row r="392">
      <c r="A392" t="n">
        <v>391</v>
      </c>
      <c r="B392" s="3" t="n">
        <v>45468</v>
      </c>
      <c r="C392" s="3" t="n">
        <v>45506</v>
      </c>
      <c r="D392" t="inlineStr">
        <is>
          <t>https://www.otodom.pl/pl/oferta/retkinia-42-77-m2-duzy-balkon-typu-loggia-ID4reph</t>
        </is>
      </c>
      <c r="E392">
        <f>HYPERLINK("https://www.otodom.pl/pl/oferta/retkinia-42-77-m2-duzy-balkon-typu-loggia-ID4reph", "https://www.otodom.pl/pl/oferta/retkinia-42-77-m2-duzy-balkon-typu-loggia-ID4reph")</f>
        <v/>
      </c>
      <c r="F392" t="inlineStr">
        <is>
          <t>retkińska</t>
        </is>
      </c>
      <c r="G392" t="inlineStr">
        <is>
          <t>Retkinia</t>
        </is>
      </c>
      <c r="H392" t="inlineStr">
        <is>
          <t>Retkinia</t>
        </is>
      </c>
      <c r="I392" t="inlineStr">
        <is>
          <t>TAK</t>
        </is>
      </c>
      <c r="J392" t="inlineStr">
        <is>
          <t>TAK</t>
        </is>
      </c>
      <c r="K392" t="n">
        <v>662849296</v>
      </c>
      <c r="L392" t="n">
        <v>330000</v>
      </c>
      <c r="M392" t="n">
        <v>7715.688566752396</v>
      </c>
      <c r="N392" t="n">
        <v>42.77</v>
      </c>
      <c r="O392" t="inlineStr">
        <is>
          <t>2+k</t>
        </is>
      </c>
      <c r="P392" t="n">
        <v>2</v>
      </c>
      <c r="Q392" t="inlineStr">
        <is>
          <t>Puste</t>
        </is>
      </c>
    </row>
    <row r="393">
      <c r="A393" t="n">
        <v>392</v>
      </c>
      <c r="B393" s="3" t="n">
        <v>45468</v>
      </c>
      <c r="C393" s="3" t="n">
        <v>45506</v>
      </c>
      <c r="D393" t="inlineStr">
        <is>
          <t>https://www.otodom.pl/pl/oferta/okazja-mieszkanie-2-pokoje-41-m2-balkon-ID4reA4</t>
        </is>
      </c>
      <c r="E393">
        <f>HYPERLINK("https://www.otodom.pl/pl/oferta/okazja-mieszkanie-2-pokoje-41-m2-balkon-ID4reA4", "https://www.otodom.pl/pl/oferta/okazja-mieszkanie-2-pokoje-41-m2-balkon-ID4reA4")</f>
        <v/>
      </c>
      <c r="F393" t="inlineStr">
        <is>
          <t>cieszyńska</t>
        </is>
      </c>
      <c r="G393" t="inlineStr">
        <is>
          <t>Górna</t>
        </is>
      </c>
      <c r="H393" t="inlineStr">
        <is>
          <t>Górna</t>
        </is>
      </c>
      <c r="I393" t="inlineStr">
        <is>
          <t>TAK</t>
        </is>
      </c>
      <c r="J393" t="inlineStr">
        <is>
          <t>TAK</t>
        </is>
      </c>
      <c r="K393" t="n">
        <v>530018410</v>
      </c>
      <c r="L393" t="n">
        <v>270000</v>
      </c>
      <c r="M393" t="n">
        <v>6585.365853658536</v>
      </c>
      <c r="N393" t="n">
        <v>41</v>
      </c>
      <c r="O393" t="inlineStr">
        <is>
          <t>2+k</t>
        </is>
      </c>
      <c r="P393" t="n">
        <v>4</v>
      </c>
      <c r="Q393" t="inlineStr">
        <is>
          <t>Nie da się zamieszkać</t>
        </is>
      </c>
    </row>
    <row r="394">
      <c r="A394" t="n">
        <v>393</v>
      </c>
      <c r="B394" s="3" t="n">
        <v>45468</v>
      </c>
      <c r="C394" s="3" t="n">
        <v>45475</v>
      </c>
      <c r="D394" t="inlineStr">
        <is>
          <t>https://www.olx.pl/d/oferta/okazja-m-3-47-9p-balkon-lodz-os-teofilow-CID3-ID10KBqv.html?isPreviewActive=0&amp;sliderIndex=11</t>
        </is>
      </c>
      <c r="E394">
        <f>HYPERLINK("https://www.olx.pl/d/oferta/okazja-m-3-47-9p-balkon-lodz-os-teofilow-CID3-ID10KBqv.html?isPreviewActive=0&amp;sliderIndex=11", "https://www.olx.pl/d/oferta/okazja-m-3-47-9p-balkon-lodz-os-teofilow-CID3-ID10KBqv.html?isPreviewActive=0&amp;sliderIndex=11")</f>
        <v/>
      </c>
      <c r="G394" t="inlineStr">
        <is>
          <t>Teofilów</t>
        </is>
      </c>
      <c r="H394" t="inlineStr">
        <is>
          <t>Teofilów</t>
        </is>
      </c>
      <c r="I394" t="inlineStr">
        <is>
          <t>TAK</t>
        </is>
      </c>
      <c r="J394" t="inlineStr">
        <is>
          <t>TAK</t>
        </is>
      </c>
      <c r="K394" t="n">
        <v>533486363</v>
      </c>
      <c r="L394" t="n">
        <v>300000</v>
      </c>
      <c r="M394" t="n">
        <v>6444.68313641246</v>
      </c>
      <c r="N394" t="n">
        <v>46.55</v>
      </c>
      <c r="O394" t="inlineStr">
        <is>
          <t>2+k</t>
        </is>
      </c>
      <c r="P394" t="n">
        <v>9</v>
      </c>
      <c r="Q394" t="inlineStr">
        <is>
          <t>Nie da się zamieszkać</t>
        </is>
      </c>
    </row>
    <row r="395">
      <c r="A395" t="n">
        <v>394</v>
      </c>
      <c r="B395" s="3" t="n">
        <v>45468</v>
      </c>
      <c r="D395" t="inlineStr">
        <is>
          <t>https://www.otodom.pl/pl/oferta/ustawne-2-pokojowe-mieszkanie-z-balkonem-ID4sfHG.html</t>
        </is>
      </c>
      <c r="E395">
        <f>HYPERLINK("https://www.otodom.pl/pl/oferta/ustawne-2-pokojowe-mieszkanie-z-balkonem-ID4sfHG.html", "https://www.otodom.pl/pl/oferta/ustawne-2-pokojowe-mieszkanie-z-balkonem-ID4sfHG.html")</f>
        <v/>
      </c>
      <c r="F395" t="inlineStr">
        <is>
          <t>pietrusińskiego</t>
        </is>
      </c>
      <c r="G395" t="inlineStr">
        <is>
          <t>Polesie</t>
        </is>
      </c>
      <c r="H395" t="inlineStr">
        <is>
          <t>Polesie</t>
        </is>
      </c>
      <c r="I395" t="inlineStr">
        <is>
          <t>NIE</t>
        </is>
      </c>
      <c r="J395" t="inlineStr">
        <is>
          <t>NIE</t>
        </is>
      </c>
      <c r="K395" t="n">
        <v>693358634</v>
      </c>
      <c r="L395" t="n">
        <v>330000</v>
      </c>
      <c r="M395" t="n">
        <v>7405.745062836624</v>
      </c>
      <c r="N395" t="n">
        <v>44.56</v>
      </c>
      <c r="O395" t="inlineStr">
        <is>
          <t>2+k</t>
        </is>
      </c>
      <c r="P395" t="n">
        <v>4</v>
      </c>
      <c r="Q395" t="inlineStr">
        <is>
          <t>Nie da się zamieszkać</t>
        </is>
      </c>
    </row>
    <row r="396">
      <c r="A396" t="n">
        <v>395</v>
      </c>
      <c r="B396" s="3" t="n">
        <v>45468</v>
      </c>
      <c r="D396" t="inlineStr">
        <is>
          <t>https://www.otodom.pl/pl/oferta/mieszkanie-do-remontu-dla-inwestora-ID4rg6j.html</t>
        </is>
      </c>
      <c r="E396">
        <f>HYPERLINK("https://www.otodom.pl/pl/oferta/mieszkanie-do-remontu-dla-inwestora-ID4rg6j.html", "https://www.otodom.pl/pl/oferta/mieszkanie-do-remontu-dla-inwestora-ID4rg6j.html")</f>
        <v/>
      </c>
      <c r="F396" t="inlineStr">
        <is>
          <t>Romskich Ofiar Getta Łódzkiego</t>
        </is>
      </c>
      <c r="G396" t="inlineStr">
        <is>
          <t>Bałuty</t>
        </is>
      </c>
      <c r="H396" t="inlineStr">
        <is>
          <t>Bałuty blisko centrum</t>
        </is>
      </c>
      <c r="I396" t="inlineStr">
        <is>
          <t>NIE</t>
        </is>
      </c>
      <c r="J396" t="inlineStr">
        <is>
          <t>TAK</t>
        </is>
      </c>
      <c r="K396" t="n">
        <v>513120280</v>
      </c>
      <c r="L396" t="n">
        <v>280000</v>
      </c>
      <c r="M396" t="n">
        <v>6120.218579234973</v>
      </c>
      <c r="N396" t="n">
        <v>45.75</v>
      </c>
      <c r="O396" t="inlineStr">
        <is>
          <t>2+k</t>
        </is>
      </c>
      <c r="P396" t="n">
        <v>3</v>
      </c>
      <c r="Q396" t="inlineStr">
        <is>
          <t>Puste</t>
        </is>
      </c>
      <c r="R396" t="inlineStr">
        <is>
          <t>Na razie cena nie do negocjacji. Kontakt 17.07. Jak do listopada się nie sprzeda. 28.08.2024 rzucona oferta nasza, pośredniczka ma odpowiedzieć, update 03.09.2024 wtorek co do ceny, jesteśmy w kontakcie</t>
        </is>
      </c>
    </row>
    <row r="397">
      <c r="A397" t="n">
        <v>396</v>
      </c>
      <c r="B397" s="3" t="n">
        <v>45469</v>
      </c>
      <c r="D397" t="inlineStr">
        <is>
          <t>https://www.otodom.pl/pl/oferta/3-pokoje-do-remontu-na-ogrodzonym-terenie-ID4rgb2</t>
        </is>
      </c>
      <c r="E397">
        <f>HYPERLINK("https://www.otodom.pl/pl/oferta/3-pokoje-do-remontu-na-ogrodzonym-terenie-ID4rgb2", "https://www.otodom.pl/pl/oferta/3-pokoje-do-remontu-na-ogrodzonym-terenie-ID4rgb2")</f>
        <v/>
      </c>
      <c r="F397" t="inlineStr">
        <is>
          <t>.</t>
        </is>
      </c>
      <c r="G397" t="inlineStr">
        <is>
          <t>Dąbrowa</t>
        </is>
      </c>
      <c r="H397" t="inlineStr">
        <is>
          <t>Dąbrowa</t>
        </is>
      </c>
      <c r="I397" t="inlineStr">
        <is>
          <t>NIE</t>
        </is>
      </c>
      <c r="J397" t="inlineStr">
        <is>
          <t>TAK</t>
        </is>
      </c>
      <c r="K397" t="n">
        <v>881792772</v>
      </c>
      <c r="L397" t="n">
        <v>375000</v>
      </c>
      <c r="M397" t="n">
        <v>6818.181818181818</v>
      </c>
      <c r="N397" t="n">
        <v>55</v>
      </c>
      <c r="O397" t="inlineStr">
        <is>
          <t>3+k</t>
        </is>
      </c>
      <c r="P397" t="n">
        <v>3</v>
      </c>
      <c r="Q397" t="inlineStr">
        <is>
          <t>Da się zamieszkać</t>
        </is>
      </c>
    </row>
    <row r="398">
      <c r="A398" t="n">
        <v>397</v>
      </c>
      <c r="B398" s="3" t="n">
        <v>45469</v>
      </c>
      <c r="D398" t="inlineStr">
        <is>
          <t>https://nieruchomosci.gratka.pl/nieruchomosci/mieszkanie-lodz-baluty/ob/35006047</t>
        </is>
      </c>
      <c r="E398">
        <f>HYPERLINK("https://nieruchomosci.gratka.pl/nieruchomosci/mieszkanie-lodz-baluty/ob/35006047", "https://nieruchomosci.gratka.pl/nieruchomosci/mieszkanie-lodz-baluty/ob/35006047")</f>
        <v/>
      </c>
      <c r="F398" t="inlineStr">
        <is>
          <t>piekarska</t>
        </is>
      </c>
      <c r="G398" t="inlineStr">
        <is>
          <t>Bałuty</t>
        </is>
      </c>
      <c r="H398" t="inlineStr">
        <is>
          <t>Bałuty</t>
        </is>
      </c>
      <c r="I398" t="inlineStr">
        <is>
          <t>NIE</t>
        </is>
      </c>
      <c r="J398" t="inlineStr">
        <is>
          <t>TAK</t>
        </is>
      </c>
      <c r="K398" t="n">
        <v>798735886</v>
      </c>
      <c r="L398" t="n">
        <v>400000</v>
      </c>
      <c r="M398" t="n">
        <v>7067.137809187279</v>
      </c>
      <c r="N398" t="n">
        <v>56.6</v>
      </c>
      <c r="O398" t="inlineStr">
        <is>
          <t>3+k</t>
        </is>
      </c>
      <c r="P398" t="n">
        <v>7</v>
      </c>
      <c r="Q398" t="inlineStr">
        <is>
          <t>Puste</t>
        </is>
      </c>
    </row>
    <row r="399">
      <c r="A399" t="n">
        <v>398</v>
      </c>
      <c r="B399" s="3" t="n">
        <v>45469</v>
      </c>
      <c r="D399" t="inlineStr">
        <is>
          <t>https://www.otodom.pl/pl/oferta/3-pokoje-na-sprzedaz-lodz-dabrowa-ID4rgdf</t>
        </is>
      </c>
      <c r="E399">
        <f>HYPERLINK("https://www.otodom.pl/pl/oferta/3-pokoje-na-sprzedaz-lodz-dabrowa-ID4rgdf", "https://www.otodom.pl/pl/oferta/3-pokoje-na-sprzedaz-lodz-dabrowa-ID4rgdf")</f>
        <v/>
      </c>
      <c r="F399" t="inlineStr">
        <is>
          <t>.</t>
        </is>
      </c>
      <c r="G399" t="inlineStr">
        <is>
          <t>Dąbrowa</t>
        </is>
      </c>
      <c r="H399" t="inlineStr">
        <is>
          <t>Dąbrowa</t>
        </is>
      </c>
      <c r="I399" t="inlineStr">
        <is>
          <t>NIE</t>
        </is>
      </c>
      <c r="J399" t="inlineStr">
        <is>
          <t>TAK</t>
        </is>
      </c>
      <c r="K399" t="n">
        <v>501078049</v>
      </c>
      <c r="L399" t="n">
        <v>320000</v>
      </c>
      <c r="M399" t="n">
        <v>6786.850477200424</v>
      </c>
      <c r="N399" t="n">
        <v>47.15</v>
      </c>
      <c r="O399" t="inlineStr">
        <is>
          <t>2+k</t>
        </is>
      </c>
      <c r="P399" t="n">
        <v>0</v>
      </c>
      <c r="Q399" t="inlineStr">
        <is>
          <t>Nie da się zamieszkać</t>
        </is>
      </c>
      <c r="T399" t="inlineStr">
        <is>
          <t>142</t>
        </is>
      </c>
    </row>
    <row r="400">
      <c r="A400" t="n">
        <v>399</v>
      </c>
      <c r="B400" s="3" t="n">
        <v>45469</v>
      </c>
      <c r="C400" s="3" t="n">
        <v>45475</v>
      </c>
      <c r="D400" t="inlineStr">
        <is>
          <t>https://www.otodom.pl/pl/oferta/m-3-retkinia-ul-batalionow-ID4rgtA</t>
        </is>
      </c>
      <c r="E400">
        <f>HYPERLINK("https://www.otodom.pl/pl/oferta/m-3-retkinia-ul-batalionow-ID4rgtA", "https://www.otodom.pl/pl/oferta/m-3-retkinia-ul-batalionow-ID4rgtA")</f>
        <v/>
      </c>
      <c r="F400" t="inlineStr">
        <is>
          <t>batalionów chłopskich</t>
        </is>
      </c>
      <c r="G400" t="inlineStr">
        <is>
          <t>Retkinia</t>
        </is>
      </c>
      <c r="H400" t="inlineStr">
        <is>
          <t>Retkinia</t>
        </is>
      </c>
      <c r="I400" t="inlineStr">
        <is>
          <t>TAK</t>
        </is>
      </c>
      <c r="J400" t="inlineStr">
        <is>
          <t>TAK</t>
        </is>
      </c>
      <c r="K400" t="n">
        <v>883120230</v>
      </c>
      <c r="L400" t="n">
        <v>300000</v>
      </c>
      <c r="M400" t="n">
        <v>7142.857142857143</v>
      </c>
      <c r="N400" t="n">
        <v>42</v>
      </c>
      <c r="O400" t="inlineStr">
        <is>
          <t>2+k</t>
        </is>
      </c>
      <c r="P400" t="n">
        <v>4</v>
      </c>
      <c r="Q400" t="inlineStr">
        <is>
          <t>Nie da się zamieszkać</t>
        </is>
      </c>
    </row>
    <row r="401">
      <c r="A401" t="n">
        <v>400</v>
      </c>
      <c r="B401" s="3" t="n">
        <v>45469</v>
      </c>
      <c r="C401" s="3" t="n">
        <v>45522</v>
      </c>
      <c r="D401" t="inlineStr">
        <is>
          <t>https://nieruchomosci.gratka.pl/nieruchomosci/mieszkanie-lodz-baluty/ob/35205577</t>
        </is>
      </c>
      <c r="E401">
        <f>HYPERLINK("https://nieruchomosci.gratka.pl/nieruchomosci/mieszkanie-lodz-baluty/ob/35205577", "https://nieruchomosci.gratka.pl/nieruchomosci/mieszkanie-lodz-baluty/ob/35205577")</f>
        <v/>
      </c>
      <c r="F401" t="inlineStr">
        <is>
          <t>.</t>
        </is>
      </c>
      <c r="G401" t="inlineStr">
        <is>
          <t>Teofilów</t>
        </is>
      </c>
      <c r="H401" t="inlineStr">
        <is>
          <t>Teofilów</t>
        </is>
      </c>
      <c r="I401" t="inlineStr">
        <is>
          <t>TAK</t>
        </is>
      </c>
      <c r="J401" t="inlineStr">
        <is>
          <t>TAK</t>
        </is>
      </c>
      <c r="K401" t="n">
        <v>786660356</v>
      </c>
      <c r="L401" t="n">
        <v>280000</v>
      </c>
      <c r="M401" t="n">
        <v>7508.715473317244</v>
      </c>
      <c r="N401" t="n">
        <v>37.29</v>
      </c>
      <c r="O401" t="inlineStr">
        <is>
          <t>2+k</t>
        </is>
      </c>
      <c r="P401" t="n">
        <v>2</v>
      </c>
      <c r="Q401" t="inlineStr">
        <is>
          <t>Nie da się zamieszkać</t>
        </is>
      </c>
      <c r="R401" t="inlineStr">
        <is>
          <t>17.07 było 290k</t>
        </is>
      </c>
    </row>
    <row r="402">
      <c r="A402" t="n">
        <v>401</v>
      </c>
      <c r="B402" s="3" t="n">
        <v>45469</v>
      </c>
      <c r="C402" s="3" t="n">
        <v>45506</v>
      </c>
      <c r="D402" t="inlineStr">
        <is>
          <t>https://www.otodom.pl/pl/oferta/dwa-pokoje-do-remontu-ID4rgTj</t>
        </is>
      </c>
      <c r="E402">
        <f>HYPERLINK("https://www.otodom.pl/pl/oferta/dwa-pokoje-do-remontu-ID4rgTj", "https://www.otodom.pl/pl/oferta/dwa-pokoje-do-remontu-ID4rgTj")</f>
        <v/>
      </c>
      <c r="F402" t="inlineStr">
        <is>
          <t>wyszyńskiego</t>
        </is>
      </c>
      <c r="G402" t="inlineStr">
        <is>
          <t>Retkinia</t>
        </is>
      </c>
      <c r="H402" t="inlineStr">
        <is>
          <t>Retkinia</t>
        </is>
      </c>
      <c r="I402" t="inlineStr">
        <is>
          <t>TAK</t>
        </is>
      </c>
      <c r="J402" t="inlineStr">
        <is>
          <t>TAK</t>
        </is>
      </c>
      <c r="K402" t="n">
        <v>721608020</v>
      </c>
      <c r="L402" t="n">
        <v>289000</v>
      </c>
      <c r="M402" t="n">
        <v>6812.824139556813</v>
      </c>
      <c r="N402" t="n">
        <v>42.42</v>
      </c>
      <c r="O402" t="inlineStr">
        <is>
          <t>2+k</t>
        </is>
      </c>
      <c r="P402" t="n">
        <v>5</v>
      </c>
      <c r="Q402" t="inlineStr">
        <is>
          <t>Nie da się zamieszkać</t>
        </is>
      </c>
      <c r="R402" t="inlineStr">
        <is>
          <t xml:space="preserve">Kontakt 22.07 wyszyńskiego 51. uwmówiona wizyta 22.07 16 30. </t>
        </is>
      </c>
    </row>
    <row r="403">
      <c r="A403" t="n">
        <v>402</v>
      </c>
      <c r="B403" s="3" t="n">
        <v>45469</v>
      </c>
      <c r="D403" t="inlineStr">
        <is>
          <t>https://www.okolica.pl/offer/show/35433-S-SB877778/formular</t>
        </is>
      </c>
      <c r="E403">
        <f>HYPERLINK("https://www.okolica.pl/offer/show/35433-S-SB877778/formular", "https://www.okolica.pl/offer/show/35433-S-SB877778/formular")</f>
        <v/>
      </c>
      <c r="F403" t="inlineStr">
        <is>
          <t>umińskiego</t>
        </is>
      </c>
      <c r="G403" t="inlineStr">
        <is>
          <t>Dąbrowa</t>
        </is>
      </c>
      <c r="H403" t="inlineStr">
        <is>
          <t>Dąbrowa</t>
        </is>
      </c>
      <c r="I403" t="inlineStr">
        <is>
          <t>NIE</t>
        </is>
      </c>
      <c r="J403" t="inlineStr">
        <is>
          <t>TAK</t>
        </is>
      </c>
      <c r="K403" t="n">
        <v>534365700</v>
      </c>
      <c r="L403" t="n">
        <v>319000</v>
      </c>
      <c r="M403" t="n">
        <v>7088.888888888889</v>
      </c>
      <c r="N403" t="n">
        <v>45</v>
      </c>
      <c r="O403" t="inlineStr">
        <is>
          <t>2+k</t>
        </is>
      </c>
      <c r="P403" t="n">
        <v>2</v>
      </c>
      <c r="Q403" t="inlineStr">
        <is>
          <t>Nie da się zamieszkać</t>
        </is>
      </c>
    </row>
    <row r="404">
      <c r="A404" t="n">
        <v>403</v>
      </c>
      <c r="B404" s="3" t="n">
        <v>45469</v>
      </c>
      <c r="D404" t="inlineStr">
        <is>
          <t>https://lodz.nieruchomosci-online.pl/mieszkanie-w-bloku-mieszkalnym,do-remontu/24797310.html</t>
        </is>
      </c>
      <c r="E404">
        <f>HYPERLINK("https://lodz.nieruchomosci-online.pl/mieszkanie-w-bloku-mieszkalnym,do-remontu/24797310.html", "https://lodz.nieruchomosci-online.pl/mieszkanie-w-bloku-mieszkalnym,do-remontu/24797310.html")</f>
        <v/>
      </c>
      <c r="F404" t="inlineStr">
        <is>
          <t>leśmiana</t>
        </is>
      </c>
      <c r="G404" t="inlineStr">
        <is>
          <t>Dąbrowa</t>
        </is>
      </c>
      <c r="H404" t="inlineStr">
        <is>
          <t>Dąbrowa</t>
        </is>
      </c>
      <c r="I404" t="inlineStr">
        <is>
          <t>NIE</t>
        </is>
      </c>
      <c r="J404" t="inlineStr">
        <is>
          <t>TAK</t>
        </is>
      </c>
      <c r="K404" t="n">
        <v>505926900</v>
      </c>
      <c r="L404" t="n">
        <v>325000</v>
      </c>
      <c r="M404" t="n">
        <v>7257.704332291201</v>
      </c>
      <c r="N404" t="n">
        <v>44.78</v>
      </c>
      <c r="O404" t="inlineStr">
        <is>
          <t>2+k</t>
        </is>
      </c>
      <c r="P404" t="n">
        <v>3</v>
      </c>
      <c r="Q404" t="inlineStr">
        <is>
          <t>Nie da się zamieszkać</t>
        </is>
      </c>
    </row>
    <row r="405">
      <c r="A405" t="n">
        <v>404</v>
      </c>
      <c r="B405" s="3" t="n">
        <v>45469</v>
      </c>
      <c r="C405" s="3" t="n">
        <v>45532</v>
      </c>
      <c r="D405" t="inlineStr">
        <is>
          <t>https://www.otodom.pl/pl/oferta/dwa-pokoje-37-m2-2-pietro-w-bloku-na-widzewie-ID4rhjC</t>
        </is>
      </c>
      <c r="E405">
        <f>HYPERLINK("https://www.otodom.pl/pl/oferta/dwa-pokoje-37-m2-2-pietro-w-bloku-na-widzewie-ID4rhjC", "https://www.otodom.pl/pl/oferta/dwa-pokoje-37-m2-2-pietro-w-bloku-na-widzewie-ID4rhjC")</f>
        <v/>
      </c>
      <c r="F405" t="inlineStr">
        <is>
          <t>tatrzańska</t>
        </is>
      </c>
      <c r="G405" t="inlineStr">
        <is>
          <t>Dąbrowa</t>
        </is>
      </c>
      <c r="H405" t="inlineStr">
        <is>
          <t>Dąbrowa</t>
        </is>
      </c>
      <c r="I405" t="inlineStr">
        <is>
          <t>TAK</t>
        </is>
      </c>
      <c r="J405" t="inlineStr">
        <is>
          <t>TAK</t>
        </is>
      </c>
      <c r="K405" t="n">
        <v>500782009</v>
      </c>
      <c r="L405" t="n">
        <v>274000</v>
      </c>
      <c r="M405" t="n">
        <v>7405.405405405405</v>
      </c>
      <c r="N405" t="n">
        <v>37</v>
      </c>
      <c r="O405" t="inlineStr">
        <is>
          <t>2+k</t>
        </is>
      </c>
      <c r="P405" t="n">
        <v>2</v>
      </c>
      <c r="Q405" t="inlineStr">
        <is>
          <t>Puste posprzątane</t>
        </is>
      </c>
      <c r="R405" t="inlineStr">
        <is>
          <t>11.08 było 280k</t>
        </is>
      </c>
      <c r="T405" t="inlineStr">
        <is>
          <t>743</t>
        </is>
      </c>
    </row>
    <row r="406">
      <c r="A406" t="n">
        <v>405</v>
      </c>
      <c r="B406" s="3" t="n">
        <v>45469</v>
      </c>
      <c r="D406" t="inlineStr">
        <is>
          <t>https://www.olx.pl/d/oferta/3-pokoje-smiglego-rydza-3-CID3-IDYfyUv.html</t>
        </is>
      </c>
      <c r="E406">
        <f>HYPERLINK("https://www.olx.pl/d/oferta/3-pokoje-smiglego-rydza-3-CID3-IDYfyUv.html", "https://www.olx.pl/d/oferta/3-pokoje-smiglego-rydza-3-CID3-IDYfyUv.html")</f>
        <v/>
      </c>
      <c r="F406" t="inlineStr">
        <is>
          <t xml:space="preserve">smigłego rydza </t>
        </is>
      </c>
      <c r="G406" t="inlineStr">
        <is>
          <t>Widzew</t>
        </is>
      </c>
      <c r="H406" t="inlineStr">
        <is>
          <t>Widzew blisko centrum</t>
        </is>
      </c>
      <c r="I406" t="inlineStr">
        <is>
          <t>NIE</t>
        </is>
      </c>
      <c r="J406" t="inlineStr">
        <is>
          <t>NIE</t>
        </is>
      </c>
      <c r="K406" t="n">
        <v>518447783</v>
      </c>
      <c r="L406" t="n">
        <v>355000</v>
      </c>
      <c r="M406" t="n">
        <v>7489.451476793249</v>
      </c>
      <c r="N406" t="n">
        <v>47.4</v>
      </c>
      <c r="O406" t="inlineStr">
        <is>
          <t>3+k</t>
        </is>
      </c>
      <c r="P406" t="n">
        <v>0</v>
      </c>
      <c r="Q406" t="inlineStr">
        <is>
          <t>Nie da się zamieszkać</t>
        </is>
      </c>
      <c r="R406" t="inlineStr">
        <is>
          <t>było nie aktywne nie wiem kiedy i wrociło 13.09</t>
        </is>
      </c>
    </row>
    <row r="407">
      <c r="A407" t="n">
        <v>406</v>
      </c>
      <c r="B407" s="3" t="n">
        <v>45470</v>
      </c>
      <c r="D407" t="inlineStr">
        <is>
          <t>https://www.otodom.pl/pl/oferta/m2-z-potencjalem-na-m3-przy-asp-ID4rhnk</t>
        </is>
      </c>
      <c r="E407">
        <f>HYPERLINK("https://www.otodom.pl/pl/oferta/m2-z-potencjalem-na-m3-przy-asp-ID4rhnk", "https://www.otodom.pl/pl/oferta/m2-z-potencjalem-na-m3-przy-asp-ID4rhnk")</f>
        <v/>
      </c>
      <c r="F407" t="inlineStr">
        <is>
          <t>boya zalenskiego</t>
        </is>
      </c>
      <c r="G407" t="inlineStr">
        <is>
          <t>Bałuty</t>
        </is>
      </c>
      <c r="H407" t="inlineStr">
        <is>
          <t>Bałuty blisko centrum</t>
        </is>
      </c>
      <c r="I407" t="inlineStr">
        <is>
          <t>NIE</t>
        </is>
      </c>
      <c r="J407" t="inlineStr">
        <is>
          <t>TAK</t>
        </is>
      </c>
      <c r="K407" t="n">
        <v>518150440</v>
      </c>
      <c r="L407" t="n">
        <v>270000</v>
      </c>
      <c r="M407" t="n">
        <v>7142.857142857143</v>
      </c>
      <c r="N407" t="n">
        <v>37.8</v>
      </c>
      <c r="O407" t="inlineStr">
        <is>
          <t>1+k</t>
        </is>
      </c>
      <c r="P407" t="n">
        <v>2</v>
      </c>
      <c r="Q407" t="inlineStr">
        <is>
          <t>Nie da się zamieszkać</t>
        </is>
      </c>
      <c r="R407" t="inlineStr">
        <is>
          <t xml:space="preserve">da się zrobic m3 </t>
        </is>
      </c>
    </row>
    <row r="408">
      <c r="A408" t="n">
        <v>407</v>
      </c>
      <c r="B408" s="3" t="n">
        <v>45470</v>
      </c>
      <c r="C408" s="3" t="n">
        <v>45510</v>
      </c>
      <c r="D408" t="inlineStr">
        <is>
          <t>https://nieruchomosci.gratka.pl/nieruchomosci/mieszkanie-lodz-baluty-wielkopolska/ob/35027373</t>
        </is>
      </c>
      <c r="E408">
        <f>HYPERLINK("https://nieruchomosci.gratka.pl/nieruchomosci/mieszkanie-lodz-baluty-wielkopolska/ob/35027373", "https://nieruchomosci.gratka.pl/nieruchomosci/mieszkanie-lodz-baluty-wielkopolska/ob/35027373")</f>
        <v/>
      </c>
      <c r="F408" t="inlineStr">
        <is>
          <t>wielkopolska</t>
        </is>
      </c>
      <c r="G408" t="inlineStr">
        <is>
          <t>Teofilów</t>
        </is>
      </c>
      <c r="H408" t="inlineStr">
        <is>
          <t>Teofilów</t>
        </is>
      </c>
      <c r="I408" t="inlineStr">
        <is>
          <t>TAK</t>
        </is>
      </c>
      <c r="J408" t="inlineStr">
        <is>
          <t>TAK</t>
        </is>
      </c>
      <c r="K408" t="n">
        <v>792333037</v>
      </c>
      <c r="L408" t="n">
        <v>334000</v>
      </c>
      <c r="M408" t="n">
        <v>7260.869565217391</v>
      </c>
      <c r="N408" t="n">
        <v>46</v>
      </c>
      <c r="O408" t="inlineStr">
        <is>
          <t>2+k</t>
        </is>
      </c>
      <c r="P408" t="n">
        <v>1</v>
      </c>
      <c r="Q408" t="inlineStr">
        <is>
          <t>Da się zamieszkać</t>
        </is>
      </c>
    </row>
    <row r="409">
      <c r="A409" t="n">
        <v>408</v>
      </c>
      <c r="B409" s="3" t="n">
        <v>45470</v>
      </c>
      <c r="C409" s="3" t="n">
        <v>45532</v>
      </c>
      <c r="D409" t="inlineStr">
        <is>
          <t>https://adresowo.pl/o/g5p6i3</t>
        </is>
      </c>
      <c r="E409">
        <f>HYPERLINK("https://adresowo.pl/o/g5p6i3", "https://adresowo.pl/o/g5p6i3")</f>
        <v/>
      </c>
      <c r="F409" t="inlineStr">
        <is>
          <t>białostocka</t>
        </is>
      </c>
      <c r="G409" t="inlineStr">
        <is>
          <t>Górna</t>
        </is>
      </c>
      <c r="H409" t="inlineStr">
        <is>
          <t>Daleka górna</t>
        </is>
      </c>
      <c r="I409" t="inlineStr">
        <is>
          <t>TAK</t>
        </is>
      </c>
      <c r="J409" t="inlineStr">
        <is>
          <t>NIE</t>
        </is>
      </c>
      <c r="L409" t="n">
        <v>374000</v>
      </c>
      <c r="M409" t="n">
        <v>7480</v>
      </c>
      <c r="N409" t="n">
        <v>50</v>
      </c>
      <c r="O409" t="inlineStr">
        <is>
          <t>2+k</t>
        </is>
      </c>
      <c r="P409" t="n">
        <v>4</v>
      </c>
      <c r="Q409" t="inlineStr">
        <is>
          <t>Da się zamieszkać</t>
        </is>
      </c>
      <c r="R409" t="inlineStr">
        <is>
          <t>ma 11 pieter</t>
        </is>
      </c>
    </row>
    <row r="410">
      <c r="A410" t="n">
        <v>409</v>
      </c>
      <c r="B410" s="3" t="n">
        <v>45470</v>
      </c>
      <c r="D410" t="inlineStr">
        <is>
          <t>https://lodz.nieruchomosci-online.pl/mieszkanie-w-bloku-mieszkalnym,do-remontu/24930474.html</t>
        </is>
      </c>
      <c r="E410">
        <f>HYPERLINK("https://lodz.nieruchomosci-online.pl/mieszkanie-w-bloku-mieszkalnym,do-remontu/24930474.html", "https://lodz.nieruchomosci-online.pl/mieszkanie-w-bloku-mieszkalnym,do-remontu/24930474.html")</f>
        <v/>
      </c>
      <c r="F410" t="inlineStr">
        <is>
          <t>zielona</t>
        </is>
      </c>
      <c r="G410" t="inlineStr">
        <is>
          <t>Polesie</t>
        </is>
      </c>
      <c r="H410" t="inlineStr">
        <is>
          <t>Polesie</t>
        </is>
      </c>
      <c r="I410" t="inlineStr">
        <is>
          <t>NIE</t>
        </is>
      </c>
      <c r="J410" t="inlineStr">
        <is>
          <t>TAK</t>
        </is>
      </c>
      <c r="K410" t="n">
        <v>530195255</v>
      </c>
      <c r="L410" t="n">
        <v>249000</v>
      </c>
      <c r="M410" t="n">
        <v>6916.666666666667</v>
      </c>
      <c r="N410" t="n">
        <v>36</v>
      </c>
      <c r="O410" t="inlineStr">
        <is>
          <t>2+k</t>
        </is>
      </c>
      <c r="P410" t="n">
        <v>2</v>
      </c>
      <c r="Q410" t="inlineStr">
        <is>
          <t>Nie da się zamieszkać</t>
        </is>
      </c>
      <c r="R410" t="inlineStr">
        <is>
          <t>16.08 było 258k  Próba telefonu 05.09.2024 zajęte</t>
        </is>
      </c>
    </row>
    <row r="411">
      <c r="A411" t="n">
        <v>410</v>
      </c>
      <c r="B411" s="3" t="n">
        <v>45471</v>
      </c>
      <c r="C411" s="3" t="n">
        <v>45506</v>
      </c>
      <c r="D411" t="inlineStr">
        <is>
          <t>https://www.olx.pl/d/oferta/m3-doly-CID3-ID10iCe7.html</t>
        </is>
      </c>
      <c r="E411">
        <f>HYPERLINK("https://www.olx.pl/d/oferta/m3-doly-CID3-ID10iCe7.html", "https://www.olx.pl/d/oferta/m3-doly-CID3-ID10iCe7.html")</f>
        <v/>
      </c>
      <c r="F411" t="inlineStr">
        <is>
          <t xml:space="preserve">marynarska </t>
        </is>
      </c>
      <c r="G411" t="inlineStr">
        <is>
          <t>Bałuty</t>
        </is>
      </c>
      <c r="H411" t="inlineStr">
        <is>
          <t>Bałuty blisko centrum</t>
        </is>
      </c>
      <c r="I411" t="inlineStr">
        <is>
          <t>TAK</t>
        </is>
      </c>
      <c r="J411" t="inlineStr">
        <is>
          <t>TAK</t>
        </is>
      </c>
      <c r="K411" t="n">
        <v>797542793</v>
      </c>
      <c r="L411" t="n">
        <v>329000</v>
      </c>
      <c r="M411" t="n">
        <v>6854.166666666667</v>
      </c>
      <c r="N411" t="n">
        <v>48</v>
      </c>
      <c r="O411" t="inlineStr">
        <is>
          <t>2+k</t>
        </is>
      </c>
      <c r="P411" t="n">
        <v>3</v>
      </c>
      <c r="Q411" t="inlineStr">
        <is>
          <t>Nie da się zamieszkać</t>
        </is>
      </c>
    </row>
    <row r="412">
      <c r="A412" t="n">
        <v>411</v>
      </c>
      <c r="B412" s="3" t="n">
        <v>45471</v>
      </c>
      <c r="C412" s="3" t="n">
        <v>45488</v>
      </c>
      <c r="D412" t="inlineStr">
        <is>
          <t>https://szybko.pl/o/na-sprzedaz/lokal-mieszkalny+mieszkanie/Łódź+Bałuty/oferta-15274459</t>
        </is>
      </c>
      <c r="E412">
        <f>HYPERLINK("https://szybko.pl/o/na-sprzedaz/lokal-mieszkalny+mieszkanie/Łódź+Bałuty/oferta-15274459", "https://szybko.pl/o/na-sprzedaz/lokal-mieszkalny+mieszkanie/Łódź+Bałuty/oferta-15274459")</f>
        <v/>
      </c>
      <c r="F412" t="inlineStr">
        <is>
          <t>.</t>
        </is>
      </c>
      <c r="G412" t="inlineStr">
        <is>
          <t>Teofilów</t>
        </is>
      </c>
      <c r="H412" t="inlineStr">
        <is>
          <t>Teofilów</t>
        </is>
      </c>
      <c r="I412" t="inlineStr">
        <is>
          <t>TAK</t>
        </is>
      </c>
      <c r="J412" t="inlineStr">
        <is>
          <t>TAK</t>
        </is>
      </c>
      <c r="K412" t="n">
        <v>502112226</v>
      </c>
      <c r="L412" t="n">
        <v>374000</v>
      </c>
      <c r="M412" t="n">
        <v>7192.307692307692</v>
      </c>
      <c r="N412" t="n">
        <v>52</v>
      </c>
      <c r="O412" t="inlineStr">
        <is>
          <t>3+k</t>
        </is>
      </c>
      <c r="P412" t="n">
        <v>3</v>
      </c>
      <c r="Q412" t="inlineStr">
        <is>
          <t>Nie da się zamieszkać</t>
        </is>
      </c>
    </row>
    <row r="413">
      <c r="A413" t="n">
        <v>412</v>
      </c>
      <c r="B413" s="3" t="n">
        <v>45471</v>
      </c>
      <c r="C413" s="3" t="n">
        <v>45481</v>
      </c>
      <c r="D413" t="inlineStr">
        <is>
          <t>https://www.olx.pl/d/oferta/kawalerka-34m-3-pietro-tatrzanska-CID3-ID10Nu5r.html</t>
        </is>
      </c>
      <c r="E413">
        <f>HYPERLINK("https://www.olx.pl/d/oferta/kawalerka-34m-3-pietro-tatrzanska-CID3-ID10Nu5r.html", "https://www.olx.pl/d/oferta/kawalerka-34m-3-pietro-tatrzanska-CID3-ID10Nu5r.html")</f>
        <v/>
      </c>
      <c r="F413" t="inlineStr">
        <is>
          <t>tatrzańska</t>
        </is>
      </c>
      <c r="G413" t="inlineStr">
        <is>
          <t>Dąbrowa</t>
        </is>
      </c>
      <c r="H413" t="inlineStr">
        <is>
          <t>Dąbrowa</t>
        </is>
      </c>
      <c r="I413" t="inlineStr">
        <is>
          <t>TAK</t>
        </is>
      </c>
      <c r="J413" t="inlineStr">
        <is>
          <t>NIE</t>
        </is>
      </c>
      <c r="K413" t="n">
        <v>530070090</v>
      </c>
      <c r="L413" t="n">
        <v>233000</v>
      </c>
      <c r="M413" t="n">
        <v>6852.941176470588</v>
      </c>
      <c r="N413" t="n">
        <v>34</v>
      </c>
      <c r="O413" t="inlineStr">
        <is>
          <t>1+k</t>
        </is>
      </c>
      <c r="P413" t="n">
        <v>3</v>
      </c>
      <c r="Q413" t="inlineStr">
        <is>
          <t>Nie da się zamieszkać</t>
        </is>
      </c>
    </row>
    <row r="414">
      <c r="A414" t="n">
        <v>413</v>
      </c>
      <c r="B414" s="3" t="n">
        <v>45471</v>
      </c>
      <c r="C414" s="3" t="n">
        <v>45506</v>
      </c>
      <c r="D414" t="inlineStr">
        <is>
          <t>https://www.otodom.pl/pl/oferta/widne-wsrod-zieleni-ciche-top-lokalizacja-baluty-ID4rjnt.html</t>
        </is>
      </c>
      <c r="E414">
        <f>HYPERLINK("https://www.otodom.pl/pl/oferta/widne-wsrod-zieleni-ciche-top-lokalizacja-baluty-ID4rjnt.html", "https://www.otodom.pl/pl/oferta/widne-wsrod-zieleni-ciche-top-lokalizacja-baluty-ID4rjnt.html")</f>
        <v/>
      </c>
      <c r="F414" t="inlineStr">
        <is>
          <t>kołodziejska</t>
        </is>
      </c>
      <c r="G414" t="inlineStr">
        <is>
          <t>Bałuty</t>
        </is>
      </c>
      <c r="H414" t="inlineStr">
        <is>
          <t>Bałuty blisko centrum</t>
        </is>
      </c>
      <c r="I414" t="inlineStr">
        <is>
          <t>TAK</t>
        </is>
      </c>
      <c r="J414" t="inlineStr">
        <is>
          <t>NIE</t>
        </is>
      </c>
      <c r="K414" t="n">
        <v>537112348</v>
      </c>
      <c r="L414" t="n">
        <v>359000</v>
      </c>
      <c r="M414" t="n">
        <v>7180</v>
      </c>
      <c r="N414" t="n">
        <v>50</v>
      </c>
      <c r="O414" t="inlineStr">
        <is>
          <t>3+k</t>
        </is>
      </c>
      <c r="P414" t="n">
        <v>1</v>
      </c>
      <c r="Q414" t="inlineStr">
        <is>
          <t>Nie da się zamieszkać</t>
        </is>
      </c>
      <c r="R414" t="inlineStr">
        <is>
          <t xml:space="preserve">sprzedawane z wizualizacją mieszkania po remoncie </t>
        </is>
      </c>
    </row>
    <row r="415">
      <c r="A415" t="n">
        <v>414</v>
      </c>
      <c r="B415" s="3" t="n">
        <v>45471</v>
      </c>
      <c r="C415" s="3" t="n">
        <v>45548</v>
      </c>
      <c r="D415" t="inlineStr">
        <is>
          <t>https://nieruchomosci.gratka.pl/nieruchomosci/mieszkanie-lodz-widzew-leopolda-tyrmanda/ob/35044451</t>
        </is>
      </c>
      <c r="E415">
        <f>HYPERLINK("https://nieruchomosci.gratka.pl/nieruchomosci/mieszkanie-lodz-widzew-leopolda-tyrmanda/ob/35044451", "https://nieruchomosci.gratka.pl/nieruchomosci/mieszkanie-lodz-widzew-leopolda-tyrmanda/ob/35044451")</f>
        <v/>
      </c>
      <c r="F415" t="inlineStr">
        <is>
          <t xml:space="preserve">tyrmanda </t>
        </is>
      </c>
      <c r="G415" t="inlineStr">
        <is>
          <t>Widzew</t>
        </is>
      </c>
      <c r="H415" t="inlineStr">
        <is>
          <t>Widzew blisko centrum</t>
        </is>
      </c>
      <c r="I415" t="inlineStr">
        <is>
          <t>TAK</t>
        </is>
      </c>
      <c r="J415" t="inlineStr">
        <is>
          <t>TAK</t>
        </is>
      </c>
      <c r="K415" t="n">
        <v>730965292</v>
      </c>
      <c r="L415" t="n">
        <v>320000</v>
      </c>
      <c r="M415" t="n">
        <v>6956.521739130435</v>
      </c>
      <c r="N415" t="n">
        <v>46</v>
      </c>
      <c r="O415" t="inlineStr">
        <is>
          <t>2+k</t>
        </is>
      </c>
      <c r="P415" t="n">
        <v>3</v>
      </c>
      <c r="Q415" t="inlineStr">
        <is>
          <t>Nie da się zamieszkać</t>
        </is>
      </c>
    </row>
    <row r="416">
      <c r="A416" t="n">
        <v>415</v>
      </c>
      <c r="B416" s="3" t="n">
        <v>45472</v>
      </c>
      <c r="C416" s="3" t="n">
        <v>45481</v>
      </c>
      <c r="D416" t="inlineStr">
        <is>
          <t>https://www.olx.pl/d/oferta/2-pokoje-z-balkonem-retkinia-CID3-ID10NrKp.html</t>
        </is>
      </c>
      <c r="E416">
        <f>HYPERLINK("https://www.olx.pl/d/oferta/2-pokoje-z-balkonem-retkinia-CID3-ID10NrKp.html", "https://www.olx.pl/d/oferta/2-pokoje-z-balkonem-retkinia-CID3-ID10NrKp.html")</f>
        <v/>
      </c>
      <c r="F416" t="inlineStr">
        <is>
          <t>karolew</t>
        </is>
      </c>
      <c r="G416" t="inlineStr">
        <is>
          <t>Retkinia</t>
        </is>
      </c>
      <c r="H416" t="inlineStr">
        <is>
          <t>Retkinia blisko centrum</t>
        </is>
      </c>
      <c r="I416" t="inlineStr">
        <is>
          <t>TAK</t>
        </is>
      </c>
      <c r="J416" t="inlineStr">
        <is>
          <t>TAK</t>
        </is>
      </c>
      <c r="K416" t="n">
        <v>798448397</v>
      </c>
      <c r="L416" t="n">
        <v>289000</v>
      </c>
      <c r="M416" t="n">
        <v>6970.574047274481</v>
      </c>
      <c r="N416" t="n">
        <v>41.46</v>
      </c>
      <c r="O416" t="inlineStr">
        <is>
          <t>2+k</t>
        </is>
      </c>
      <c r="P416" t="n">
        <v>3</v>
      </c>
      <c r="Q416" t="inlineStr">
        <is>
          <t>Da się zamieszkać</t>
        </is>
      </c>
    </row>
    <row r="417">
      <c r="A417" t="n">
        <v>416</v>
      </c>
      <c r="B417" s="3" t="n">
        <v>45472</v>
      </c>
      <c r="C417" s="3" t="n">
        <v>45481</v>
      </c>
      <c r="D417" t="inlineStr">
        <is>
          <t>https://szybko.pl/o/na-sprzedaz/lokal-mieszkalny+mieszkanie/Łódź+Bałuty/oferta-15401849</t>
        </is>
      </c>
      <c r="E417">
        <f>HYPERLINK("https://szybko.pl/o/na-sprzedaz/lokal-mieszkalny+mieszkanie/Łódź+Bałuty/oferta-15401849", "https://szybko.pl/o/na-sprzedaz/lokal-mieszkalny+mieszkanie/Łódź+Bałuty/oferta-15401849")</f>
        <v/>
      </c>
      <c r="F417" t="inlineStr">
        <is>
          <t>.</t>
        </is>
      </c>
      <c r="G417" t="inlineStr">
        <is>
          <t>Teofilów</t>
        </is>
      </c>
      <c r="H417" t="inlineStr">
        <is>
          <t>Teofilów</t>
        </is>
      </c>
      <c r="I417" t="inlineStr">
        <is>
          <t>TAK</t>
        </is>
      </c>
      <c r="J417" t="inlineStr">
        <is>
          <t>TAK</t>
        </is>
      </c>
      <c r="K417" t="n">
        <v>606899671</v>
      </c>
      <c r="L417" t="n">
        <v>345000</v>
      </c>
      <c r="M417" t="n">
        <v>7666.666666666667</v>
      </c>
      <c r="N417" t="n">
        <v>45</v>
      </c>
      <c r="O417" t="inlineStr">
        <is>
          <t>2+k</t>
        </is>
      </c>
      <c r="P417" t="n">
        <v>2</v>
      </c>
      <c r="Q417" t="inlineStr">
        <is>
          <t>Nie da się zamieszkać</t>
        </is>
      </c>
      <c r="R417" t="inlineStr">
        <is>
          <t>to nie dubel</t>
        </is>
      </c>
      <c r="T417" t="inlineStr">
        <is>
          <t>714</t>
        </is>
      </c>
    </row>
    <row r="418">
      <c r="A418" t="n">
        <v>417</v>
      </c>
      <c r="B418" s="3" t="n">
        <v>45472</v>
      </c>
      <c r="C418" s="3" t="n">
        <v>45488</v>
      </c>
      <c r="D418" t="inlineStr">
        <is>
          <t>https://www.otodom.pl/pl/oferta/klasyka-i-lokalizacja-ID4rjBK.html</t>
        </is>
      </c>
      <c r="E418">
        <f>HYPERLINK("https://www.otodom.pl/pl/oferta/klasyka-i-lokalizacja-ID4rjBK.html", "https://www.otodom.pl/pl/oferta/klasyka-i-lokalizacja-ID4rjBK.html")</f>
        <v/>
      </c>
      <c r="F418" t="inlineStr">
        <is>
          <t>leśmiana</t>
        </is>
      </c>
      <c r="G418" t="inlineStr">
        <is>
          <t>Dąbrowa</t>
        </is>
      </c>
      <c r="H418" t="inlineStr">
        <is>
          <t>Dąbrowa</t>
        </is>
      </c>
      <c r="I418" t="inlineStr">
        <is>
          <t>TAK</t>
        </is>
      </c>
      <c r="J418" t="inlineStr">
        <is>
          <t>TAK</t>
        </is>
      </c>
      <c r="K418" t="n">
        <v>606200910</v>
      </c>
      <c r="L418" t="n">
        <v>330000</v>
      </c>
      <c r="M418" t="n">
        <v>7333.333333333333</v>
      </c>
      <c r="N418" t="n">
        <v>45</v>
      </c>
      <c r="O418" t="inlineStr">
        <is>
          <t>2+k</t>
        </is>
      </c>
      <c r="P418" t="n">
        <v>1</v>
      </c>
      <c r="Q418" t="inlineStr">
        <is>
          <t>Nie da się zamieszkać</t>
        </is>
      </c>
    </row>
    <row r="419">
      <c r="A419" t="n">
        <v>418</v>
      </c>
      <c r="B419" s="3" t="n">
        <v>45472</v>
      </c>
      <c r="D419" t="inlineStr">
        <is>
          <t>https://nieruchomosci.gratka.pl/nieruchomosci/mieszkanie-lodz-gorna-zbaraska/ob/35045501</t>
        </is>
      </c>
      <c r="E419">
        <f>HYPERLINK("https://nieruchomosci.gratka.pl/nieruchomosci/mieszkanie-lodz-gorna-zbaraska/ob/35045501", "https://nieruchomosci.gratka.pl/nieruchomosci/mieszkanie-lodz-gorna-zbaraska/ob/35045501")</f>
        <v/>
      </c>
      <c r="F419" t="inlineStr">
        <is>
          <t>zbaraska</t>
        </is>
      </c>
      <c r="G419" t="inlineStr">
        <is>
          <t>Dąbrowa</t>
        </is>
      </c>
      <c r="H419" t="inlineStr">
        <is>
          <t>Dąbrowa</t>
        </is>
      </c>
      <c r="I419" t="inlineStr">
        <is>
          <t>NIE</t>
        </is>
      </c>
      <c r="J419" t="inlineStr">
        <is>
          <t>TAK</t>
        </is>
      </c>
      <c r="K419" t="n">
        <v>500176119</v>
      </c>
      <c r="L419" t="n">
        <v>270000</v>
      </c>
      <c r="M419" t="n">
        <v>7269.789983844911</v>
      </c>
      <c r="N419" t="n">
        <v>37.14</v>
      </c>
      <c r="O419" t="inlineStr">
        <is>
          <t>2+k</t>
        </is>
      </c>
      <c r="P419" t="n">
        <v>0</v>
      </c>
      <c r="Q419" t="inlineStr">
        <is>
          <t>Nie da się zamieszkać</t>
        </is>
      </c>
    </row>
    <row r="420">
      <c r="A420" t="n">
        <v>419</v>
      </c>
      <c r="B420" s="3" t="n">
        <v>45472</v>
      </c>
      <c r="C420" s="3" t="n">
        <v>45488</v>
      </c>
      <c r="D420" t="inlineStr">
        <is>
          <t>https://www.olx.pl/d/oferta/mieszkanie-38mtr-balkon-ok-manufaktury-ulica-drewnowska-CID3-ID10Oe2h.html</t>
        </is>
      </c>
      <c r="E420">
        <f>HYPERLINK("https://www.olx.pl/d/oferta/mieszkanie-38mtr-balkon-ok-manufaktury-ulica-drewnowska-CID3-ID10Oe2h.html", "https://www.olx.pl/d/oferta/mieszkanie-38mtr-balkon-ok-manufaktury-ulica-drewnowska-CID3-ID10Oe2h.html")</f>
        <v/>
      </c>
      <c r="F420" t="inlineStr">
        <is>
          <t>drewnowska</t>
        </is>
      </c>
      <c r="G420" t="inlineStr">
        <is>
          <t>Bałuty</t>
        </is>
      </c>
      <c r="H420" t="inlineStr">
        <is>
          <t>Bałuty blisko centrum</t>
        </is>
      </c>
      <c r="I420" t="inlineStr">
        <is>
          <t>TAK</t>
        </is>
      </c>
      <c r="J420" t="inlineStr">
        <is>
          <t>NIE</t>
        </is>
      </c>
      <c r="K420" t="n">
        <v>509030505</v>
      </c>
      <c r="L420" t="n">
        <v>275000</v>
      </c>
      <c r="M420" t="n">
        <v>7142.857142857143</v>
      </c>
      <c r="N420" t="n">
        <v>38.5</v>
      </c>
      <c r="O420" t="inlineStr">
        <is>
          <t>2+k</t>
        </is>
      </c>
      <c r="P420" t="n">
        <v>2</v>
      </c>
      <c r="Q420" t="inlineStr">
        <is>
          <t>Nie da się zamieszkać</t>
        </is>
      </c>
    </row>
    <row r="421">
      <c r="A421" t="n">
        <v>420</v>
      </c>
      <c r="B421" s="3" t="n">
        <v>45472</v>
      </c>
      <c r="C421" s="3" t="n">
        <v>45510</v>
      </c>
      <c r="D421" t="inlineStr">
        <is>
          <t>https://www.otodom.pl/pl/oferta/mieszkanie-dwupokojowe-przy-parku-nad-jasieniem-ID4rjFw.html</t>
        </is>
      </c>
      <c r="E421">
        <f>HYPERLINK("https://www.otodom.pl/pl/oferta/mieszkanie-dwupokojowe-przy-parku-nad-jasieniem-ID4rjFw.html", "https://www.otodom.pl/pl/oferta/mieszkanie-dwupokojowe-przy-parku-nad-jasieniem-ID4rjFw.html")</f>
        <v/>
      </c>
      <c r="F421" t="inlineStr">
        <is>
          <t>park nad jasieńcem</t>
        </is>
      </c>
      <c r="G421" t="inlineStr">
        <is>
          <t>Widzew</t>
        </is>
      </c>
      <c r="H421" t="inlineStr">
        <is>
          <t>Widzew blisko centrum</t>
        </is>
      </c>
      <c r="I421" t="inlineStr">
        <is>
          <t>TAK</t>
        </is>
      </c>
      <c r="J421" t="inlineStr">
        <is>
          <t>NIE</t>
        </is>
      </c>
      <c r="K421" t="n">
        <v>506287617</v>
      </c>
      <c r="L421" t="n">
        <v>450000</v>
      </c>
      <c r="M421" t="n">
        <v>7813.856572321583</v>
      </c>
      <c r="N421" t="n">
        <v>57.59</v>
      </c>
      <c r="O421" t="inlineStr">
        <is>
          <t>3+k</t>
        </is>
      </c>
      <c r="P421" t="n">
        <v>3</v>
      </c>
      <c r="Q421" t="inlineStr">
        <is>
          <t>Nie da się zamieszkać</t>
        </is>
      </c>
    </row>
    <row r="422">
      <c r="A422" t="n">
        <v>421</v>
      </c>
      <c r="B422" s="3" t="n">
        <v>45472</v>
      </c>
      <c r="C422" s="3" t="n">
        <v>45488</v>
      </c>
      <c r="D422" t="inlineStr">
        <is>
          <t>https://www.olx.pl/d/oferta/mieszkanie-lodz-okazja-CID3-ID10Ows2.html?isPreviewActive=0&amp;sliderIndex=0</t>
        </is>
      </c>
      <c r="E422">
        <f>HYPERLINK("https://www.olx.pl/d/oferta/mieszkanie-lodz-okazja-CID3-ID10Ows2.html?isPreviewActive=0&amp;sliderIndex=0", "https://www.olx.pl/d/oferta/mieszkanie-lodz-okazja-CID3-ID10Ows2.html?isPreviewActive=0&amp;sliderIndex=0")</f>
        <v/>
      </c>
      <c r="F422" t="inlineStr">
        <is>
          <t xml:space="preserve">dąbrowskiego </t>
        </is>
      </c>
      <c r="G422" t="inlineStr">
        <is>
          <t>Dąbrowa</t>
        </is>
      </c>
      <c r="H422" t="inlineStr">
        <is>
          <t>Dąbrowa</t>
        </is>
      </c>
      <c r="I422" t="inlineStr">
        <is>
          <t>TAK</t>
        </is>
      </c>
      <c r="J422" t="inlineStr">
        <is>
          <t>NIE</t>
        </is>
      </c>
      <c r="K422" t="n">
        <v>609604636</v>
      </c>
      <c r="L422" t="n">
        <v>262000</v>
      </c>
      <c r="M422" t="n">
        <v>7485.714285714285</v>
      </c>
      <c r="N422" t="n">
        <v>35</v>
      </c>
      <c r="O422" t="inlineStr">
        <is>
          <t>1+k</t>
        </is>
      </c>
      <c r="P422" t="n">
        <v>6</v>
      </c>
      <c r="Q422" t="inlineStr">
        <is>
          <t>Nie da się zamieszkać</t>
        </is>
      </c>
    </row>
    <row r="423">
      <c r="A423" t="n">
        <v>422</v>
      </c>
      <c r="B423" s="3" t="n">
        <v>45473</v>
      </c>
      <c r="C423" s="3" t="n">
        <v>45522</v>
      </c>
      <c r="D423" t="inlineStr">
        <is>
          <t>https://www.olx.pl/d/oferta/mieszkanie-kawalerka-okazja-CID3-ID10OZyT.html?isPreviewActive=0&amp;sliderIndex=2</t>
        </is>
      </c>
      <c r="E423">
        <f>HYPERLINK("https://www.olx.pl/d/oferta/mieszkanie-kawalerka-okazja-CID3-ID10OZyT.html?isPreviewActive=0&amp;sliderIndex=2", "https://www.olx.pl/d/oferta/mieszkanie-kawalerka-okazja-CID3-ID10OZyT.html?isPreviewActive=0&amp;sliderIndex=2")</f>
        <v/>
      </c>
      <c r="F423" t="inlineStr">
        <is>
          <t>stawy jana</t>
        </is>
      </c>
      <c r="G423" t="inlineStr">
        <is>
          <t>Górna</t>
        </is>
      </c>
      <c r="H423" t="inlineStr">
        <is>
          <t>Daleka górna</t>
        </is>
      </c>
      <c r="I423" t="inlineStr">
        <is>
          <t>TAK</t>
        </is>
      </c>
      <c r="J423" t="inlineStr">
        <is>
          <t>NIE</t>
        </is>
      </c>
      <c r="K423" t="n">
        <v>509899530</v>
      </c>
      <c r="L423" t="n">
        <v>265000</v>
      </c>
      <c r="M423" t="n">
        <v>6973.684210526316</v>
      </c>
      <c r="N423" t="n">
        <v>38</v>
      </c>
      <c r="O423" t="inlineStr">
        <is>
          <t>1+k</t>
        </is>
      </c>
      <c r="P423" t="n">
        <v>4</v>
      </c>
      <c r="Q423" t="inlineStr">
        <is>
          <t>Nie da się zamieszkać</t>
        </is>
      </c>
    </row>
    <row r="424">
      <c r="A424" t="n">
        <v>423</v>
      </c>
      <c r="B424" s="3" t="n">
        <v>45473</v>
      </c>
      <c r="C424" s="3" t="n">
        <v>45506</v>
      </c>
      <c r="D424" t="inlineStr">
        <is>
          <t>https://www.olx.pl/d/oferta/dabrowa-37m2-dwa-pokoje-z-balkonem-blok-CID3-ID10P0ne.html</t>
        </is>
      </c>
      <c r="E424">
        <f>HYPERLINK("https://www.olx.pl/d/oferta/dabrowa-37m2-dwa-pokoje-z-balkonem-blok-CID3-ID10P0ne.html", "https://www.olx.pl/d/oferta/dabrowa-37m2-dwa-pokoje-z-balkonem-blok-CID3-ID10P0ne.html")</f>
        <v/>
      </c>
      <c r="F424" t="inlineStr">
        <is>
          <t>podhalanska</t>
        </is>
      </c>
      <c r="G424" t="inlineStr">
        <is>
          <t>Dąbrowa</t>
        </is>
      </c>
      <c r="H424" t="inlineStr">
        <is>
          <t>Dąbrowa</t>
        </is>
      </c>
      <c r="I424" t="inlineStr">
        <is>
          <t>TAK</t>
        </is>
      </c>
      <c r="J424" t="inlineStr">
        <is>
          <t>NIE</t>
        </is>
      </c>
      <c r="K424" t="n">
        <v>669422289</v>
      </c>
      <c r="L424" t="n">
        <v>267000</v>
      </c>
      <c r="M424" t="n">
        <v>7216.216216216216</v>
      </c>
      <c r="N424" t="n">
        <v>37</v>
      </c>
      <c r="O424" t="inlineStr">
        <is>
          <t>2+k</t>
        </is>
      </c>
      <c r="P424" t="n">
        <v>0</v>
      </c>
      <c r="Q424" t="inlineStr">
        <is>
          <t>Nie da się zamieszkać</t>
        </is>
      </c>
      <c r="R424" t="inlineStr">
        <is>
          <t>12.07 było 289. 02.08 było 272k</t>
        </is>
      </c>
    </row>
    <row r="425">
      <c r="A425" t="n">
        <v>424</v>
      </c>
      <c r="B425" s="3" t="n">
        <v>45473</v>
      </c>
      <c r="C425" s="3" t="n">
        <v>45548</v>
      </c>
      <c r="D425" t="inlineStr">
        <is>
          <t>https://www.otodom.pl/pl/oferta/kawalerka-do-remontu-lutomierska-balkon-co-ID4rk07</t>
        </is>
      </c>
      <c r="E425">
        <f>HYPERLINK("https://www.otodom.pl/pl/oferta/kawalerka-do-remontu-lutomierska-balkon-co-ID4rk07", "https://www.otodom.pl/pl/oferta/kawalerka-do-remontu-lutomierska-balkon-co-ID4rk07")</f>
        <v/>
      </c>
      <c r="F425" t="inlineStr">
        <is>
          <t>lutomierska</t>
        </is>
      </c>
      <c r="G425" t="inlineStr">
        <is>
          <t>Bałuty</t>
        </is>
      </c>
      <c r="H425" t="inlineStr">
        <is>
          <t>Bałuty blisko centrum</t>
        </is>
      </c>
      <c r="I425" t="inlineStr">
        <is>
          <t>TAK</t>
        </is>
      </c>
      <c r="J425" t="inlineStr">
        <is>
          <t>NIE</t>
        </is>
      </c>
      <c r="K425" t="n">
        <v>796695704</v>
      </c>
      <c r="L425" t="n">
        <v>207000</v>
      </c>
      <c r="M425" t="n">
        <v>7781.954887218045</v>
      </c>
      <c r="N425" t="n">
        <v>26.6</v>
      </c>
      <c r="O425" t="inlineStr">
        <is>
          <t>1+k</t>
        </is>
      </c>
      <c r="P425" t="n">
        <v>2</v>
      </c>
      <c r="Q425" t="inlineStr">
        <is>
          <t>Puste</t>
        </is>
      </c>
    </row>
    <row r="426">
      <c r="A426" t="n">
        <v>425</v>
      </c>
      <c r="B426" s="3" t="n">
        <v>45473</v>
      </c>
      <c r="C426" s="3" t="n">
        <v>45506</v>
      </c>
      <c r="D426" t="inlineStr">
        <is>
          <t>https://www.olx.pl/d/oferta/sprzedam-mieszkanie-CID3-ID10P9cd.html</t>
        </is>
      </c>
      <c r="E426">
        <f>HYPERLINK("https://www.olx.pl/d/oferta/sprzedam-mieszkanie-CID3-ID10P9cd.html", "https://www.olx.pl/d/oferta/sprzedam-mieszkanie-CID3-ID10P9cd.html")</f>
        <v/>
      </c>
      <c r="F426" t="inlineStr">
        <is>
          <t>.</t>
        </is>
      </c>
      <c r="G426" t="inlineStr">
        <is>
          <t>Widzew</t>
        </is>
      </c>
      <c r="H426" t="inlineStr">
        <is>
          <t>Widzew</t>
        </is>
      </c>
      <c r="I426" t="inlineStr">
        <is>
          <t>TAK</t>
        </is>
      </c>
      <c r="J426" t="inlineStr">
        <is>
          <t>NIE</t>
        </is>
      </c>
      <c r="K426" t="n">
        <v>509115464</v>
      </c>
      <c r="L426" t="n">
        <v>370000</v>
      </c>
      <c r="M426" t="n">
        <v>6607.142857142857</v>
      </c>
      <c r="N426" t="n">
        <v>56</v>
      </c>
      <c r="O426" t="inlineStr">
        <is>
          <t>3+k</t>
        </is>
      </c>
      <c r="P426" t="n">
        <v>9</v>
      </c>
      <c r="Q426" t="inlineStr">
        <is>
          <t>Nie da się zamieszkać</t>
        </is>
      </c>
      <c r="R426" t="inlineStr">
        <is>
          <t xml:space="preserve">odwiedzone mieszkanie 10.07 okna do wymiany  w srodku nieciekawy zapach, 3 spadkopiberców, 15k dług w wspólnocie. Strefa rewitalizacji </t>
        </is>
      </c>
    </row>
    <row r="427">
      <c r="A427" t="n">
        <v>426</v>
      </c>
      <c r="B427" s="3" t="n">
        <v>45473</v>
      </c>
      <c r="C427" s="3" t="n">
        <v>45522</v>
      </c>
      <c r="D427" t="inlineStr">
        <is>
          <t>https://www.otodom.pl/pl/oferta/m4-46mkw-rozkladowe-kosmonautow-ID4qZXl.html</t>
        </is>
      </c>
      <c r="E427">
        <f>HYPERLINK("https://www.otodom.pl/pl/oferta/m4-46mkw-rozkladowe-kosmonautow-ID4qZXl.html", "https://www.otodom.pl/pl/oferta/m4-46mkw-rozkladowe-kosmonautow-ID4qZXl.html")</f>
        <v/>
      </c>
      <c r="F427" t="inlineStr">
        <is>
          <t>kosmonautów</t>
        </is>
      </c>
      <c r="G427" t="inlineStr">
        <is>
          <t>Górna</t>
        </is>
      </c>
      <c r="H427" t="inlineStr">
        <is>
          <t>Górna</t>
        </is>
      </c>
      <c r="I427" t="inlineStr">
        <is>
          <t>TAK</t>
        </is>
      </c>
      <c r="J427" t="inlineStr">
        <is>
          <t>NIE</t>
        </is>
      </c>
      <c r="K427" t="n">
        <v>660732939</v>
      </c>
      <c r="L427" t="n">
        <v>330000</v>
      </c>
      <c r="M427" t="n">
        <v>7186.411149825783</v>
      </c>
      <c r="N427" t="n">
        <v>45.92</v>
      </c>
      <c r="O427" t="inlineStr">
        <is>
          <t>3+k</t>
        </is>
      </c>
      <c r="P427" t="n">
        <v>0</v>
      </c>
      <c r="Q427" t="inlineStr">
        <is>
          <t>Puste</t>
        </is>
      </c>
    </row>
    <row r="428">
      <c r="A428" t="n">
        <v>427</v>
      </c>
      <c r="B428" s="3" t="n">
        <v>45473</v>
      </c>
      <c r="C428" s="3" t="n">
        <v>45506</v>
      </c>
      <c r="D428" t="inlineStr">
        <is>
          <t>https://www.morizon.pl/oferta/sprzedaz-mieszkanie-lodz-baluty-inowroclawska-47m2-mzn2043781601</t>
        </is>
      </c>
      <c r="E428">
        <f>HYPERLINK("https://www.morizon.pl/oferta/sprzedaz-mieszkanie-lodz-baluty-inowroclawska-47m2-mzn2043781601", "https://www.morizon.pl/oferta/sprzedaz-mieszkanie-lodz-baluty-inowroclawska-47m2-mzn2043781601")</f>
        <v/>
      </c>
      <c r="F428" t="inlineStr">
        <is>
          <t>inowrocławska</t>
        </is>
      </c>
      <c r="G428" t="inlineStr">
        <is>
          <t>Teofilów</t>
        </is>
      </c>
      <c r="H428" t="inlineStr">
        <is>
          <t>Teofilów</t>
        </is>
      </c>
      <c r="I428" t="inlineStr">
        <is>
          <t>TAK</t>
        </is>
      </c>
      <c r="J428" t="inlineStr">
        <is>
          <t>NIE</t>
        </is>
      </c>
      <c r="K428" t="n">
        <v>791530456</v>
      </c>
      <c r="L428" t="n">
        <v>371000</v>
      </c>
      <c r="M428" t="n">
        <v>7893.617021276596</v>
      </c>
      <c r="N428" t="n">
        <v>47</v>
      </c>
      <c r="O428" t="inlineStr">
        <is>
          <t>2+k</t>
        </is>
      </c>
      <c r="P428" t="n">
        <v>10</v>
      </c>
      <c r="Q428" t="inlineStr">
        <is>
          <t>Nie da się zamieszkać</t>
        </is>
      </c>
    </row>
    <row r="429">
      <c r="A429" t="n">
        <v>428</v>
      </c>
      <c r="B429" s="3" t="n">
        <v>45473</v>
      </c>
      <c r="C429" s="3" t="n">
        <v>45522</v>
      </c>
      <c r="D429" t="inlineStr">
        <is>
          <t>https://www.otodom.pl/pl/oferta/rozkladowe-m3-z-balkonem-2-p-ul-gersona-ID4rkfh</t>
        </is>
      </c>
      <c r="E429">
        <f>HYPERLINK("https://www.otodom.pl/pl/oferta/rozkladowe-m3-z-balkonem-2-p-ul-gersona-ID4rkfh", "https://www.otodom.pl/pl/oferta/rozkladowe-m3-z-balkonem-2-p-ul-gersona-ID4rkfh")</f>
        <v/>
      </c>
      <c r="F429" t="inlineStr">
        <is>
          <t>gersona</t>
        </is>
      </c>
      <c r="G429" t="inlineStr">
        <is>
          <t>Dąbrowa</t>
        </is>
      </c>
      <c r="H429" t="inlineStr">
        <is>
          <t>Dąbrowa</t>
        </is>
      </c>
      <c r="I429" t="inlineStr">
        <is>
          <t>TAK</t>
        </is>
      </c>
      <c r="J429" t="inlineStr">
        <is>
          <t>TAK</t>
        </is>
      </c>
      <c r="K429" t="n">
        <v>510085933</v>
      </c>
      <c r="L429" t="n">
        <v>299000</v>
      </c>
      <c r="M429" t="n">
        <v>6778.508274767626</v>
      </c>
      <c r="N429" t="n">
        <v>44.11</v>
      </c>
      <c r="O429" t="inlineStr">
        <is>
          <t>2+k</t>
        </is>
      </c>
      <c r="P429" t="n">
        <v>2</v>
      </c>
      <c r="Q429" t="inlineStr">
        <is>
          <t>Nie da się zamieszkać</t>
        </is>
      </c>
      <c r="R429" t="inlineStr">
        <is>
          <t xml:space="preserve">Kontakt 08.07. Ma się kontaktować 10.07 i mamy się umówić na czwartek piątek.  Nie zadzwoniła trzeba ponowić kontakt. </t>
        </is>
      </c>
    </row>
    <row r="430">
      <c r="A430" t="n">
        <v>429</v>
      </c>
      <c r="B430" s="3" t="n">
        <v>45474</v>
      </c>
      <c r="C430" s="3" t="n">
        <v>45497</v>
      </c>
      <c r="D430" t="inlineStr">
        <is>
          <t>https://adresowo.pl/o/l8u4t3</t>
        </is>
      </c>
      <c r="E430">
        <f>HYPERLINK("https://adresowo.pl/o/l8u4t3", "https://adresowo.pl/o/l8u4t3")</f>
        <v/>
      </c>
      <c r="F430" t="inlineStr">
        <is>
          <t>czarneckiego</t>
        </is>
      </c>
      <c r="G430" t="inlineStr">
        <is>
          <t>Bałuty</t>
        </is>
      </c>
      <c r="H430" t="inlineStr">
        <is>
          <t>Bałuty</t>
        </is>
      </c>
      <c r="I430" t="inlineStr">
        <is>
          <t>TAK</t>
        </is>
      </c>
      <c r="J430" t="inlineStr">
        <is>
          <t>NIE</t>
        </is>
      </c>
      <c r="L430" t="n">
        <v>438900</v>
      </c>
      <c r="M430" t="n">
        <v>7700</v>
      </c>
      <c r="N430" t="n">
        <v>57</v>
      </c>
      <c r="O430" t="inlineStr">
        <is>
          <t>3+k</t>
        </is>
      </c>
      <c r="P430" t="n">
        <v>5</v>
      </c>
      <c r="Q430" t="inlineStr">
        <is>
          <t>Puste posprzątane</t>
        </is>
      </c>
    </row>
    <row r="431">
      <c r="A431" t="n">
        <v>430</v>
      </c>
      <c r="B431" s="3" t="n">
        <v>45474</v>
      </c>
      <c r="C431" s="3" t="n">
        <v>45506</v>
      </c>
      <c r="D431" t="inlineStr">
        <is>
          <t>https://www.olx.pl/d/oferta/2-pokoje-widzew-wschod-CID3-ID10Pymo.html?isPreviewActive=0&amp;sliderIndex=0</t>
        </is>
      </c>
      <c r="E431">
        <f>HYPERLINK("https://www.olx.pl/d/oferta/2-pokoje-widzew-wschod-CID3-ID10Pymo.html?isPreviewActive=0&amp;sliderIndex=0", "https://www.olx.pl/d/oferta/2-pokoje-widzew-wschod-CID3-ID10Pymo.html?isPreviewActive=0&amp;sliderIndex=0")</f>
        <v/>
      </c>
      <c r="F431" t="inlineStr">
        <is>
          <t>rynek batory</t>
        </is>
      </c>
      <c r="G431" t="inlineStr">
        <is>
          <t>Widzew</t>
        </is>
      </c>
      <c r="H431" t="inlineStr">
        <is>
          <t>Widzew</t>
        </is>
      </c>
      <c r="I431" t="inlineStr">
        <is>
          <t>TAK</t>
        </is>
      </c>
      <c r="J431" t="inlineStr">
        <is>
          <t>NIE</t>
        </is>
      </c>
      <c r="K431" t="n">
        <v>731988817</v>
      </c>
      <c r="L431" t="n">
        <v>387100</v>
      </c>
      <c r="M431" t="n">
        <v>7900</v>
      </c>
      <c r="N431" t="n">
        <v>49</v>
      </c>
      <c r="O431" t="inlineStr">
        <is>
          <t>2+k</t>
        </is>
      </c>
      <c r="P431" t="n">
        <v>4</v>
      </c>
      <c r="Q431" t="inlineStr">
        <is>
          <t>Puste</t>
        </is>
      </c>
      <c r="R431" t="inlineStr">
        <is>
          <t xml:space="preserve">Winda </t>
        </is>
      </c>
    </row>
    <row r="432">
      <c r="A432" t="n">
        <v>431</v>
      </c>
      <c r="B432" s="3" t="n">
        <v>45474</v>
      </c>
      <c r="C432" s="3" t="n">
        <v>45506</v>
      </c>
      <c r="D432" t="inlineStr">
        <is>
          <t>https://www.otodom.pl/pl/oferta/39-mkw-z-olbrzymim-potencjalem-ID4rkIo</t>
        </is>
      </c>
      <c r="E432">
        <f>HYPERLINK("https://www.otodom.pl/pl/oferta/39-mkw-z-olbrzymim-potencjalem-ID4rkIo", "https://www.otodom.pl/pl/oferta/39-mkw-z-olbrzymim-potencjalem-ID4rkIo")</f>
        <v/>
      </c>
      <c r="F432" t="inlineStr">
        <is>
          <t>wojska polskiego</t>
        </is>
      </c>
      <c r="G432" t="inlineStr">
        <is>
          <t>Bałuty</t>
        </is>
      </c>
      <c r="H432" t="inlineStr">
        <is>
          <t>Bałuty blisko centrum</t>
        </is>
      </c>
      <c r="I432" t="inlineStr">
        <is>
          <t>TAK</t>
        </is>
      </c>
      <c r="J432" t="inlineStr">
        <is>
          <t>NIE</t>
        </is>
      </c>
      <c r="K432" t="n">
        <v>508040466</v>
      </c>
      <c r="L432" t="n">
        <v>269000</v>
      </c>
      <c r="M432" t="n">
        <v>6897.435897435897</v>
      </c>
      <c r="N432" t="n">
        <v>39</v>
      </c>
      <c r="O432" t="inlineStr">
        <is>
          <t>2+k</t>
        </is>
      </c>
      <c r="P432" t="n">
        <v>0</v>
      </c>
      <c r="Q432" t="inlineStr">
        <is>
          <t>Nie da się zamieszkać</t>
        </is>
      </c>
      <c r="R432" t="inlineStr">
        <is>
          <t>13.07 było 285</t>
        </is>
      </c>
    </row>
    <row r="433">
      <c r="A433" t="n">
        <v>432</v>
      </c>
      <c r="B433" s="3" t="n">
        <v>45474</v>
      </c>
      <c r="D433" t="inlineStr">
        <is>
          <t>https://www.otodom.pl/pl/oferta/do-remontu-zamkniete-osiedle-balkon-3-pokoje-ID4rl0X.html</t>
        </is>
      </c>
      <c r="E433">
        <f>HYPERLINK("https://www.otodom.pl/pl/oferta/do-remontu-zamkniete-osiedle-balkon-3-pokoje-ID4rl0X.html", "https://www.otodom.pl/pl/oferta/do-remontu-zamkniete-osiedle-balkon-3-pokoje-ID4rl0X.html")</f>
        <v/>
      </c>
      <c r="F433" t="inlineStr">
        <is>
          <t>.</t>
        </is>
      </c>
      <c r="G433" t="inlineStr">
        <is>
          <t>Bałuty</t>
        </is>
      </c>
      <c r="H433" t="inlineStr">
        <is>
          <t>Bałuty blisko centrum</t>
        </is>
      </c>
      <c r="I433" t="inlineStr">
        <is>
          <t>NIE</t>
        </is>
      </c>
      <c r="J433" t="inlineStr">
        <is>
          <t>TAK</t>
        </is>
      </c>
      <c r="K433" t="n">
        <v>500268144</v>
      </c>
      <c r="L433" t="n">
        <v>366000</v>
      </c>
      <c r="M433" t="n">
        <v>6962.145710481263</v>
      </c>
      <c r="N433" t="n">
        <v>52.57</v>
      </c>
      <c r="O433" t="inlineStr">
        <is>
          <t>3+k</t>
        </is>
      </c>
      <c r="P433" t="n">
        <v>4</v>
      </c>
      <c r="Q433" t="inlineStr">
        <is>
          <t>Nie da się zamieszkać</t>
        </is>
      </c>
    </row>
    <row r="434">
      <c r="A434" t="n">
        <v>433</v>
      </c>
      <c r="B434" s="3" t="n">
        <v>45474</v>
      </c>
      <c r="C434" s="3" t="n">
        <v>45510</v>
      </c>
      <c r="D434" t="inlineStr">
        <is>
          <t>https://www.otodom.pl/pl/oferta/mieszkanie-dwa-pokoje-z-kuchnia-m3-rozkladowe-ID4rlfN</t>
        </is>
      </c>
      <c r="E434">
        <f>HYPERLINK("https://www.otodom.pl/pl/oferta/mieszkanie-dwa-pokoje-z-kuchnia-m3-rozkladowe-ID4rlfN", "https://www.otodom.pl/pl/oferta/mieszkanie-dwa-pokoje-z-kuchnia-m3-rozkladowe-ID4rlfN")</f>
        <v/>
      </c>
      <c r="F434" t="inlineStr">
        <is>
          <t xml:space="preserve">gałczyńskiego </t>
        </is>
      </c>
      <c r="G434" t="inlineStr">
        <is>
          <t>Dąbrowa</t>
        </is>
      </c>
      <c r="H434" t="inlineStr">
        <is>
          <t>Dąbrowa</t>
        </is>
      </c>
      <c r="I434" t="inlineStr">
        <is>
          <t>TAK</t>
        </is>
      </c>
      <c r="J434" t="inlineStr">
        <is>
          <t>NIE</t>
        </is>
      </c>
      <c r="K434" t="n">
        <v>509411991</v>
      </c>
      <c r="L434" t="n">
        <v>312000</v>
      </c>
      <c r="M434" t="n">
        <v>6995.515695067264</v>
      </c>
      <c r="N434" t="n">
        <v>44.6</v>
      </c>
      <c r="O434" t="inlineStr">
        <is>
          <t>2+k</t>
        </is>
      </c>
      <c r="P434" t="n">
        <v>2</v>
      </c>
      <c r="Q434" t="inlineStr">
        <is>
          <t>Nie da się zamieszkać</t>
        </is>
      </c>
    </row>
    <row r="435">
      <c r="A435" t="n">
        <v>434</v>
      </c>
      <c r="B435" s="3" t="n">
        <v>45474</v>
      </c>
      <c r="C435" s="3" t="n">
        <v>45522</v>
      </c>
      <c r="D435" t="inlineStr">
        <is>
          <t>https://www.olx.pl/d/oferta/3-pokoje-do-remontu-wymieniona-elektryka-i-okna-CID3-ID11gJwY.html?isPreviewActive=0&amp;sliderIndex=10</t>
        </is>
      </c>
      <c r="E435">
        <f>HYPERLINK("https://www.olx.pl/d/oferta/3-pokoje-do-remontu-wymieniona-elektryka-i-okna-CID3-ID11gJwY.html?isPreviewActive=0&amp;sliderIndex=10", "https://www.olx.pl/d/oferta/3-pokoje-do-remontu-wymieniona-elektryka-i-okna-CID3-ID11gJwY.html?isPreviewActive=0&amp;sliderIndex=10")</f>
        <v/>
      </c>
      <c r="F435" t="inlineStr">
        <is>
          <t>Broniewskiego</t>
        </is>
      </c>
      <c r="G435" t="inlineStr">
        <is>
          <t>Górna</t>
        </is>
      </c>
      <c r="H435" t="inlineStr">
        <is>
          <t>Górna</t>
        </is>
      </c>
      <c r="I435" t="inlineStr">
        <is>
          <t>TAK</t>
        </is>
      </c>
      <c r="J435" t="inlineStr">
        <is>
          <t>NIE</t>
        </is>
      </c>
      <c r="K435" t="n">
        <v>666045772</v>
      </c>
      <c r="L435" t="n">
        <v>319000</v>
      </c>
      <c r="M435" t="n">
        <v>6787.234042553191</v>
      </c>
      <c r="N435" t="n">
        <v>47</v>
      </c>
      <c r="O435" t="inlineStr">
        <is>
          <t>3+k</t>
        </is>
      </c>
      <c r="P435" t="n">
        <v>1</v>
      </c>
      <c r="Q435" t="inlineStr">
        <is>
          <t>Nie da się zamieszkać</t>
        </is>
      </c>
      <c r="R435" t="inlineStr">
        <is>
          <t>12.07 było 340k  Uwaga numer jest prawdopodobnie do włąsciciela, a link jest od pośrednika.</t>
        </is>
      </c>
    </row>
    <row r="436">
      <c r="A436" t="n">
        <v>435</v>
      </c>
      <c r="B436" s="3" t="n">
        <v>45474</v>
      </c>
      <c r="C436" s="3" t="n">
        <v>45506</v>
      </c>
      <c r="D436" t="inlineStr">
        <is>
          <t>https://www.olx.pl/d/oferta/mieszkanie-2-pokojowe-m-3-na-10-pietrze-46m2-CID3-ID10QbsP.html</t>
        </is>
      </c>
      <c r="E436">
        <f>HYPERLINK("https://www.olx.pl/d/oferta/mieszkanie-2-pokojowe-m-3-na-10-pietrze-46m2-CID3-ID10QbsP.html", "https://www.olx.pl/d/oferta/mieszkanie-2-pokojowe-m-3-na-10-pietrze-46m2-CID3-ID10QbsP.html")</f>
        <v/>
      </c>
      <c r="F436" t="inlineStr">
        <is>
          <t>bartoka</t>
        </is>
      </c>
      <c r="G436" t="inlineStr">
        <is>
          <t>Widzew</t>
        </is>
      </c>
      <c r="H436" t="inlineStr">
        <is>
          <t>Widzew</t>
        </is>
      </c>
      <c r="I436" t="inlineStr">
        <is>
          <t>TAK</t>
        </is>
      </c>
      <c r="J436" t="inlineStr">
        <is>
          <t>NIE</t>
        </is>
      </c>
      <c r="K436" t="n">
        <v>889397177</v>
      </c>
      <c r="L436" t="n">
        <v>340000</v>
      </c>
      <c r="M436" t="n">
        <v>7386.48707364762</v>
      </c>
      <c r="N436" t="n">
        <v>46.03</v>
      </c>
      <c r="O436" t="inlineStr">
        <is>
          <t>2+k</t>
        </is>
      </c>
      <c r="P436" t="n">
        <v>10</v>
      </c>
      <c r="Q436" t="inlineStr">
        <is>
          <t>Nie da się zamieszkać</t>
        </is>
      </c>
    </row>
    <row r="437">
      <c r="A437" t="n">
        <v>436</v>
      </c>
      <c r="B437" s="3" t="n">
        <v>45474</v>
      </c>
      <c r="D437" t="inlineStr">
        <is>
          <t>https://www.otodom.pl/pl/oferta/mieszkanie-na-gornej-miedzy-trzema-parkami-ID4rlqL</t>
        </is>
      </c>
      <c r="E437">
        <f>HYPERLINK("https://www.otodom.pl/pl/oferta/mieszkanie-na-gornej-miedzy-trzema-parkami-ID4rlqL", "https://www.otodom.pl/pl/oferta/mieszkanie-na-gornej-miedzy-trzema-parkami-ID4rlqL")</f>
        <v/>
      </c>
      <c r="F437" t="inlineStr">
        <is>
          <t>rzgowska</t>
        </is>
      </c>
      <c r="G437" t="inlineStr">
        <is>
          <t>Górna</t>
        </is>
      </c>
      <c r="H437" t="inlineStr">
        <is>
          <t>Daleka górna</t>
        </is>
      </c>
      <c r="I437" t="inlineStr">
        <is>
          <t>NIE</t>
        </is>
      </c>
      <c r="J437" t="inlineStr">
        <is>
          <t>TAK</t>
        </is>
      </c>
      <c r="K437" t="n">
        <v>733317925</v>
      </c>
      <c r="L437" t="n">
        <v>299000</v>
      </c>
      <c r="M437" t="n">
        <v>7868.421052631579</v>
      </c>
      <c r="N437" t="n">
        <v>38</v>
      </c>
      <c r="O437" t="inlineStr">
        <is>
          <t>2+k</t>
        </is>
      </c>
      <c r="P437" t="n">
        <v>1</v>
      </c>
      <c r="Q437" t="inlineStr">
        <is>
          <t>Nie da się zamieszkać</t>
        </is>
      </c>
      <c r="R437" t="inlineStr">
        <is>
          <t xml:space="preserve">zrobiony home stagiong na prlowym podkładzie </t>
        </is>
      </c>
    </row>
    <row r="438">
      <c r="A438" t="n">
        <v>437</v>
      </c>
      <c r="B438" s="3" t="n">
        <v>45474</v>
      </c>
      <c r="C438" s="3" t="n">
        <v>45511</v>
      </c>
      <c r="D438" t="inlineStr">
        <is>
          <t>https://www.otodom.pl/pl/oferta/rozkladowe-mieszkanie-w-ciekawej-lokalizacji-ID4rluv</t>
        </is>
      </c>
      <c r="E438">
        <f>HYPERLINK("https://www.otodom.pl/pl/oferta/rozkladowe-mieszkanie-w-ciekawej-lokalizacji-ID4rluv", "https://www.otodom.pl/pl/oferta/rozkladowe-mieszkanie-w-ciekawej-lokalizacji-ID4rluv")</f>
        <v/>
      </c>
      <c r="F438" t="inlineStr">
        <is>
          <t>odyńca</t>
        </is>
      </c>
      <c r="G438" t="inlineStr">
        <is>
          <t>Górna</t>
        </is>
      </c>
      <c r="H438" t="inlineStr">
        <is>
          <t>Górna</t>
        </is>
      </c>
      <c r="I438" t="inlineStr">
        <is>
          <t>TAK</t>
        </is>
      </c>
      <c r="J438" t="inlineStr">
        <is>
          <t>NIE</t>
        </is>
      </c>
      <c r="K438" t="n">
        <v>509711608</v>
      </c>
      <c r="L438" t="n">
        <v>390000</v>
      </c>
      <c r="M438" t="n">
        <v>6934.566145092461</v>
      </c>
      <c r="N438" t="n">
        <v>56.24</v>
      </c>
      <c r="O438" t="inlineStr">
        <is>
          <t>3+k</t>
        </is>
      </c>
      <c r="P438" t="n">
        <v>8</v>
      </c>
      <c r="Q438" t="inlineStr">
        <is>
          <t>Puste posprzątane</t>
        </is>
      </c>
      <c r="R438" t="inlineStr">
        <is>
          <t xml:space="preserve">07.08 telefon- nieaktualne </t>
        </is>
      </c>
    </row>
    <row r="439">
      <c r="A439" t="n">
        <v>438</v>
      </c>
      <c r="B439" s="3" t="n">
        <v>45474</v>
      </c>
      <c r="C439" s="3" t="n">
        <v>45497</v>
      </c>
      <c r="D439" t="inlineStr">
        <is>
          <t>https://www.olx.pl/d/oferta/2-pokoje-w-zielonej-okolicy-blisko-parku-CID3-ID11QRxp.html</t>
        </is>
      </c>
      <c r="E439">
        <f>HYPERLINK("https://www.olx.pl/d/oferta/2-pokoje-w-zielonej-okolicy-blisko-parku-CID3-ID11QRxp.html", "https://www.olx.pl/d/oferta/2-pokoje-w-zielonej-okolicy-blisko-parku-CID3-ID11QRxp.html")</f>
        <v/>
      </c>
      <c r="F439" t="inlineStr">
        <is>
          <t>dedeciusa</t>
        </is>
      </c>
      <c r="G439" t="inlineStr">
        <is>
          <t>Dąbrowa</t>
        </is>
      </c>
      <c r="H439" t="inlineStr">
        <is>
          <t>Dąbrowa</t>
        </is>
      </c>
      <c r="I439" t="inlineStr">
        <is>
          <t>TAK</t>
        </is>
      </c>
      <c r="J439" t="inlineStr">
        <is>
          <t>NIE</t>
        </is>
      </c>
      <c r="K439" t="n">
        <v>732062057</v>
      </c>
      <c r="L439" t="n">
        <v>260000</v>
      </c>
      <c r="M439" t="n">
        <v>6907.545164718385</v>
      </c>
      <c r="N439" t="n">
        <v>37.64</v>
      </c>
      <c r="O439" t="inlineStr">
        <is>
          <t>2+k</t>
        </is>
      </c>
      <c r="P439" t="n">
        <v>3</v>
      </c>
      <c r="Q439" t="inlineStr">
        <is>
          <t>Nie da się zamieszkać</t>
        </is>
      </c>
      <c r="R439" t="inlineStr">
        <is>
          <t>09.09 było 270k</t>
        </is>
      </c>
    </row>
    <row r="440">
      <c r="A440" t="n">
        <v>439</v>
      </c>
      <c r="B440" s="3" t="n">
        <v>45474</v>
      </c>
      <c r="C440" s="3" t="n">
        <v>45488</v>
      </c>
      <c r="D440" t="inlineStr">
        <is>
          <t>https://nieruchomosci.gratka.pl/nieruchomosci/mieszkanie-lodz-baluty-krawiecka/oi/35070817</t>
        </is>
      </c>
      <c r="E440">
        <f>HYPERLINK("https://nieruchomosci.gratka.pl/nieruchomosci/mieszkanie-lodz-baluty-krawiecka/oi/35070817", "https://nieruchomosci.gratka.pl/nieruchomosci/mieszkanie-lodz-baluty-krawiecka/oi/35070817")</f>
        <v/>
      </c>
      <c r="F440" t="inlineStr">
        <is>
          <t>krawiecka</t>
        </is>
      </c>
      <c r="G440" t="inlineStr">
        <is>
          <t>Bałuty</t>
        </is>
      </c>
      <c r="H440" t="inlineStr">
        <is>
          <t>Bałuty blisko centrum</t>
        </is>
      </c>
      <c r="I440" t="inlineStr">
        <is>
          <t>TAK</t>
        </is>
      </c>
      <c r="J440" t="inlineStr">
        <is>
          <t>NIE</t>
        </is>
      </c>
      <c r="K440" t="n">
        <v>729181555</v>
      </c>
      <c r="L440" t="n">
        <v>350000</v>
      </c>
      <c r="M440" t="n">
        <v>7296.22680842193</v>
      </c>
      <c r="N440" t="n">
        <v>47.97</v>
      </c>
      <c r="O440" t="inlineStr">
        <is>
          <t>2+k</t>
        </is>
      </c>
      <c r="Q440" t="inlineStr">
        <is>
          <t>Nie da się zamieszkać</t>
        </is>
      </c>
      <c r="R440" t="inlineStr">
        <is>
          <t>sprzedane 340k kredyt</t>
        </is>
      </c>
    </row>
    <row r="441">
      <c r="A441" t="n">
        <v>440</v>
      </c>
      <c r="B441" s="3" t="n">
        <v>45475</v>
      </c>
      <c r="D441" t="inlineStr">
        <is>
          <t>https://nieruchomosci.gratka.pl/nieruchomosci/mieszkanie-lodz/ob/35079711</t>
        </is>
      </c>
      <c r="E441">
        <f>HYPERLINK("https://nieruchomosci.gratka.pl/nieruchomosci/mieszkanie-lodz/ob/35079711", "https://nieruchomosci.gratka.pl/nieruchomosci/mieszkanie-lodz/ob/35079711")</f>
        <v/>
      </c>
      <c r="F441" t="inlineStr">
        <is>
          <t>zapolskiej</t>
        </is>
      </c>
      <c r="G441" t="inlineStr">
        <is>
          <t>Dąbrowa</t>
        </is>
      </c>
      <c r="H441" t="inlineStr">
        <is>
          <t>Dąbrowa</t>
        </is>
      </c>
      <c r="I441" t="inlineStr">
        <is>
          <t>NIE</t>
        </is>
      </c>
      <c r="J441" t="inlineStr">
        <is>
          <t>TAK</t>
        </is>
      </c>
      <c r="K441" t="n">
        <v>511488139</v>
      </c>
      <c r="L441" t="n">
        <v>340000</v>
      </c>
      <c r="M441" t="n">
        <v>7520.460075204601</v>
      </c>
      <c r="N441" t="n">
        <v>45.21</v>
      </c>
      <c r="O441" t="inlineStr">
        <is>
          <t>3+k</t>
        </is>
      </c>
      <c r="P441" t="n">
        <v>0</v>
      </c>
      <c r="Q441" t="inlineStr">
        <is>
          <t>Da się zamieszkać</t>
        </is>
      </c>
    </row>
    <row r="442">
      <c r="A442" t="n">
        <v>441</v>
      </c>
      <c r="B442" s="3" t="n">
        <v>45475</v>
      </c>
      <c r="C442" s="3" t="n">
        <v>45488</v>
      </c>
      <c r="D442" t="inlineStr">
        <is>
          <t>https://www.olx.pl/d/oferta/sprzedam-m3-w-lodzi-46-55-lniana-okazja-cenowa-CID3-ID10QZdv.html</t>
        </is>
      </c>
      <c r="E442">
        <f>HYPERLINK("https://www.olx.pl/d/oferta/sprzedam-m3-w-lodzi-46-55-lniana-okazja-cenowa-CID3-ID10QZdv.html", "https://www.olx.pl/d/oferta/sprzedam-m3-w-lodzi-46-55-lniana-okazja-cenowa-CID3-ID10QZdv.html")</f>
        <v/>
      </c>
      <c r="F442" t="inlineStr">
        <is>
          <t>lniana</t>
        </is>
      </c>
      <c r="G442" t="inlineStr">
        <is>
          <t>Teofilów</t>
        </is>
      </c>
      <c r="H442" t="inlineStr">
        <is>
          <t>Daleki Teofilów</t>
        </is>
      </c>
      <c r="I442" t="inlineStr">
        <is>
          <t>TAK</t>
        </is>
      </c>
      <c r="J442" t="inlineStr">
        <is>
          <t>TAK</t>
        </is>
      </c>
      <c r="K442" t="n">
        <v>695133322</v>
      </c>
      <c r="L442" t="n">
        <v>299000</v>
      </c>
      <c r="M442" t="n">
        <v>6423.200859291085</v>
      </c>
      <c r="N442" t="n">
        <v>46.55</v>
      </c>
      <c r="O442" t="inlineStr">
        <is>
          <t>2+k</t>
        </is>
      </c>
      <c r="P442" t="n">
        <v>0</v>
      </c>
      <c r="Q442" t="inlineStr">
        <is>
          <t>Puste</t>
        </is>
      </c>
    </row>
    <row r="443">
      <c r="A443" t="n">
        <v>442</v>
      </c>
      <c r="B443" s="3" t="n">
        <v>45475</v>
      </c>
      <c r="C443" s="3" t="n">
        <v>45506</v>
      </c>
      <c r="D443" t="inlineStr">
        <is>
          <t>https://www.olx.pl/d/oferta/mieszkanie-2-pokoje-rozklad-ul-lorentza-CID3-ID102O5i.html</t>
        </is>
      </c>
      <c r="E443">
        <f>HYPERLINK("https://www.olx.pl/d/oferta/mieszkanie-2-pokoje-rozklad-ul-lorentza-CID3-ID102O5i.html", "https://www.olx.pl/d/oferta/mieszkanie-2-pokoje-rozklad-ul-lorentza-CID3-ID102O5i.html")</f>
        <v/>
      </c>
      <c r="F443" t="inlineStr">
        <is>
          <t xml:space="preserve">lorentza </t>
        </is>
      </c>
      <c r="G443" t="inlineStr">
        <is>
          <t>Polesie</t>
        </is>
      </c>
      <c r="H443" t="inlineStr">
        <is>
          <t>Polesie</t>
        </is>
      </c>
      <c r="I443" t="inlineStr">
        <is>
          <t>TAK</t>
        </is>
      </c>
      <c r="J443" t="inlineStr">
        <is>
          <t>NIE</t>
        </is>
      </c>
      <c r="K443" t="n">
        <v>781287087</v>
      </c>
      <c r="L443" t="n">
        <v>330000</v>
      </c>
      <c r="M443" t="n">
        <v>7834.757834757836</v>
      </c>
      <c r="N443" t="n">
        <v>42.12</v>
      </c>
      <c r="O443" t="inlineStr">
        <is>
          <t>2+k</t>
        </is>
      </c>
      <c r="P443" t="n">
        <v>4</v>
      </c>
      <c r="Q443" t="inlineStr">
        <is>
          <t>Nie da się zamieszkać</t>
        </is>
      </c>
      <c r="T443" t="inlineStr">
        <is>
          <t>907</t>
        </is>
      </c>
    </row>
    <row r="444">
      <c r="A444" t="n">
        <v>443</v>
      </c>
      <c r="B444" s="3" t="n">
        <v>45475</v>
      </c>
      <c r="C444" s="3" t="n">
        <v>45488</v>
      </c>
      <c r="D444" t="inlineStr">
        <is>
          <t>https://www.olx.pl/d/oferta/sprzedam-mieszkanie-36-6-m2-CID3-ID10QWIi.html?isPreviewActive=0&amp;sliderIndex=0</t>
        </is>
      </c>
      <c r="E444">
        <f>HYPERLINK("https://www.olx.pl/d/oferta/sprzedam-mieszkanie-36-6-m2-CID3-ID10QWIi.html?isPreviewActive=0&amp;sliderIndex=0", "https://www.olx.pl/d/oferta/sprzedam-mieszkanie-36-6-m2-CID3-ID10QWIi.html?isPreviewActive=0&amp;sliderIndex=0")</f>
        <v/>
      </c>
      <c r="F444" t="inlineStr">
        <is>
          <t>okrzei</t>
        </is>
      </c>
      <c r="G444" t="inlineStr">
        <is>
          <t>Polesie</t>
        </is>
      </c>
      <c r="H444" t="inlineStr">
        <is>
          <t>Polesie</t>
        </is>
      </c>
      <c r="I444" t="inlineStr">
        <is>
          <t>TAK</t>
        </is>
      </c>
      <c r="J444" t="inlineStr">
        <is>
          <t>NIE</t>
        </is>
      </c>
      <c r="K444" t="n">
        <v>577778129</v>
      </c>
      <c r="L444" t="n">
        <v>280000</v>
      </c>
      <c r="M444" t="n">
        <v>7650.273224043715</v>
      </c>
      <c r="N444" t="n">
        <v>36.6</v>
      </c>
      <c r="O444" t="inlineStr">
        <is>
          <t>2+k</t>
        </is>
      </c>
      <c r="P444" t="n">
        <v>1</v>
      </c>
      <c r="Q444" t="inlineStr">
        <is>
          <t>Nie da się zamieszkać</t>
        </is>
      </c>
    </row>
    <row r="445">
      <c r="A445" t="n">
        <v>444</v>
      </c>
      <c r="B445" s="3" t="n">
        <v>45475</v>
      </c>
      <c r="C445" s="3" t="n">
        <v>45506</v>
      </c>
      <c r="D445" t="inlineStr">
        <is>
          <t>https://www.otodom.pl/pl/oferta/i-pietro-winda-strona-poludniowo-zachodnia-ID4rmM9</t>
        </is>
      </c>
      <c r="E445">
        <f>HYPERLINK("https://www.otodom.pl/pl/oferta/i-pietro-winda-strona-poludniowo-zachodnia-ID4rmM9", "https://www.otodom.pl/pl/oferta/i-pietro-winda-strona-poludniowo-zachodnia-ID4rmM9")</f>
        <v/>
      </c>
      <c r="F445" t="inlineStr">
        <is>
          <t>kolektywna</t>
        </is>
      </c>
      <c r="G445" t="inlineStr">
        <is>
          <t>Bałuty</t>
        </is>
      </c>
      <c r="H445" t="inlineStr">
        <is>
          <t>Bałuty blisko centrum</t>
        </is>
      </c>
      <c r="I445" t="inlineStr">
        <is>
          <t>TAK</t>
        </is>
      </c>
      <c r="J445" t="inlineStr">
        <is>
          <t>TAK</t>
        </is>
      </c>
      <c r="K445" t="n">
        <v>530398800</v>
      </c>
      <c r="L445" t="n">
        <v>275000</v>
      </c>
      <c r="M445" t="n">
        <v>6308.786418903418</v>
      </c>
      <c r="N445" t="n">
        <v>43.59</v>
      </c>
      <c r="O445" t="inlineStr">
        <is>
          <t>2+k</t>
        </is>
      </c>
      <c r="P445" t="n">
        <v>1</v>
      </c>
      <c r="Q445" t="inlineStr">
        <is>
          <t>Nie da się zamieszkać</t>
        </is>
      </c>
      <c r="R445" t="inlineStr">
        <is>
          <t>17.07 było 299 k  za 252 KUPIONE :D</t>
        </is>
      </c>
    </row>
    <row r="446">
      <c r="A446" t="n">
        <v>445</v>
      </c>
      <c r="B446" s="3" t="n">
        <v>45475</v>
      </c>
      <c r="C446" s="3" t="n">
        <v>45481</v>
      </c>
      <c r="D446" t="inlineStr">
        <is>
          <t>https://www.olx.pl/d/oferta/m-3-36m2-balkon-loggia-parter-gorna-dabrowa-ul-felinskiego-CID3-ID10Rgsk.html</t>
        </is>
      </c>
      <c r="E446">
        <f>HYPERLINK("https://www.olx.pl/d/oferta/m-3-36m2-balkon-loggia-parter-gorna-dabrowa-ul-felinskiego-CID3-ID10Rgsk.html", "https://www.olx.pl/d/oferta/m-3-36m2-balkon-loggia-parter-gorna-dabrowa-ul-felinskiego-CID3-ID10Rgsk.html")</f>
        <v/>
      </c>
      <c r="F446" t="inlineStr">
        <is>
          <t>felińskiego</t>
        </is>
      </c>
      <c r="G446" t="inlineStr">
        <is>
          <t>Dąbrowa</t>
        </is>
      </c>
      <c r="H446" t="inlineStr">
        <is>
          <t>Dąbrowa</t>
        </is>
      </c>
      <c r="I446" t="inlineStr">
        <is>
          <t>TAK</t>
        </is>
      </c>
      <c r="J446" t="inlineStr">
        <is>
          <t>TAK</t>
        </is>
      </c>
      <c r="K446" t="n">
        <v>881229067</v>
      </c>
      <c r="L446" t="n">
        <v>244000</v>
      </c>
      <c r="M446" t="n">
        <v>6777.777777777777</v>
      </c>
      <c r="N446" t="n">
        <v>36</v>
      </c>
      <c r="O446" t="inlineStr">
        <is>
          <t>2+k</t>
        </is>
      </c>
      <c r="P446" t="n">
        <v>0</v>
      </c>
      <c r="Q446" t="inlineStr">
        <is>
          <t>Nie da się zamieszkać</t>
        </is>
      </c>
      <c r="T446" t="inlineStr">
        <is>
          <t>586</t>
        </is>
      </c>
    </row>
    <row r="447">
      <c r="A447" t="n">
        <v>446</v>
      </c>
      <c r="B447" s="3" t="n">
        <v>45476</v>
      </c>
      <c r="D447" t="inlineStr">
        <is>
          <t>https://www.domiporta.pl/nieruchomosci/sprzedam-mieszkanie-trzypokojowe-lodz-polesie-bratyslawska-47m2/155388801</t>
        </is>
      </c>
      <c r="E447">
        <f>HYPERLINK("https://www.domiporta.pl/nieruchomosci/sprzedam-mieszkanie-trzypokojowe-lodz-polesie-bratyslawska-47m2/155388801", "https://www.domiporta.pl/nieruchomosci/sprzedam-mieszkanie-trzypokojowe-lodz-polesie-bratyslawska-47m2/155388801")</f>
        <v/>
      </c>
      <c r="F447" t="inlineStr">
        <is>
          <t>bratysławska</t>
        </is>
      </c>
      <c r="G447" t="inlineStr">
        <is>
          <t>Retkinia</t>
        </is>
      </c>
      <c r="H447" t="inlineStr">
        <is>
          <t>Retkinia blisko centrum</t>
        </is>
      </c>
      <c r="I447" t="inlineStr">
        <is>
          <t>NIE</t>
        </is>
      </c>
      <c r="J447" t="inlineStr">
        <is>
          <t>TAK</t>
        </is>
      </c>
      <c r="K447" t="n">
        <v>504605504</v>
      </c>
      <c r="L447" t="n">
        <v>369000</v>
      </c>
      <c r="M447" t="n">
        <v>7851.063829787234</v>
      </c>
      <c r="N447" t="n">
        <v>47</v>
      </c>
      <c r="O447" t="inlineStr">
        <is>
          <t>3+k</t>
        </is>
      </c>
      <c r="P447" t="n">
        <v>7</v>
      </c>
      <c r="Q447" t="inlineStr">
        <is>
          <t>Nie da się zamieszkać</t>
        </is>
      </c>
      <c r="R447" t="inlineStr">
        <is>
          <t>09.08 było 379k</t>
        </is>
      </c>
    </row>
    <row r="448">
      <c r="A448" t="n">
        <v>447</v>
      </c>
      <c r="B448" s="3" t="n">
        <v>45476</v>
      </c>
      <c r="C448" s="3" t="n">
        <v>45481</v>
      </c>
      <c r="D448" t="inlineStr">
        <is>
          <t>https://www.otodom.pl/pl/oferta/2-pokoje-balkon-1-pietro-ID4rmRb.html</t>
        </is>
      </c>
      <c r="E448">
        <f>HYPERLINK("https://www.otodom.pl/pl/oferta/2-pokoje-balkon-1-pietro-ID4rmRb.html", "https://www.otodom.pl/pl/oferta/2-pokoje-balkon-1-pietro-ID4rmRb.html")</f>
        <v/>
      </c>
      <c r="F448" t="inlineStr">
        <is>
          <t>felińskiego</t>
        </is>
      </c>
      <c r="G448" t="inlineStr">
        <is>
          <t>Dąbrowa</t>
        </is>
      </c>
      <c r="H448" t="inlineStr">
        <is>
          <t>Dąbrowa</t>
        </is>
      </c>
      <c r="I448" t="inlineStr">
        <is>
          <t>TAK</t>
        </is>
      </c>
      <c r="J448" t="inlineStr">
        <is>
          <t>TAK</t>
        </is>
      </c>
      <c r="K448" t="n">
        <v>607069529</v>
      </c>
      <c r="L448" t="n">
        <v>260000</v>
      </c>
      <c r="M448" t="n">
        <v>6190.476190476191</v>
      </c>
      <c r="N448" t="n">
        <v>42</v>
      </c>
      <c r="O448" t="inlineStr">
        <is>
          <t>2+k</t>
        </is>
      </c>
      <c r="P448" t="n">
        <v>1</v>
      </c>
      <c r="Q448" t="inlineStr">
        <is>
          <t>Puste</t>
        </is>
      </c>
    </row>
    <row r="449">
      <c r="A449" t="n">
        <v>448</v>
      </c>
      <c r="B449" s="3" t="n">
        <v>45476</v>
      </c>
      <c r="C449" s="3" t="n">
        <v>45522</v>
      </c>
      <c r="D449" t="inlineStr">
        <is>
          <t>https://www.olx.pl/d/oferta/m-4-48m2-9-pietro-duzy-balkon-baluty-marysin-CID3-ID10RrEN.html</t>
        </is>
      </c>
      <c r="E449">
        <f>HYPERLINK("https://www.olx.pl/d/oferta/m-4-48m2-9-pietro-duzy-balkon-baluty-marysin-CID3-ID10RrEN.html", "https://www.olx.pl/d/oferta/m-4-48m2-9-pietro-duzy-balkon-baluty-marysin-CID3-ID10RrEN.html")</f>
        <v/>
      </c>
      <c r="F449" t="inlineStr">
        <is>
          <t>marysin</t>
        </is>
      </c>
      <c r="G449" t="inlineStr">
        <is>
          <t>Bałuty</t>
        </is>
      </c>
      <c r="H449" t="inlineStr">
        <is>
          <t>Bałuty</t>
        </is>
      </c>
      <c r="I449" t="inlineStr">
        <is>
          <t>TAK</t>
        </is>
      </c>
      <c r="J449" t="inlineStr">
        <is>
          <t>TAK</t>
        </is>
      </c>
      <c r="K449" t="n">
        <v>881229067</v>
      </c>
      <c r="L449" t="n">
        <v>305000</v>
      </c>
      <c r="M449" t="n">
        <v>6354.166666666667</v>
      </c>
      <c r="N449" t="n">
        <v>48</v>
      </c>
      <c r="O449" t="inlineStr">
        <is>
          <t>2+k</t>
        </is>
      </c>
      <c r="P449" t="n">
        <v>9</v>
      </c>
      <c r="Q449" t="inlineStr">
        <is>
          <t>Nie da się zamieszkać</t>
        </is>
      </c>
      <c r="R449" t="inlineStr">
        <is>
          <t>wizytacja 10.07. Pośrednik mówi że 300k minimum. Wyprowadzka lokatorów pod koniec sierpnia.</t>
        </is>
      </c>
    </row>
    <row r="450">
      <c r="A450" t="n">
        <v>449</v>
      </c>
      <c r="B450" s="3" t="n">
        <v>45476</v>
      </c>
      <c r="C450" s="3" t="n">
        <v>45488</v>
      </c>
      <c r="D450" t="inlineStr">
        <is>
          <t>https://www.olx.pl/d/oferta/sprzedam-kawalerke-38m2-koziny-CID3-ID10Rtxz.html?isPreviewActive=0&amp;sliderIndex=6</t>
        </is>
      </c>
      <c r="E450">
        <f>HYPERLINK("https://www.olx.pl/d/oferta/sprzedam-kawalerke-38m2-koziny-CID3-ID10Rtxz.html?isPreviewActive=0&amp;sliderIndex=6", "https://www.olx.pl/d/oferta/sprzedam-kawalerke-38m2-koziny-CID3-ID10Rtxz.html?isPreviewActive=0&amp;sliderIndex=6")</f>
        <v/>
      </c>
      <c r="F450" t="inlineStr">
        <is>
          <t>.</t>
        </is>
      </c>
      <c r="G450" t="inlineStr">
        <is>
          <t>Polesie</t>
        </is>
      </c>
      <c r="H450" t="inlineStr">
        <is>
          <t>Polesie</t>
        </is>
      </c>
      <c r="I450" t="inlineStr">
        <is>
          <t>TAK</t>
        </is>
      </c>
      <c r="J450" t="inlineStr">
        <is>
          <t>TAK</t>
        </is>
      </c>
      <c r="K450" t="n">
        <v>534039663</v>
      </c>
      <c r="L450" t="n">
        <v>270000</v>
      </c>
      <c r="M450" t="n">
        <v>7105.263157894737</v>
      </c>
      <c r="N450" t="n">
        <v>38</v>
      </c>
      <c r="O450" t="inlineStr">
        <is>
          <t>1+k</t>
        </is>
      </c>
      <c r="P450" t="n">
        <v>3</v>
      </c>
      <c r="Q450" t="inlineStr">
        <is>
          <t>Da się zamieszkać</t>
        </is>
      </c>
    </row>
    <row r="451">
      <c r="A451" t="n">
        <v>450</v>
      </c>
      <c r="B451" s="3" t="n">
        <v>45476</v>
      </c>
      <c r="C451" s="3" t="n">
        <v>45522</v>
      </c>
      <c r="D451" t="inlineStr">
        <is>
          <t>https://www.olx.pl/d/oferta/sprzedam-mieszkanie-37-mkw-na-dabrowie-CID3-ID10Q6OL.html</t>
        </is>
      </c>
      <c r="E451">
        <f>HYPERLINK("https://www.olx.pl/d/oferta/sprzedam-mieszkanie-37-mkw-na-dabrowie-CID3-ID10Q6OL.html", "https://www.olx.pl/d/oferta/sprzedam-mieszkanie-37-mkw-na-dabrowie-CID3-ID10Q6OL.html")</f>
        <v/>
      </c>
      <c r="F451" t="inlineStr">
        <is>
          <t>.</t>
        </is>
      </c>
      <c r="G451" t="inlineStr">
        <is>
          <t>Dąbrowa</t>
        </is>
      </c>
      <c r="H451" t="inlineStr">
        <is>
          <t>Dąbrowa</t>
        </is>
      </c>
      <c r="I451" t="inlineStr">
        <is>
          <t>TAK</t>
        </is>
      </c>
      <c r="J451" t="inlineStr">
        <is>
          <t>NIE</t>
        </is>
      </c>
      <c r="K451" t="n">
        <v>725480696</v>
      </c>
      <c r="L451" t="n">
        <v>270000</v>
      </c>
      <c r="M451" t="n">
        <v>7297.297297297298</v>
      </c>
      <c r="N451" t="n">
        <v>37</v>
      </c>
      <c r="O451" t="inlineStr">
        <is>
          <t>2+k</t>
        </is>
      </c>
      <c r="P451" t="n">
        <v>2</v>
      </c>
      <c r="Q451" t="inlineStr">
        <is>
          <t>Nie da się zamieszkać</t>
        </is>
      </c>
    </row>
    <row r="452">
      <c r="A452" t="n">
        <v>451</v>
      </c>
      <c r="B452" s="3" t="n">
        <v>45476</v>
      </c>
      <c r="D452" t="inlineStr">
        <is>
          <t>https://www.morizon.pl/oferta/sprzedaz-mieszkanie-lodz-skupiona-50m2-mzn2043757223</t>
        </is>
      </c>
      <c r="E452">
        <f>HYPERLINK("https://www.morizon.pl/oferta/sprzedaz-mieszkanie-lodz-skupiona-50m2-mzn2043757223", "https://www.morizon.pl/oferta/sprzedaz-mieszkanie-lodz-skupiona-50m2-mzn2043757223")</f>
        <v/>
      </c>
      <c r="F452" t="inlineStr">
        <is>
          <t>skupiona</t>
        </is>
      </c>
      <c r="G452" t="inlineStr">
        <is>
          <t>Górna</t>
        </is>
      </c>
      <c r="H452" t="inlineStr">
        <is>
          <t>Daleka górna</t>
        </is>
      </c>
      <c r="I452" t="inlineStr">
        <is>
          <t>NIE</t>
        </is>
      </c>
      <c r="J452" t="inlineStr">
        <is>
          <t>NIE</t>
        </is>
      </c>
      <c r="K452" t="n">
        <v>793204252</v>
      </c>
      <c r="L452" t="n">
        <v>373000</v>
      </c>
      <c r="M452" t="n">
        <v>7449.570601158378</v>
      </c>
      <c r="N452" t="n">
        <v>50.07</v>
      </c>
      <c r="O452" t="inlineStr">
        <is>
          <t>2+k</t>
        </is>
      </c>
      <c r="P452" t="n">
        <v>7</v>
      </c>
      <c r="Q452" t="inlineStr">
        <is>
          <t>Nie da się zamieszkać</t>
        </is>
      </c>
    </row>
    <row r="453">
      <c r="A453" t="n">
        <v>452</v>
      </c>
      <c r="B453" s="3" t="n">
        <v>45476</v>
      </c>
      <c r="C453" s="3" t="n">
        <v>45497</v>
      </c>
      <c r="D453" t="inlineStr">
        <is>
          <t>https://nieruchomosci.gratka.pl/nieruchomosci/mieszkanie-lodz-srodmiescie-wierzbowa/ob/35095839</t>
        </is>
      </c>
      <c r="E453">
        <f>HYPERLINK("https://nieruchomosci.gratka.pl/nieruchomosci/mieszkanie-lodz-srodmiescie-wierzbowa/ob/35095839", "https://nieruchomosci.gratka.pl/nieruchomosci/mieszkanie-lodz-srodmiescie-wierzbowa/ob/35095839")</f>
        <v/>
      </c>
      <c r="F453" t="inlineStr">
        <is>
          <t>wierzbowa</t>
        </is>
      </c>
      <c r="G453" t="inlineStr">
        <is>
          <t>Śródmieście</t>
        </is>
      </c>
      <c r="H453" t="inlineStr">
        <is>
          <t>Śródmieście</t>
        </is>
      </c>
      <c r="I453" t="inlineStr">
        <is>
          <t>TAK</t>
        </is>
      </c>
      <c r="J453" t="inlineStr">
        <is>
          <t>TAK</t>
        </is>
      </c>
      <c r="K453" t="n">
        <v>668862522</v>
      </c>
      <c r="L453" t="n">
        <v>255000</v>
      </c>
      <c r="M453" t="n">
        <v>6995.884773662551</v>
      </c>
      <c r="N453" t="n">
        <v>36.45</v>
      </c>
      <c r="O453" t="inlineStr">
        <is>
          <t>1+k</t>
        </is>
      </c>
      <c r="P453" t="n">
        <v>0</v>
      </c>
      <c r="Q453" t="inlineStr">
        <is>
          <t>Nie da się zamieszkać</t>
        </is>
      </c>
    </row>
    <row r="454">
      <c r="A454" t="n">
        <v>453</v>
      </c>
      <c r="B454" s="3" t="n">
        <v>45476</v>
      </c>
      <c r="C454" s="3" t="n">
        <v>45510</v>
      </c>
      <c r="D454" t="inlineStr">
        <is>
          <t>https://www.olx.pl/d/oferta/mieszkanie-3-pokojowe-z-duza-kuchnia-CID3-ID10SdfU.html</t>
        </is>
      </c>
      <c r="E454">
        <f>HYPERLINK("https://www.olx.pl/d/oferta/mieszkanie-3-pokojowe-z-duza-kuchnia-CID3-ID10SdfU.html", "https://www.olx.pl/d/oferta/mieszkanie-3-pokojowe-z-duza-kuchnia-CID3-ID10SdfU.html")</f>
        <v/>
      </c>
      <c r="F454" t="inlineStr">
        <is>
          <t>.</t>
        </is>
      </c>
      <c r="G454" t="inlineStr">
        <is>
          <t>Dąbrowa</t>
        </is>
      </c>
      <c r="H454" t="inlineStr">
        <is>
          <t>Dąbrowa</t>
        </is>
      </c>
      <c r="I454" t="inlineStr">
        <is>
          <t>TAK</t>
        </is>
      </c>
      <c r="J454" t="inlineStr">
        <is>
          <t>TAK</t>
        </is>
      </c>
      <c r="K454" t="n">
        <v>511488139</v>
      </c>
      <c r="L454" t="n">
        <v>340000</v>
      </c>
      <c r="M454" t="n">
        <v>7555.555555555556</v>
      </c>
      <c r="N454" t="n">
        <v>45</v>
      </c>
      <c r="O454" t="inlineStr">
        <is>
          <t>3+k</t>
        </is>
      </c>
      <c r="P454" t="n">
        <v>0</v>
      </c>
      <c r="Q454" t="inlineStr">
        <is>
          <t>Nie da się zamieszkać</t>
        </is>
      </c>
      <c r="T454" t="inlineStr">
        <is>
          <t>773</t>
        </is>
      </c>
    </row>
    <row r="455">
      <c r="A455" t="n">
        <v>454</v>
      </c>
      <c r="B455" s="3" t="n">
        <v>45477</v>
      </c>
      <c r="C455" s="3" t="n">
        <v>45522</v>
      </c>
      <c r="D455" t="inlineStr">
        <is>
          <t>https://www.otodom.pl/pl/oferta/kawalerka-na-chojnach-do-wlasnej-aranzacji-ID4ronQ</t>
        </is>
      </c>
      <c r="E455">
        <f>HYPERLINK("https://www.otodom.pl/pl/oferta/kawalerka-na-chojnach-do-wlasnej-aranzacji-ID4ronQ", "https://www.otodom.pl/pl/oferta/kawalerka-na-chojnach-do-wlasnej-aranzacji-ID4ronQ")</f>
        <v/>
      </c>
      <c r="F455" t="inlineStr">
        <is>
          <t>gładka</t>
        </is>
      </c>
      <c r="G455" t="inlineStr">
        <is>
          <t>Górna</t>
        </is>
      </c>
      <c r="H455" t="inlineStr">
        <is>
          <t>Daleka górna</t>
        </is>
      </c>
      <c r="I455" t="inlineStr">
        <is>
          <t>TAK</t>
        </is>
      </c>
      <c r="J455" t="inlineStr">
        <is>
          <t>TAK</t>
        </is>
      </c>
      <c r="K455" t="n">
        <v>794219920</v>
      </c>
      <c r="L455" t="n">
        <v>270000</v>
      </c>
      <c r="M455" t="n">
        <v>7778.738115816767</v>
      </c>
      <c r="N455" t="n">
        <v>34.71</v>
      </c>
      <c r="O455" t="inlineStr">
        <is>
          <t>1+k</t>
        </is>
      </c>
      <c r="P455" t="n">
        <v>1</v>
      </c>
      <c r="Q455" t="inlineStr">
        <is>
          <t>Nie da się zamieszkać</t>
        </is>
      </c>
    </row>
    <row r="456">
      <c r="A456" t="n">
        <v>455</v>
      </c>
      <c r="B456" s="3" t="n">
        <v>45477</v>
      </c>
      <c r="D456" t="inlineStr">
        <is>
          <t>https://nieruchomosci.gratka.pl/nieruchomosci/mieszkanie-lodz-widzew/ob/35100139</t>
        </is>
      </c>
      <c r="E456">
        <f>HYPERLINK("https://nieruchomosci.gratka.pl/nieruchomosci/mieszkanie-lodz-widzew/ob/35100139", "https://nieruchomosci.gratka.pl/nieruchomosci/mieszkanie-lodz-widzew/ob/35100139")</f>
        <v/>
      </c>
      <c r="G456" t="inlineStr">
        <is>
          <t>Widzew</t>
        </is>
      </c>
      <c r="H456" t="inlineStr">
        <is>
          <t>Widzew blisko centrum</t>
        </is>
      </c>
      <c r="I456" t="inlineStr">
        <is>
          <t>NIE</t>
        </is>
      </c>
      <c r="J456" t="inlineStr">
        <is>
          <t>TAK</t>
        </is>
      </c>
      <c r="K456" t="n">
        <v>793369887</v>
      </c>
      <c r="L456" t="n">
        <v>345000</v>
      </c>
      <c r="M456" t="n">
        <v>7040.816326530612</v>
      </c>
      <c r="N456" t="n">
        <v>49</v>
      </c>
      <c r="O456" t="inlineStr">
        <is>
          <t>3+k</t>
        </is>
      </c>
      <c r="P456" t="n">
        <v>0</v>
      </c>
      <c r="Q456" t="inlineStr">
        <is>
          <t>Nie da się zamieszkać</t>
        </is>
      </c>
    </row>
    <row r="457">
      <c r="A457" t="n">
        <v>456</v>
      </c>
      <c r="B457" s="3" t="n">
        <v>45477</v>
      </c>
      <c r="D457" t="inlineStr">
        <is>
          <t>https://www.otodom.pl/pl/oferta/m-3-38-al-pasjonistow-teofilow-1-pietro-ID4roFr</t>
        </is>
      </c>
      <c r="E457">
        <f>HYPERLINK("https://www.otodom.pl/pl/oferta/m-3-38-al-pasjonistow-teofilow-1-pietro-ID4roFr", "https://www.otodom.pl/pl/oferta/m-3-38-al-pasjonistow-teofilow-1-pietro-ID4roFr")</f>
        <v/>
      </c>
      <c r="F457" t="inlineStr">
        <is>
          <t>pasjonistów</t>
        </is>
      </c>
      <c r="G457" t="inlineStr">
        <is>
          <t>Teofilów</t>
        </is>
      </c>
      <c r="H457" t="inlineStr">
        <is>
          <t>Teofilów</t>
        </is>
      </c>
      <c r="I457" t="inlineStr">
        <is>
          <t>NIE</t>
        </is>
      </c>
      <c r="J457" t="inlineStr">
        <is>
          <t>TAK</t>
        </is>
      </c>
      <c r="K457" t="n">
        <v>502181201</v>
      </c>
      <c r="L457" t="n">
        <v>315000</v>
      </c>
      <c r="M457" t="n">
        <v>8289.473684210527</v>
      </c>
      <c r="N457" t="n">
        <v>38</v>
      </c>
      <c r="O457" t="inlineStr">
        <is>
          <t>2+k</t>
        </is>
      </c>
      <c r="P457" t="n">
        <v>1</v>
      </c>
      <c r="Q457" t="inlineStr">
        <is>
          <t>Nie da się zamieszkać</t>
        </is>
      </c>
    </row>
    <row r="458">
      <c r="A458" t="n">
        <v>457</v>
      </c>
      <c r="B458" s="3" t="n">
        <v>45477</v>
      </c>
      <c r="C458" s="3" t="n">
        <v>45522</v>
      </c>
      <c r="D458" t="inlineStr">
        <is>
          <t>https://www.olx.pl/d/oferta/m-3-41m2-ii-pietro-duzy-balkon-gorna-dabrowa-ul-broniewskiego-56-CID3-ID10SXeD.html</t>
        </is>
      </c>
      <c r="E458">
        <f>HYPERLINK("https://www.olx.pl/d/oferta/m-3-41m2-ii-pietro-duzy-balkon-gorna-dabrowa-ul-broniewskiego-56-CID3-ID10SXeD.html", "https://www.olx.pl/d/oferta/m-3-41m2-ii-pietro-duzy-balkon-gorna-dabrowa-ul-broniewskiego-56-CID3-ID10SXeD.html")</f>
        <v/>
      </c>
      <c r="F458" t="inlineStr">
        <is>
          <t>Broniewskiego</t>
        </is>
      </c>
      <c r="G458" t="inlineStr">
        <is>
          <t>Górna</t>
        </is>
      </c>
      <c r="H458" t="inlineStr">
        <is>
          <t>Górna</t>
        </is>
      </c>
      <c r="I458" t="inlineStr">
        <is>
          <t>TAK</t>
        </is>
      </c>
      <c r="J458" t="inlineStr">
        <is>
          <t>TAK</t>
        </is>
      </c>
      <c r="K458" t="n">
        <v>881229067</v>
      </c>
      <c r="L458" t="n">
        <v>319000</v>
      </c>
      <c r="M458" t="n">
        <v>7780.487804878048</v>
      </c>
      <c r="N458" t="n">
        <v>41</v>
      </c>
      <c r="O458" t="inlineStr">
        <is>
          <t>2+k</t>
        </is>
      </c>
      <c r="P458" t="n">
        <v>2</v>
      </c>
      <c r="Q458" t="inlineStr">
        <is>
          <t>Nie da się zamieszkać</t>
        </is>
      </c>
    </row>
    <row r="459">
      <c r="A459" t="n">
        <v>458</v>
      </c>
      <c r="B459" s="3" t="n">
        <v>45478</v>
      </c>
      <c r="D459" t="inlineStr">
        <is>
          <t>https://www.morizon.pl/oferta/sprzedaz-mieszkanie-lodz-gorna-juliusza-kossaka-37m2-mzn2044284960</t>
        </is>
      </c>
      <c r="E459">
        <f>HYPERLINK("https://www.morizon.pl/oferta/sprzedaz-mieszkanie-lodz-gorna-juliusza-kossaka-37m2-mzn2044284960", "https://www.morizon.pl/oferta/sprzedaz-mieszkanie-lodz-gorna-juliusza-kossaka-37m2-mzn2044284960")</f>
        <v/>
      </c>
      <c r="F459" t="inlineStr">
        <is>
          <t>kossaka</t>
        </is>
      </c>
      <c r="G459" t="inlineStr">
        <is>
          <t>Dąbrowa</t>
        </is>
      </c>
      <c r="H459" t="inlineStr">
        <is>
          <t>Dąbrowa</t>
        </is>
      </c>
      <c r="I459" t="inlineStr">
        <is>
          <t>NIE</t>
        </is>
      </c>
      <c r="J459" t="inlineStr">
        <is>
          <t>TAK</t>
        </is>
      </c>
      <c r="K459" t="n">
        <v>516716153</v>
      </c>
      <c r="L459" t="n">
        <v>269000</v>
      </c>
      <c r="M459" t="n">
        <v>7270.27027027027</v>
      </c>
      <c r="N459" t="n">
        <v>37</v>
      </c>
      <c r="O459" t="inlineStr">
        <is>
          <t>2+k</t>
        </is>
      </c>
      <c r="P459" t="n">
        <v>3</v>
      </c>
      <c r="Q459" t="inlineStr">
        <is>
          <t>Nie da się zamieszkać</t>
        </is>
      </c>
    </row>
    <row r="460">
      <c r="A460" t="n">
        <v>459</v>
      </c>
      <c r="B460" s="3" t="n">
        <v>45478</v>
      </c>
      <c r="C460" s="3" t="n">
        <v>45532</v>
      </c>
      <c r="D460" t="inlineStr">
        <is>
          <t>https://www.olx.pl/d/oferta/zapraszam-do-zamieszkania-na-lodzkim-karolewie-CID3-IDZtfZZ.html</t>
        </is>
      </c>
      <c r="E460">
        <f>HYPERLINK("https://www.olx.pl/d/oferta/zapraszam-do-zamieszkania-na-lodzkim-karolewie-CID3-IDZtfZZ.html", "https://www.olx.pl/d/oferta/zapraszam-do-zamieszkania-na-lodzkim-karolewie-CID3-IDZtfZZ.html")</f>
        <v/>
      </c>
      <c r="F460" t="inlineStr">
        <is>
          <t>karolew</t>
        </is>
      </c>
      <c r="G460" t="inlineStr">
        <is>
          <t>Retkinia</t>
        </is>
      </c>
      <c r="H460" t="inlineStr">
        <is>
          <t>Retkinia</t>
        </is>
      </c>
      <c r="I460" t="inlineStr">
        <is>
          <t>TAK</t>
        </is>
      </c>
      <c r="J460" t="inlineStr">
        <is>
          <t>TAK</t>
        </is>
      </c>
      <c r="K460" t="n">
        <v>883376134</v>
      </c>
      <c r="L460" t="n">
        <v>355000</v>
      </c>
      <c r="M460" t="n">
        <v>6592.386258124419</v>
      </c>
      <c r="N460" t="n">
        <v>53.85</v>
      </c>
      <c r="O460" t="inlineStr">
        <is>
          <t>3+k</t>
        </is>
      </c>
      <c r="P460" t="n">
        <v>2</v>
      </c>
      <c r="Q460" t="inlineStr">
        <is>
          <t>Nie da się zamieszkać</t>
        </is>
      </c>
      <c r="R460" t="inlineStr">
        <is>
          <t>11.09 nieaktualne, sprzedane za 345k pani ma wysłać jakieś inne na maila, Kinga Murawska</t>
        </is>
      </c>
    </row>
    <row r="461">
      <c r="A461" t="n">
        <v>460</v>
      </c>
      <c r="B461" s="3" t="n">
        <v>45478</v>
      </c>
      <c r="C461" s="3" t="n">
        <v>45497</v>
      </c>
      <c r="D461" t="inlineStr">
        <is>
          <t>https://domy.pl/mieszkanie/lodz-widzew-sluzbowa-2-pokoje-360000-pln-50m2-sba/dol1741086671</t>
        </is>
      </c>
      <c r="E461">
        <f>HYPERLINK("https://domy.pl/mieszkanie/lodz-widzew-sluzbowa-2-pokoje-360000-pln-50m2-sba/dol1741086671", "https://domy.pl/mieszkanie/lodz-widzew-sluzbowa-2-pokoje-360000-pln-50m2-sba/dol1741086671")</f>
        <v/>
      </c>
      <c r="F461" t="inlineStr">
        <is>
          <t>służbowa</t>
        </is>
      </c>
      <c r="G461" t="inlineStr">
        <is>
          <t>Widzew</t>
        </is>
      </c>
      <c r="H461" t="inlineStr">
        <is>
          <t>Widzew</t>
        </is>
      </c>
      <c r="I461" t="inlineStr">
        <is>
          <t>TAK</t>
        </is>
      </c>
      <c r="J461" t="inlineStr">
        <is>
          <t>TAK</t>
        </is>
      </c>
      <c r="K461" t="n">
        <v>500176119</v>
      </c>
      <c r="L461" t="n">
        <v>360000</v>
      </c>
      <c r="M461" t="n">
        <v>7189.934092270821</v>
      </c>
      <c r="N461" t="n">
        <v>50.07</v>
      </c>
      <c r="O461" t="inlineStr">
        <is>
          <t>2+k</t>
        </is>
      </c>
      <c r="P461" t="n">
        <v>8</v>
      </c>
      <c r="Q461" t="inlineStr">
        <is>
          <t>Nie da się zamieszkać</t>
        </is>
      </c>
    </row>
    <row r="462">
      <c r="A462" t="n">
        <v>461</v>
      </c>
      <c r="B462" s="3" t="n">
        <v>45479</v>
      </c>
      <c r="D462" t="inlineStr">
        <is>
          <t>https://www.otodom.pl/pl/oferta/mieszkanie-z-pieknymi-widokami-na-10-pietrze-ID4rqwh</t>
        </is>
      </c>
      <c r="E462">
        <f>HYPERLINK("https://www.otodom.pl/pl/oferta/mieszkanie-z-pieknymi-widokami-na-10-pietrze-ID4rqwh", "https://www.otodom.pl/pl/oferta/mieszkanie-z-pieknymi-widokami-na-10-pietrze-ID4rqwh")</f>
        <v/>
      </c>
      <c r="F462" t="inlineStr">
        <is>
          <t>marysin</t>
        </is>
      </c>
      <c r="G462" t="inlineStr">
        <is>
          <t>Bałuty</t>
        </is>
      </c>
      <c r="H462" t="inlineStr">
        <is>
          <t>Bałuty</t>
        </is>
      </c>
      <c r="I462" t="inlineStr">
        <is>
          <t>NIE</t>
        </is>
      </c>
      <c r="J462" t="inlineStr">
        <is>
          <t>TAK</t>
        </is>
      </c>
      <c r="K462" t="n">
        <v>791530456</v>
      </c>
      <c r="L462" t="n">
        <v>348700</v>
      </c>
      <c r="M462" t="n">
        <v>7490.870032223416</v>
      </c>
      <c r="N462" t="n">
        <v>46.55</v>
      </c>
      <c r="O462" t="inlineStr">
        <is>
          <t>2+k</t>
        </is>
      </c>
      <c r="P462" t="n">
        <v>10</v>
      </c>
      <c r="Q462" t="inlineStr">
        <is>
          <t>Nie da się zamieszkać</t>
        </is>
      </c>
      <c r="R462" t="inlineStr">
        <is>
          <t>było nie aktywne 18.08 wróciło 13.09</t>
        </is>
      </c>
    </row>
    <row r="463">
      <c r="A463" t="n">
        <v>462</v>
      </c>
      <c r="B463" s="3" t="n">
        <v>45479</v>
      </c>
      <c r="C463" s="3" t="n">
        <v>45497</v>
      </c>
      <c r="D463" t="inlineStr">
        <is>
          <t>https://www.olx.pl/d/oferta/mieszkanie-lodz-baluty-marysin-60-m2-3-pokoje-CID3-ID10UdMA.html</t>
        </is>
      </c>
      <c r="E463">
        <f>HYPERLINK("https://www.olx.pl/d/oferta/mieszkanie-lodz-baluty-marysin-60-m2-3-pokoje-CID3-ID10UdMA.html", "https://www.olx.pl/d/oferta/mieszkanie-lodz-baluty-marysin-60-m2-3-pokoje-CID3-ID10UdMA.html")</f>
        <v/>
      </c>
      <c r="F463" t="inlineStr">
        <is>
          <t>marysin</t>
        </is>
      </c>
      <c r="G463" t="inlineStr">
        <is>
          <t>Bałuty</t>
        </is>
      </c>
      <c r="H463" t="inlineStr">
        <is>
          <t>Bałuty</t>
        </is>
      </c>
      <c r="I463" t="inlineStr">
        <is>
          <t>TAK</t>
        </is>
      </c>
      <c r="J463" t="inlineStr">
        <is>
          <t>NIE</t>
        </is>
      </c>
      <c r="K463" t="n">
        <v>505067013</v>
      </c>
      <c r="L463" t="n">
        <v>480000</v>
      </c>
      <c r="M463" t="n">
        <v>8048.289738430583</v>
      </c>
      <c r="N463" t="n">
        <v>59.64</v>
      </c>
      <c r="O463" t="inlineStr">
        <is>
          <t>3+k</t>
        </is>
      </c>
      <c r="P463" t="n">
        <v>3</v>
      </c>
      <c r="Q463" t="inlineStr">
        <is>
          <t>Nie da się zamieszkać</t>
        </is>
      </c>
    </row>
    <row r="464">
      <c r="A464" t="n">
        <v>463</v>
      </c>
      <c r="B464" s="3" t="n">
        <v>45479</v>
      </c>
      <c r="C464" s="3" t="n">
        <v>45510</v>
      </c>
      <c r="D464" t="inlineStr">
        <is>
          <t>https://www.otodom.pl/pl/oferta/mieszkanie-w-spokojnej-zielonej-okolicy-ID4rqxd.html</t>
        </is>
      </c>
      <c r="E464">
        <f>HYPERLINK("https://www.otodom.pl/pl/oferta/mieszkanie-w-spokojnej-zielonej-okolicy-ID4rqxd.html", "https://www.otodom.pl/pl/oferta/mieszkanie-w-spokojnej-zielonej-okolicy-ID4rqxd.html")</f>
        <v/>
      </c>
      <c r="F464" t="inlineStr">
        <is>
          <t xml:space="preserve">heleny marusarzówny </t>
        </is>
      </c>
      <c r="G464" t="inlineStr">
        <is>
          <t>Retkinia</t>
        </is>
      </c>
      <c r="H464" t="inlineStr">
        <is>
          <t>Retkinia</t>
        </is>
      </c>
      <c r="I464" t="inlineStr">
        <is>
          <t>TAK</t>
        </is>
      </c>
      <c r="J464" t="inlineStr">
        <is>
          <t>NIE</t>
        </is>
      </c>
      <c r="K464" t="n">
        <v>607388581</v>
      </c>
      <c r="L464" t="n">
        <v>330000</v>
      </c>
      <c r="M464" t="n">
        <v>7779.349363507779</v>
      </c>
      <c r="N464" t="n">
        <v>42.42</v>
      </c>
      <c r="O464" t="inlineStr">
        <is>
          <t>2+k</t>
        </is>
      </c>
      <c r="P464" t="n">
        <v>4</v>
      </c>
      <c r="Q464" t="inlineStr">
        <is>
          <t>Nie da się zamieszkać</t>
        </is>
      </c>
    </row>
    <row r="465">
      <c r="A465" t="n">
        <v>464</v>
      </c>
      <c r="B465" s="3" t="n">
        <v>45479</v>
      </c>
      <c r="C465" s="3" t="n">
        <v>45506</v>
      </c>
      <c r="D465" t="inlineStr">
        <is>
          <t>https://www.olx.pl/d/oferta/3-pokoje-na-teofilowie-CID3-ID10UjJh.html?isPreviewActive=0&amp;sliderIndex=7</t>
        </is>
      </c>
      <c r="E465">
        <f>HYPERLINK("https://www.olx.pl/d/oferta/3-pokoje-na-teofilowie-CID3-ID10UjJh.html?isPreviewActive=0&amp;sliderIndex=7", "https://www.olx.pl/d/oferta/3-pokoje-na-teofilowie-CID3-ID10UjJh.html?isPreviewActive=0&amp;sliderIndex=7")</f>
        <v/>
      </c>
      <c r="F465" t="inlineStr">
        <is>
          <t>łanowa</t>
        </is>
      </c>
      <c r="G465" t="inlineStr">
        <is>
          <t>Teofilów</t>
        </is>
      </c>
      <c r="H465" t="inlineStr">
        <is>
          <t>Teofilów</t>
        </is>
      </c>
      <c r="I465" t="inlineStr">
        <is>
          <t>TAK</t>
        </is>
      </c>
      <c r="J465" t="inlineStr">
        <is>
          <t>NIE</t>
        </is>
      </c>
      <c r="K465" t="n">
        <v>502246041</v>
      </c>
      <c r="L465" t="n">
        <v>364000</v>
      </c>
      <c r="M465" t="n">
        <v>7583.333333333333</v>
      </c>
      <c r="N465" t="n">
        <v>48</v>
      </c>
      <c r="O465" t="inlineStr">
        <is>
          <t>2+k</t>
        </is>
      </c>
      <c r="P465" t="n">
        <v>3</v>
      </c>
      <c r="Q465" t="inlineStr">
        <is>
          <t>Puste posprzątane i odświeżone</t>
        </is>
      </c>
    </row>
    <row r="466">
      <c r="A466" t="n">
        <v>465</v>
      </c>
      <c r="B466" s="3" t="n">
        <v>45480</v>
      </c>
      <c r="C466" s="3" t="n">
        <v>45532</v>
      </c>
      <c r="D466" t="inlineStr">
        <is>
          <t>https://lodz.nieruchomosci-online.pl/mieszkanie-w-bloku-mieszkalnym,do-remontu/24952271.html</t>
        </is>
      </c>
      <c r="E466">
        <f>HYPERLINK("https://lodz.nieruchomosci-online.pl/mieszkanie-w-bloku-mieszkalnym,do-remontu/24952271.html", "https://lodz.nieruchomosci-online.pl/mieszkanie-w-bloku-mieszkalnym,do-remontu/24952271.html")</f>
        <v/>
      </c>
      <c r="F466" t="inlineStr">
        <is>
          <t>wróbla</t>
        </is>
      </c>
      <c r="G466" t="inlineStr">
        <is>
          <t>Bałuty</t>
        </is>
      </c>
      <c r="H466" t="inlineStr">
        <is>
          <t>Bałuty blisko centrum</t>
        </is>
      </c>
      <c r="I466" t="inlineStr">
        <is>
          <t>TAK</t>
        </is>
      </c>
      <c r="J466" t="inlineStr">
        <is>
          <t>TAK</t>
        </is>
      </c>
      <c r="K466" t="n">
        <v>530195255</v>
      </c>
      <c r="L466" t="n">
        <v>199000</v>
      </c>
      <c r="M466" t="n">
        <v>7517.944843218738</v>
      </c>
      <c r="N466" t="n">
        <v>26.47</v>
      </c>
      <c r="O466" t="n">
        <v>2</v>
      </c>
      <c r="P466" t="n">
        <v>3</v>
      </c>
      <c r="Q466" t="inlineStr">
        <is>
          <t>Nie da się zamieszkać</t>
        </is>
      </c>
    </row>
    <row r="467">
      <c r="A467" t="n">
        <v>466</v>
      </c>
      <c r="B467" s="3" t="n">
        <v>45480</v>
      </c>
      <c r="C467" s="3" t="n">
        <v>45497</v>
      </c>
      <c r="D467" t="inlineStr">
        <is>
          <t>https://www.olx.pl/d/oferta/mieszkanie-m4-teofilow-3-pokoje-kuchnia-lazienka-piwnica-parter-CID3-ID10W1k2.html?isPreviewActive=0&amp;sliderIndex=5</t>
        </is>
      </c>
      <c r="E467">
        <f>HYPERLINK("https://www.olx.pl/d/oferta/mieszkanie-m4-teofilow-3-pokoje-kuchnia-lazienka-piwnica-parter-CID3-ID10W1k2.html?isPreviewActive=0&amp;sliderIndex=5", "https://www.olx.pl/d/oferta/mieszkanie-m4-teofilow-3-pokoje-kuchnia-lazienka-piwnica-parter-CID3-ID10W1k2.html?isPreviewActive=0&amp;sliderIndex=5")</f>
        <v/>
      </c>
      <c r="F467" t="inlineStr">
        <is>
          <t>pasjonistów</t>
        </is>
      </c>
      <c r="G467" t="inlineStr">
        <is>
          <t>Teofilów</t>
        </is>
      </c>
      <c r="H467" t="inlineStr">
        <is>
          <t>Teofilów</t>
        </is>
      </c>
      <c r="I467" t="inlineStr">
        <is>
          <t>TAK</t>
        </is>
      </c>
      <c r="J467" t="inlineStr">
        <is>
          <t>TAK</t>
        </is>
      </c>
      <c r="K467" t="n">
        <v>669483614</v>
      </c>
      <c r="L467" t="n">
        <v>370000</v>
      </c>
      <c r="M467" t="n">
        <v>7115.384615384615</v>
      </c>
      <c r="N467" t="n">
        <v>52</v>
      </c>
      <c r="O467" t="inlineStr">
        <is>
          <t>3+k</t>
        </is>
      </c>
      <c r="P467" t="n">
        <v>0</v>
      </c>
      <c r="Q467" t="inlineStr">
        <is>
          <t>Nie da się zamieszkać</t>
        </is>
      </c>
    </row>
    <row r="468">
      <c r="A468" t="n">
        <v>467</v>
      </c>
      <c r="B468" s="3" t="n">
        <v>45480</v>
      </c>
      <c r="D468" t="inlineStr">
        <is>
          <t>https://www.olx.pl/d/oferta/duza-kawalerka-w-bloku-z-cegly-manufaktura-lodzka-CID3-ID10Wovb.html</t>
        </is>
      </c>
      <c r="E468">
        <f>HYPERLINK("https://www.olx.pl/d/oferta/duza-kawalerka-w-bloku-z-cegly-manufaktura-lodzka-CID3-ID10Wovb.html", "https://www.olx.pl/d/oferta/duza-kawalerka-w-bloku-z-cegly-manufaktura-lodzka-CID3-ID10Wovb.html")</f>
        <v/>
      </c>
      <c r="F468" t="inlineStr">
        <is>
          <t>wróbla</t>
        </is>
      </c>
      <c r="G468" t="inlineStr">
        <is>
          <t>Bałuty</t>
        </is>
      </c>
      <c r="H468" t="inlineStr">
        <is>
          <t>Bałuty blisko centrum</t>
        </is>
      </c>
      <c r="I468" t="inlineStr">
        <is>
          <t>NIE</t>
        </is>
      </c>
      <c r="J468" t="inlineStr">
        <is>
          <t>NIE</t>
        </is>
      </c>
      <c r="K468" t="n">
        <v>604745007</v>
      </c>
      <c r="L468" t="n">
        <v>245000</v>
      </c>
      <c r="M468" t="n">
        <v>6125</v>
      </c>
      <c r="N468" t="n">
        <v>40</v>
      </c>
      <c r="O468" t="inlineStr">
        <is>
          <t>1+k</t>
        </is>
      </c>
      <c r="P468" t="n">
        <v>0</v>
      </c>
      <c r="Q468" t="inlineStr">
        <is>
          <t>Nie da się zamieszkać</t>
        </is>
      </c>
      <c r="R468" t="inlineStr">
        <is>
          <t xml:space="preserve">14.07 było 280 10.08 było 269k  30.08 było 249k 28.08.2024 umówione na piątek na 11:00 </t>
        </is>
      </c>
    </row>
    <row r="469">
      <c r="A469" t="n">
        <v>468</v>
      </c>
      <c r="B469" s="3" t="n">
        <v>45480</v>
      </c>
      <c r="C469" s="3" t="n">
        <v>45522</v>
      </c>
      <c r="D469" t="inlineStr">
        <is>
          <t>https://www.olx.pl/d/oferta/mieszkanie-na-spokojnym-osiedlu-zarzew-CID3-ID10WolO.html?isPreviewActive=0&amp;sliderIndex=6</t>
        </is>
      </c>
      <c r="E469">
        <f>HYPERLINK("https://www.olx.pl/d/oferta/mieszkanie-na-spokojnym-osiedlu-zarzew-CID3-ID10WolO.html?isPreviewActive=0&amp;sliderIndex=6", "https://www.olx.pl/d/oferta/mieszkanie-na-spokojnym-osiedlu-zarzew-CID3-ID10WolO.html?isPreviewActive=0&amp;sliderIndex=6")</f>
        <v/>
      </c>
      <c r="F469" t="inlineStr">
        <is>
          <t>grota rowieckiego</t>
        </is>
      </c>
      <c r="G469" t="inlineStr">
        <is>
          <t>Widzew</t>
        </is>
      </c>
      <c r="H469" t="inlineStr">
        <is>
          <t>Widzew blisko centrum</t>
        </is>
      </c>
      <c r="I469" t="inlineStr">
        <is>
          <t>TAK</t>
        </is>
      </c>
      <c r="J469" t="inlineStr">
        <is>
          <t>NIE</t>
        </is>
      </c>
      <c r="K469" t="n">
        <v>505460507</v>
      </c>
      <c r="L469" t="n">
        <v>264240</v>
      </c>
      <c r="M469" t="n">
        <v>7199.999999999999</v>
      </c>
      <c r="N469" t="n">
        <v>36.7</v>
      </c>
      <c r="O469" t="inlineStr">
        <is>
          <t>2+k</t>
        </is>
      </c>
      <c r="P469" t="n">
        <v>2</v>
      </c>
      <c r="Q469" t="inlineStr">
        <is>
          <t>Nie da się zamieszkać</t>
        </is>
      </c>
    </row>
    <row r="470">
      <c r="A470" t="n">
        <v>469</v>
      </c>
      <c r="B470" s="3" t="n">
        <v>45481</v>
      </c>
      <c r="C470" s="3" t="n">
        <v>45532</v>
      </c>
      <c r="D470" t="inlineStr">
        <is>
          <t>https://www.otodom.pl/pl/oferta/2-pokoje-przy-parku-pelen-rozklad-ul-pojezierska-ID4rrqp</t>
        </is>
      </c>
      <c r="E470">
        <f>HYPERLINK("https://www.otodom.pl/pl/oferta/2-pokoje-przy-parku-pelen-rozklad-ul-pojezierska-ID4rrqp", "https://www.otodom.pl/pl/oferta/2-pokoje-przy-parku-pelen-rozklad-ul-pojezierska-ID4rrqp")</f>
        <v/>
      </c>
      <c r="F470" t="inlineStr">
        <is>
          <t>pojezierska</t>
        </is>
      </c>
      <c r="G470" t="inlineStr">
        <is>
          <t>Bałuty</t>
        </is>
      </c>
      <c r="H470" t="inlineStr">
        <is>
          <t>Bałuty</t>
        </is>
      </c>
      <c r="I470" t="inlineStr">
        <is>
          <t>TAK</t>
        </is>
      </c>
      <c r="J470" t="inlineStr">
        <is>
          <t>TAK</t>
        </is>
      </c>
      <c r="K470" t="n">
        <v>792900160</v>
      </c>
      <c r="L470" t="n">
        <v>279000</v>
      </c>
      <c r="M470" t="n">
        <v>6172.566371681415</v>
      </c>
      <c r="N470" t="n">
        <v>45.2</v>
      </c>
      <c r="O470" t="inlineStr">
        <is>
          <t>2+k</t>
        </is>
      </c>
      <c r="P470" t="n">
        <v>0</v>
      </c>
      <c r="Q470" t="inlineStr">
        <is>
          <t>Nie da się zamieszkać</t>
        </is>
      </c>
      <c r="R470" t="inlineStr">
        <is>
          <t xml:space="preserve">22.07 kontakt. nie ma bardzo możlwiosci na negocjacje. Może 290k. 15.08 było 299 Nowa cena jest na tym linku: https://domy.pl/mieszkanie/lodz-baluty-pojezierska-2-pokoje-279000-pln-45m2-sfb/dol1741180907 28,08,2024 poszło za 280 </t>
        </is>
      </c>
    </row>
    <row r="471">
      <c r="A471" t="n">
        <v>470</v>
      </c>
      <c r="B471" s="3" t="n">
        <v>45481</v>
      </c>
      <c r="D471" t="inlineStr">
        <is>
          <t>https://www.olx.pl/d/oferta/mieszkanie-w-bloku-CID3-ID10vNHP.html</t>
        </is>
      </c>
      <c r="E471">
        <f>HYPERLINK("https://www.olx.pl/d/oferta/mieszkanie-w-bloku-CID3-ID10vNHP.html", "https://www.olx.pl/d/oferta/mieszkanie-w-bloku-CID3-ID10vNHP.html")</f>
        <v/>
      </c>
      <c r="F471" t="inlineStr">
        <is>
          <t>rojna</t>
        </is>
      </c>
      <c r="G471" t="inlineStr">
        <is>
          <t>Teofilów</t>
        </is>
      </c>
      <c r="H471" t="inlineStr">
        <is>
          <t>Teofilów</t>
        </is>
      </c>
      <c r="I471" t="inlineStr">
        <is>
          <t>NIE</t>
        </is>
      </c>
      <c r="J471" t="inlineStr">
        <is>
          <t>NIE</t>
        </is>
      </c>
      <c r="L471" t="n">
        <v>330000</v>
      </c>
      <c r="M471" t="n">
        <v>7173.913043478261</v>
      </c>
      <c r="N471" t="n">
        <v>46</v>
      </c>
      <c r="O471" t="inlineStr">
        <is>
          <t>2+k</t>
        </is>
      </c>
      <c r="P471" t="n">
        <v>4</v>
      </c>
      <c r="Q471" t="inlineStr">
        <is>
          <t>Nie da się zamieszkać</t>
        </is>
      </c>
    </row>
    <row r="472">
      <c r="A472" t="n">
        <v>471</v>
      </c>
      <c r="B472" s="3" t="n">
        <v>45481</v>
      </c>
      <c r="C472" s="3" t="n">
        <v>45497</v>
      </c>
      <c r="D472" t="inlineStr">
        <is>
          <t>https://nieruchomosci.gratka.pl/nieruchomosci/mieszkanie-lodz-polesie-srebrzynska/ob/35132377</t>
        </is>
      </c>
      <c r="E472">
        <f>HYPERLINK("https://nieruchomosci.gratka.pl/nieruchomosci/mieszkanie-lodz-polesie-srebrzynska/ob/35132377", "https://nieruchomosci.gratka.pl/nieruchomosci/mieszkanie-lodz-polesie-srebrzynska/ob/35132377")</f>
        <v/>
      </c>
      <c r="F472" t="inlineStr">
        <is>
          <t>srebrzyńska</t>
        </is>
      </c>
      <c r="G472" t="inlineStr">
        <is>
          <t>Polesie</t>
        </is>
      </c>
      <c r="H472" t="inlineStr">
        <is>
          <t>Polesie</t>
        </is>
      </c>
      <c r="I472" t="inlineStr">
        <is>
          <t>TAK</t>
        </is>
      </c>
      <c r="J472" t="inlineStr">
        <is>
          <t>TAK</t>
        </is>
      </c>
      <c r="K472" t="n">
        <v>501378617</v>
      </c>
      <c r="L472" t="n">
        <v>309000</v>
      </c>
      <c r="M472" t="n">
        <v>7357.142857142857</v>
      </c>
      <c r="N472" t="n">
        <v>42</v>
      </c>
      <c r="O472" t="inlineStr">
        <is>
          <t>2+k</t>
        </is>
      </c>
      <c r="P472" t="n">
        <v>3</v>
      </c>
      <c r="Q472" t="inlineStr">
        <is>
          <t>Nie da się zamieszkać</t>
        </is>
      </c>
    </row>
    <row r="473">
      <c r="A473" t="n">
        <v>472</v>
      </c>
      <c r="B473" s="3" t="n">
        <v>45481</v>
      </c>
      <c r="C473" s="3" t="n">
        <v>45532</v>
      </c>
      <c r="D473" t="inlineStr">
        <is>
          <t>https://www.okolica.pl/offer/show/57296-S-558066/formular</t>
        </is>
      </c>
      <c r="E473">
        <f>HYPERLINK("https://www.okolica.pl/offer/show/57296-S-558066/formular", "https://www.okolica.pl/offer/show/57296-S-558066/formular")</f>
        <v/>
      </c>
      <c r="F473" t="inlineStr">
        <is>
          <t>czernika</t>
        </is>
      </c>
      <c r="G473" t="inlineStr">
        <is>
          <t>Widzew</t>
        </is>
      </c>
      <c r="H473" t="inlineStr">
        <is>
          <t>Widzew blisko centrum</t>
        </is>
      </c>
      <c r="I473" t="inlineStr">
        <is>
          <t>TAK</t>
        </is>
      </c>
      <c r="J473" t="inlineStr">
        <is>
          <t>TAK</t>
        </is>
      </c>
      <c r="K473" t="n">
        <v>511719739</v>
      </c>
      <c r="L473" t="n">
        <v>399000</v>
      </c>
      <c r="M473" t="n">
        <v>7064.447592067989</v>
      </c>
      <c r="N473" t="n">
        <v>56.48</v>
      </c>
      <c r="O473" t="inlineStr">
        <is>
          <t>3+k</t>
        </is>
      </c>
      <c r="P473" t="n">
        <v>4</v>
      </c>
      <c r="Q473" t="inlineStr">
        <is>
          <t>Nie da się zamieszkać</t>
        </is>
      </c>
    </row>
    <row r="474">
      <c r="A474" t="n">
        <v>473</v>
      </c>
      <c r="B474" s="3" t="n">
        <v>45481</v>
      </c>
      <c r="C474" s="3" t="n">
        <v>45522</v>
      </c>
      <c r="D474" t="inlineStr">
        <is>
          <t>https://www.morizon.pl/oferta/sprzedaz-mieszkanie-lodz-polesie-zygmunta-lorentza-36m2-mzn2043640599</t>
        </is>
      </c>
      <c r="E474">
        <f>HYPERLINK("https://www.morizon.pl/oferta/sprzedaz-mieszkanie-lodz-polesie-zygmunta-lorentza-36m2-mzn2043640599", "https://www.morizon.pl/oferta/sprzedaz-mieszkanie-lodz-polesie-zygmunta-lorentza-36m2-mzn2043640599")</f>
        <v/>
      </c>
      <c r="F474" t="inlineStr">
        <is>
          <t xml:space="preserve">lorentza </t>
        </is>
      </c>
      <c r="G474" t="inlineStr">
        <is>
          <t>Polesie</t>
        </is>
      </c>
      <c r="H474" t="inlineStr">
        <is>
          <t>Polesie</t>
        </is>
      </c>
      <c r="I474" t="inlineStr">
        <is>
          <t>TAK</t>
        </is>
      </c>
      <c r="J474" t="inlineStr">
        <is>
          <t>NIE</t>
        </is>
      </c>
      <c r="K474" t="n">
        <v>693725423</v>
      </c>
      <c r="L474" t="n">
        <v>292000</v>
      </c>
      <c r="M474" t="n">
        <v>7962.912462503408</v>
      </c>
      <c r="N474" t="n">
        <v>36.67</v>
      </c>
      <c r="O474" t="inlineStr">
        <is>
          <t>2+k</t>
        </is>
      </c>
      <c r="P474" t="n">
        <v>4</v>
      </c>
      <c r="Q474" t="inlineStr">
        <is>
          <t>Nie da się zamieszkać</t>
        </is>
      </c>
    </row>
    <row r="475">
      <c r="A475" t="n">
        <v>474</v>
      </c>
      <c r="B475" s="3" t="n">
        <v>45481</v>
      </c>
      <c r="C475" s="3" t="n">
        <v>45532</v>
      </c>
      <c r="D475" t="inlineStr">
        <is>
          <t>https://nieruchomosci.gratka.pl/nieruchomosci/mieszkanie-lodz-baluty-eliasza-chaima-majzela/ob/35144257</t>
        </is>
      </c>
      <c r="E475">
        <f>HYPERLINK("https://nieruchomosci.gratka.pl/nieruchomosci/mieszkanie-lodz-baluty-eliasza-chaima-majzela/ob/35144257", "https://nieruchomosci.gratka.pl/nieruchomosci/mieszkanie-lodz-baluty-eliasza-chaima-majzela/ob/35144257")</f>
        <v/>
      </c>
      <c r="F475" t="inlineStr">
        <is>
          <t>park staromiejski</t>
        </is>
      </c>
      <c r="G475" t="inlineStr">
        <is>
          <t>Bałuty</t>
        </is>
      </c>
      <c r="H475" t="inlineStr">
        <is>
          <t>Bałuty blisko centrum</t>
        </is>
      </c>
      <c r="I475" t="inlineStr">
        <is>
          <t>TAK</t>
        </is>
      </c>
      <c r="J475" t="inlineStr">
        <is>
          <t>TAK</t>
        </is>
      </c>
      <c r="K475" t="n">
        <v>538636083</v>
      </c>
      <c r="L475" t="n">
        <v>319000</v>
      </c>
      <c r="M475" t="n">
        <v>7870.713052060202</v>
      </c>
      <c r="N475" t="n">
        <v>40.53</v>
      </c>
      <c r="O475" t="inlineStr">
        <is>
          <t>2+k</t>
        </is>
      </c>
      <c r="P475" t="n">
        <v>1</v>
      </c>
      <c r="Q475" t="inlineStr">
        <is>
          <t>Nie da się zamieszkać</t>
        </is>
      </c>
    </row>
    <row r="476">
      <c r="A476" t="n">
        <v>475</v>
      </c>
      <c r="B476" s="3" t="n">
        <v>45481</v>
      </c>
      <c r="C476" s="3" t="n">
        <v>45522</v>
      </c>
      <c r="D476" t="inlineStr">
        <is>
          <t>https://www.olx.pl/d/oferta/dla-rodziny-3-pokoje-kuchnia-balkon-ul-narciarska-CID3-ID10VjWu.html</t>
        </is>
      </c>
      <c r="E476">
        <f>HYPERLINK("https://www.olx.pl/d/oferta/dla-rodziny-3-pokoje-kuchnia-balkon-ul-narciarska-CID3-ID10VjWu.html", "https://www.olx.pl/d/oferta/dla-rodziny-3-pokoje-kuchnia-balkon-ul-narciarska-CID3-ID10VjWu.html")</f>
        <v/>
      </c>
      <c r="F476" t="inlineStr">
        <is>
          <t>narciarska</t>
        </is>
      </c>
      <c r="G476" t="inlineStr">
        <is>
          <t>Retkinia</t>
        </is>
      </c>
      <c r="H476" t="inlineStr">
        <is>
          <t>Retkinia blisko centrum</t>
        </is>
      </c>
      <c r="I476" t="inlineStr">
        <is>
          <t>TAK</t>
        </is>
      </c>
      <c r="J476" t="inlineStr">
        <is>
          <t>TAK</t>
        </is>
      </c>
      <c r="K476" t="n">
        <v>792900160</v>
      </c>
      <c r="L476" t="n">
        <v>399000</v>
      </c>
      <c r="M476" t="n">
        <v>7348.066298342542</v>
      </c>
      <c r="N476" t="n">
        <v>54.3</v>
      </c>
      <c r="O476" t="inlineStr">
        <is>
          <t>3+k</t>
        </is>
      </c>
      <c r="P476" t="n">
        <v>2</v>
      </c>
      <c r="Q476" t="inlineStr">
        <is>
          <t>Nie da się zamieszkać</t>
        </is>
      </c>
    </row>
    <row r="477">
      <c r="A477" t="n">
        <v>476</v>
      </c>
      <c r="B477" s="3" t="n">
        <v>45482</v>
      </c>
      <c r="D477" t="inlineStr">
        <is>
          <t>https://www.klikmapa.pl/o/lodz-srodmiescie-350-000-zl-5084-m2-stan-dobry-id1159495.html</t>
        </is>
      </c>
      <c r="E477">
        <f>HYPERLINK("https://www.klikmapa.pl/o/lodz-srodmiescie-350-000-zl-5084-m2-stan-dobry-id1159495.html", "https://www.klikmapa.pl/o/lodz-srodmiescie-350-000-zl-5084-m2-stan-dobry-id1159495.html")</f>
        <v/>
      </c>
      <c r="F477" t="inlineStr">
        <is>
          <t>sterlinga</t>
        </is>
      </c>
      <c r="G477" t="inlineStr">
        <is>
          <t>Śródmieście</t>
        </is>
      </c>
      <c r="H477" t="inlineStr">
        <is>
          <t>Śródmieście</t>
        </is>
      </c>
      <c r="I477" t="inlineStr">
        <is>
          <t>NIE</t>
        </is>
      </c>
      <c r="J477" t="inlineStr">
        <is>
          <t>TAK</t>
        </is>
      </c>
      <c r="K477" t="n">
        <v>601294558</v>
      </c>
      <c r="L477" t="n">
        <v>330000</v>
      </c>
      <c r="M477" t="n">
        <v>6537.242472266244</v>
      </c>
      <c r="N477" t="n">
        <v>50.48</v>
      </c>
      <c r="O477" t="inlineStr">
        <is>
          <t>2+k</t>
        </is>
      </c>
      <c r="P477" t="n">
        <v>1</v>
      </c>
      <c r="Q477" t="inlineStr">
        <is>
          <t>Nie da się zamieszkać</t>
        </is>
      </c>
      <c r="R477" t="inlineStr">
        <is>
          <t>było nieaktywny 24.07 wrociło 13.09. 13.09 było 350k</t>
        </is>
      </c>
    </row>
    <row r="478">
      <c r="A478" t="n">
        <v>477</v>
      </c>
      <c r="B478" s="3" t="n">
        <v>45482</v>
      </c>
      <c r="D478" t="inlineStr">
        <is>
          <t>https://www.otodom.pl/pl/oferta/2-pokojowe-mieszkanie-do-remontu-na-dabrowie-ID4rk7e.html</t>
        </is>
      </c>
      <c r="E478">
        <f>HYPERLINK("https://www.otodom.pl/pl/oferta/2-pokojowe-mieszkanie-do-remontu-na-dabrowie-ID4rk7e.html", "https://www.otodom.pl/pl/oferta/2-pokojowe-mieszkanie-do-remontu-na-dabrowie-ID4rk7e.html")</f>
        <v/>
      </c>
      <c r="F478" t="inlineStr">
        <is>
          <t>trybunalska</t>
        </is>
      </c>
      <c r="G478" t="inlineStr">
        <is>
          <t>Górna</t>
        </is>
      </c>
      <c r="H478" t="inlineStr">
        <is>
          <t>Daleka górna</t>
        </is>
      </c>
      <c r="I478" t="inlineStr">
        <is>
          <t>NIE</t>
        </is>
      </c>
      <c r="J478" t="inlineStr">
        <is>
          <t>TAK</t>
        </is>
      </c>
      <c r="K478" t="n">
        <v>733317925</v>
      </c>
      <c r="L478" t="n">
        <v>305000</v>
      </c>
      <c r="M478" t="n">
        <v>7462.68656716418</v>
      </c>
      <c r="N478" t="n">
        <v>40.87</v>
      </c>
      <c r="O478" t="inlineStr">
        <is>
          <t>2+k</t>
        </is>
      </c>
      <c r="P478" t="n">
        <v>4</v>
      </c>
      <c r="Q478" t="inlineStr">
        <is>
          <t>Nie da się zamieszkać</t>
        </is>
      </c>
    </row>
    <row r="479">
      <c r="A479" t="n">
        <v>478</v>
      </c>
      <c r="B479" s="3" t="n">
        <v>45482</v>
      </c>
      <c r="C479" s="3" t="n">
        <v>45522</v>
      </c>
      <c r="D479" t="inlineStr">
        <is>
          <t>https://nieruchomosci.gratka.pl/nieruchomosci/mieszkanie-lodz-baluty-klonowa/ob/35145783</t>
        </is>
      </c>
      <c r="E479">
        <f>HYPERLINK("https://nieruchomosci.gratka.pl/nieruchomosci/mieszkanie-lodz-baluty-klonowa/ob/35145783", "https://nieruchomosci.gratka.pl/nieruchomosci/mieszkanie-lodz-baluty-klonowa/ob/35145783")</f>
        <v/>
      </c>
      <c r="F479" t="inlineStr">
        <is>
          <t>klonowa</t>
        </is>
      </c>
      <c r="G479" t="inlineStr">
        <is>
          <t>Bałuty</t>
        </is>
      </c>
      <c r="H479" t="inlineStr">
        <is>
          <t>Bałuty blisko centrum</t>
        </is>
      </c>
      <c r="I479" t="inlineStr">
        <is>
          <t>TAK</t>
        </is>
      </c>
      <c r="J479" t="inlineStr">
        <is>
          <t>TAK</t>
        </is>
      </c>
      <c r="K479" t="n">
        <v>602787766</v>
      </c>
      <c r="L479" t="n">
        <v>322000</v>
      </c>
      <c r="M479" t="n">
        <v>7455.429497568882</v>
      </c>
      <c r="N479" t="n">
        <v>43.19</v>
      </c>
      <c r="O479" t="inlineStr">
        <is>
          <t>2+k</t>
        </is>
      </c>
      <c r="P479" t="n">
        <v>1</v>
      </c>
      <c r="Q479" t="inlineStr">
        <is>
          <t>Nie da się zamieszkać</t>
        </is>
      </c>
    </row>
    <row r="480">
      <c r="A480" t="n">
        <v>479</v>
      </c>
      <c r="B480" s="3" t="n">
        <v>45482</v>
      </c>
      <c r="C480" s="3" t="n">
        <v>45497</v>
      </c>
      <c r="D480" t="inlineStr">
        <is>
          <t>https://www.otodom.pl/pl/oferta/2-pokoje-gorna-ID4rcap.html</t>
        </is>
      </c>
      <c r="E480">
        <f>HYPERLINK("https://www.otodom.pl/pl/oferta/2-pokoje-gorna-ID4rcap.html", "https://www.otodom.pl/pl/oferta/2-pokoje-gorna-ID4rcap.html")</f>
        <v/>
      </c>
      <c r="F480" t="inlineStr">
        <is>
          <t>siarczana</t>
        </is>
      </c>
      <c r="G480" t="inlineStr">
        <is>
          <t>Górna</t>
        </is>
      </c>
      <c r="H480" t="inlineStr">
        <is>
          <t>Górna</t>
        </is>
      </c>
      <c r="I480" t="inlineStr">
        <is>
          <t>TAK</t>
        </is>
      </c>
      <c r="J480" t="inlineStr">
        <is>
          <t>TAK</t>
        </is>
      </c>
      <c r="K480" t="n">
        <v>502112226</v>
      </c>
      <c r="L480" t="n">
        <v>280000</v>
      </c>
      <c r="M480" t="n">
        <v>7821.22905027933</v>
      </c>
      <c r="N480" t="n">
        <v>35.8</v>
      </c>
      <c r="O480" t="inlineStr">
        <is>
          <t>2+k</t>
        </is>
      </c>
      <c r="P480" t="n">
        <v>4</v>
      </c>
      <c r="Q480" t="inlineStr">
        <is>
          <t>Nie da się zamieszkać</t>
        </is>
      </c>
    </row>
    <row r="481">
      <c r="A481" t="n">
        <v>480</v>
      </c>
      <c r="B481" s="3" t="n">
        <v>45482</v>
      </c>
      <c r="C481" s="3" t="n">
        <v>45522</v>
      </c>
      <c r="D481" t="inlineStr">
        <is>
          <t>https://www.otodom.pl/pl/oferta/sprzedam-mieszkanie-blisko-manufaktury-ID4rt94.html</t>
        </is>
      </c>
      <c r="E481">
        <f>HYPERLINK("https://www.otodom.pl/pl/oferta/sprzedam-mieszkanie-blisko-manufaktury-ID4rt94.html", "https://www.otodom.pl/pl/oferta/sprzedam-mieszkanie-blisko-manufaktury-ID4rt94.html")</f>
        <v/>
      </c>
      <c r="F481" t="inlineStr">
        <is>
          <t>gandhiego</t>
        </is>
      </c>
      <c r="G481" t="inlineStr">
        <is>
          <t>Bałuty</t>
        </is>
      </c>
      <c r="H481" t="inlineStr">
        <is>
          <t>Bałuty blisko centrum</t>
        </is>
      </c>
      <c r="I481" t="inlineStr">
        <is>
          <t>TAK</t>
        </is>
      </c>
      <c r="J481" t="inlineStr">
        <is>
          <t>NIE</t>
        </is>
      </c>
      <c r="K481" t="n">
        <v>506761704</v>
      </c>
      <c r="L481" t="n">
        <v>310000</v>
      </c>
      <c r="M481" t="n">
        <v>6873.614190687361</v>
      </c>
      <c r="N481" t="n">
        <v>45.1</v>
      </c>
      <c r="O481" t="inlineStr">
        <is>
          <t>2+k</t>
        </is>
      </c>
      <c r="P481" t="n">
        <v>4</v>
      </c>
      <c r="Q481" t="inlineStr">
        <is>
          <t>Nie da się zamieszkać</t>
        </is>
      </c>
    </row>
    <row r="482">
      <c r="A482" t="n">
        <v>481</v>
      </c>
      <c r="B482" s="3" t="n">
        <v>45482</v>
      </c>
      <c r="C482" s="3" t="n">
        <v>45488</v>
      </c>
      <c r="D482" t="inlineStr">
        <is>
          <t>https://www.olx.pl/d/oferta/m2-duza-kawalerka-koziny-blisko-manufaktury-CID3-ID10VD2j.html</t>
        </is>
      </c>
      <c r="E482">
        <f>HYPERLINK("https://www.olx.pl/d/oferta/m2-duza-kawalerka-koziny-blisko-manufaktury-CID3-ID10VD2j.html", "https://www.olx.pl/d/oferta/m2-duza-kawalerka-koziny-blisko-manufaktury-CID3-ID10VD2j.html")</f>
        <v/>
      </c>
      <c r="F482" t="inlineStr">
        <is>
          <t>kasprzaka</t>
        </is>
      </c>
      <c r="G482" t="inlineStr">
        <is>
          <t>Polesie</t>
        </is>
      </c>
      <c r="H482" t="inlineStr">
        <is>
          <t>Polesie</t>
        </is>
      </c>
      <c r="I482" t="inlineStr">
        <is>
          <t>TAK</t>
        </is>
      </c>
      <c r="J482" t="inlineStr">
        <is>
          <t>TAK</t>
        </is>
      </c>
      <c r="K482" t="n">
        <v>600036906</v>
      </c>
      <c r="L482" t="n">
        <v>255000</v>
      </c>
      <c r="M482" t="n">
        <v>6710.526315789473</v>
      </c>
      <c r="N482" t="n">
        <v>38</v>
      </c>
      <c r="O482" t="inlineStr">
        <is>
          <t>1+k</t>
        </is>
      </c>
      <c r="P482" t="n">
        <v>3</v>
      </c>
      <c r="Q482" t="inlineStr">
        <is>
          <t>Nie da się zamieszkać</t>
        </is>
      </c>
    </row>
    <row r="483">
      <c r="A483" t="n">
        <v>482</v>
      </c>
      <c r="B483" s="3" t="n">
        <v>45482</v>
      </c>
      <c r="C483" s="3" t="n">
        <v>45522</v>
      </c>
      <c r="D483" t="inlineStr">
        <is>
          <t>https://www.olx.pl/d/oferta/mieszkanie-sprzedam-CID3-ID10V18z.html</t>
        </is>
      </c>
      <c r="E483">
        <f>HYPERLINK("https://www.olx.pl/d/oferta/mieszkanie-sprzedam-CID3-ID10V18z.html", "https://www.olx.pl/d/oferta/mieszkanie-sprzedam-CID3-ID10V18z.html")</f>
        <v/>
      </c>
      <c r="F483" t="inlineStr">
        <is>
          <t>rojna</t>
        </is>
      </c>
      <c r="G483" t="inlineStr">
        <is>
          <t>Teofilów</t>
        </is>
      </c>
      <c r="H483" t="inlineStr">
        <is>
          <t>Teofilów</t>
        </is>
      </c>
      <c r="I483" t="inlineStr">
        <is>
          <t>TAK</t>
        </is>
      </c>
      <c r="J483" t="inlineStr">
        <is>
          <t>TAK</t>
        </is>
      </c>
      <c r="K483" t="n">
        <v>516071389</v>
      </c>
      <c r="L483" t="n">
        <v>285000</v>
      </c>
      <c r="M483" t="n">
        <v>7539.682539682541</v>
      </c>
      <c r="N483" t="n">
        <v>37.8</v>
      </c>
      <c r="O483" t="inlineStr">
        <is>
          <t>2+k</t>
        </is>
      </c>
      <c r="P483" t="n">
        <v>2</v>
      </c>
      <c r="Q483" t="inlineStr">
        <is>
          <t>Nie da się zamieszkać</t>
        </is>
      </c>
    </row>
    <row r="484">
      <c r="A484" t="n">
        <v>483</v>
      </c>
      <c r="B484" s="3" t="n">
        <v>45482</v>
      </c>
      <c r="D484" t="inlineStr">
        <is>
          <t>https://www.olx.pl/d/oferta/mieszkanie-2-pokoje-rozklad-45m-teofilow-prywatnie-CID3-IDYXUCe.html</t>
        </is>
      </c>
      <c r="E484">
        <f>HYPERLINK("https://www.olx.pl/d/oferta/mieszkanie-2-pokoje-rozklad-45m-teofilow-prywatnie-CID3-IDYXUCe.html", "https://www.olx.pl/d/oferta/mieszkanie-2-pokoje-rozklad-45m-teofilow-prywatnie-CID3-IDYXUCe.html")</f>
        <v/>
      </c>
      <c r="F484" t="inlineStr">
        <is>
          <t>lniana</t>
        </is>
      </c>
      <c r="G484" t="inlineStr">
        <is>
          <t>Teofilów</t>
        </is>
      </c>
      <c r="H484" t="inlineStr">
        <is>
          <t>Teofilów</t>
        </is>
      </c>
      <c r="I484" t="inlineStr">
        <is>
          <t>NIE</t>
        </is>
      </c>
      <c r="J484" t="inlineStr">
        <is>
          <t>NIE</t>
        </is>
      </c>
      <c r="K484" t="n">
        <v>732755558</v>
      </c>
      <c r="L484" t="n">
        <v>295000</v>
      </c>
      <c r="M484" t="n">
        <v>6536.671836915577</v>
      </c>
      <c r="N484" t="n">
        <v>45.13</v>
      </c>
      <c r="O484" t="inlineStr">
        <is>
          <t>2+k</t>
        </is>
      </c>
      <c r="P484" t="n">
        <v>4</v>
      </c>
      <c r="Q484" t="inlineStr">
        <is>
          <t>Puste posprzątane</t>
        </is>
      </c>
    </row>
    <row r="485">
      <c r="A485" t="n">
        <v>484</v>
      </c>
      <c r="B485" s="3" t="n">
        <v>45482</v>
      </c>
      <c r="D485" t="inlineStr">
        <is>
          <t>https://www.domiporta.pl/nieruchomosci/sprzedam-mieszkanie-dwupokojowe-lodz-polesie-srebrzynska-55m2/155252255</t>
        </is>
      </c>
      <c r="E485">
        <f>HYPERLINK("https://www.domiporta.pl/nieruchomosci/sprzedam-mieszkanie-dwupokojowe-lodz-polesie-srebrzynska-55m2/155252255", "https://www.domiporta.pl/nieruchomosci/sprzedam-mieszkanie-dwupokojowe-lodz-polesie-srebrzynska-55m2/155252255")</f>
        <v/>
      </c>
      <c r="F485" t="inlineStr">
        <is>
          <t>srebrzyńska</t>
        </is>
      </c>
      <c r="G485" t="inlineStr">
        <is>
          <t>Polesie</t>
        </is>
      </c>
      <c r="H485" t="inlineStr">
        <is>
          <t>Polesie</t>
        </is>
      </c>
      <c r="I485" t="inlineStr">
        <is>
          <t>NIE</t>
        </is>
      </c>
      <c r="J485" t="inlineStr">
        <is>
          <t>TAK</t>
        </is>
      </c>
      <c r="K485" t="n">
        <v>510841113</v>
      </c>
      <c r="L485" t="n">
        <v>365000</v>
      </c>
      <c r="M485" t="n">
        <v>6600.361663652803</v>
      </c>
      <c r="N485" t="n">
        <v>55.3</v>
      </c>
      <c r="O485" t="inlineStr">
        <is>
          <t>2+k</t>
        </is>
      </c>
      <c r="P485" t="n">
        <v>1</v>
      </c>
      <c r="Q485" t="inlineStr">
        <is>
          <t>Nie da się zamieszkać</t>
        </is>
      </c>
      <c r="R485" t="inlineStr">
        <is>
          <t xml:space="preserve">nie da się zrobic m3. odrzuciliśmy tą oferte. </t>
        </is>
      </c>
    </row>
    <row r="486">
      <c r="A486" t="n">
        <v>485</v>
      </c>
      <c r="B486" s="3" t="n">
        <v>45482</v>
      </c>
      <c r="C486" s="3" t="n">
        <v>45488</v>
      </c>
      <c r="D486" t="inlineStr">
        <is>
          <t>https://nieruchomosci.gratka.pl/nieruchomosci/mieszkanie-lodz-gorna/ob/35148885</t>
        </is>
      </c>
      <c r="E486">
        <f>HYPERLINK("https://nieruchomosci.gratka.pl/nieruchomosci/mieszkanie-lodz-gorna/ob/35148885", "https://nieruchomosci.gratka.pl/nieruchomosci/mieszkanie-lodz-gorna/ob/35148885")</f>
        <v/>
      </c>
      <c r="F486" t="inlineStr">
        <is>
          <t>felińskiego</t>
        </is>
      </c>
      <c r="G486" t="inlineStr">
        <is>
          <t>Dąbrowa</t>
        </is>
      </c>
      <c r="H486" t="inlineStr">
        <is>
          <t>Dąbrowa</t>
        </is>
      </c>
      <c r="I486" t="inlineStr">
        <is>
          <t>TAK</t>
        </is>
      </c>
      <c r="J486" t="inlineStr">
        <is>
          <t>TAK</t>
        </is>
      </c>
      <c r="K486" t="n">
        <v>516716153</v>
      </c>
      <c r="L486" t="n">
        <v>259000</v>
      </c>
      <c r="M486" t="n">
        <v>7194.444444444444</v>
      </c>
      <c r="N486" t="n">
        <v>36</v>
      </c>
      <c r="O486" t="inlineStr">
        <is>
          <t>3+k</t>
        </is>
      </c>
      <c r="P486" t="n">
        <v>1</v>
      </c>
      <c r="Q486" t="inlineStr">
        <is>
          <t>Nie da się zamieszkać</t>
        </is>
      </c>
    </row>
    <row r="487">
      <c r="A487" t="n">
        <v>486</v>
      </c>
      <c r="B487" s="3" t="n">
        <v>45482</v>
      </c>
      <c r="C487" s="3" t="n">
        <v>45488</v>
      </c>
      <c r="D487" t="inlineStr">
        <is>
          <t>https://www.szybko.pl/o/na-sprzedaz/lokal-mieszkalny+mieszkanie/Łódź+Bałuty/oferta-15274459</t>
        </is>
      </c>
      <c r="E487">
        <f>HYPERLINK("https://www.szybko.pl/o/na-sprzedaz/lokal-mieszkalny+mieszkanie/Łódź+Bałuty/oferta-15274459", "https://www.szybko.pl/o/na-sprzedaz/lokal-mieszkalny+mieszkanie/Łódź+Bałuty/oferta-15274459")</f>
        <v/>
      </c>
      <c r="F487" t="inlineStr">
        <is>
          <t>traktorowa</t>
        </is>
      </c>
      <c r="G487" t="inlineStr">
        <is>
          <t>Teofilów</t>
        </is>
      </c>
      <c r="H487" t="inlineStr">
        <is>
          <t>Teofilów</t>
        </is>
      </c>
      <c r="I487" t="inlineStr">
        <is>
          <t>TAK</t>
        </is>
      </c>
      <c r="J487" t="inlineStr">
        <is>
          <t>TAK</t>
        </is>
      </c>
      <c r="K487" t="n">
        <v>502112226</v>
      </c>
      <c r="L487" t="n">
        <v>374000</v>
      </c>
      <c r="M487" t="n">
        <v>7192.307692307692</v>
      </c>
      <c r="N487" t="n">
        <v>52</v>
      </c>
      <c r="O487" t="inlineStr">
        <is>
          <t>3+k</t>
        </is>
      </c>
      <c r="P487" t="n">
        <v>3</v>
      </c>
      <c r="Q487" t="inlineStr">
        <is>
          <t>Nie da się zamieszkać</t>
        </is>
      </c>
    </row>
    <row r="488">
      <c r="A488" t="n">
        <v>487</v>
      </c>
      <c r="B488" s="3" t="n">
        <v>45482</v>
      </c>
      <c r="C488" s="3" t="n">
        <v>45506</v>
      </c>
      <c r="D488" t="inlineStr">
        <is>
          <t>https://www.otodom.pl/pl/oferta/30-94m2-ul-armii-krajowej-ID4rtGw.html</t>
        </is>
      </c>
      <c r="E488">
        <f>HYPERLINK("https://www.otodom.pl/pl/oferta/30-94m2-ul-armii-krajowej-ID4rtGw.html", "https://www.otodom.pl/pl/oferta/30-94m2-ul-armii-krajowej-ID4rtGw.html")</f>
        <v/>
      </c>
      <c r="F488" t="inlineStr">
        <is>
          <t xml:space="preserve">armi krajowej </t>
        </is>
      </c>
      <c r="G488" t="inlineStr">
        <is>
          <t>Retkinia</t>
        </is>
      </c>
      <c r="H488" t="inlineStr">
        <is>
          <t>Retkinia</t>
        </is>
      </c>
      <c r="I488" t="inlineStr">
        <is>
          <t>TAK</t>
        </is>
      </c>
      <c r="J488" t="inlineStr">
        <is>
          <t>TAK</t>
        </is>
      </c>
      <c r="K488" t="n">
        <v>888990888</v>
      </c>
      <c r="L488" t="n">
        <v>235000</v>
      </c>
      <c r="M488" t="n">
        <v>7595.345830639948</v>
      </c>
      <c r="N488" t="n">
        <v>30.94</v>
      </c>
      <c r="O488" t="inlineStr">
        <is>
          <t>1+k</t>
        </is>
      </c>
      <c r="P488" t="n">
        <v>9</v>
      </c>
      <c r="Q488" t="inlineStr">
        <is>
          <t>Nie da się zamieszkać</t>
        </is>
      </c>
    </row>
    <row r="489">
      <c r="A489" t="n">
        <v>488</v>
      </c>
      <c r="B489" s="3" t="n">
        <v>45482</v>
      </c>
      <c r="D489" t="inlineStr">
        <is>
          <t>https://www.otodom.pl/pl/oferta/kawalerka-m2-32-52m2-centrum-bezposrednio-ID4rtIj.html</t>
        </is>
      </c>
      <c r="E489">
        <f>HYPERLINK("https://www.otodom.pl/pl/oferta/kawalerka-m2-32-52m2-centrum-bezposrednio-ID4rtIj.html", "https://www.otodom.pl/pl/oferta/kawalerka-m2-32-52m2-centrum-bezposrednio-ID4rtIj.html")</f>
        <v/>
      </c>
      <c r="F489" t="inlineStr">
        <is>
          <t>monopolis</t>
        </is>
      </c>
      <c r="G489" t="inlineStr">
        <is>
          <t>Widzew</t>
        </is>
      </c>
      <c r="H489" t="inlineStr">
        <is>
          <t>Widzew blisko centrum</t>
        </is>
      </c>
      <c r="I489" t="inlineStr">
        <is>
          <t>NIE</t>
        </is>
      </c>
      <c r="J489" t="inlineStr">
        <is>
          <t>NIE</t>
        </is>
      </c>
      <c r="K489" t="n">
        <v>504174434</v>
      </c>
      <c r="L489" t="n">
        <v>260000</v>
      </c>
      <c r="M489" t="n">
        <v>7995.079950799507</v>
      </c>
      <c r="N489" t="n">
        <v>32.52</v>
      </c>
      <c r="O489" t="inlineStr">
        <is>
          <t>1+k</t>
        </is>
      </c>
      <c r="P489" t="inlineStr">
        <is>
          <t>4!</t>
        </is>
      </c>
      <c r="Q489" t="inlineStr">
        <is>
          <t>Nie da się zamieszkać</t>
        </is>
      </c>
      <c r="R489" t="inlineStr">
        <is>
          <t>było nieaktywne od 18.08 wrociło 13.09</t>
        </is>
      </c>
    </row>
    <row r="490">
      <c r="A490" t="n">
        <v>489</v>
      </c>
      <c r="B490" s="3" t="n">
        <v>45482</v>
      </c>
      <c r="D490" t="inlineStr">
        <is>
          <t>https://lodz.nieruchomosci-online.pl/mieszkanie,przy-lesie/25066472.html</t>
        </is>
      </c>
      <c r="E490">
        <f>HYPERLINK("https://lodz.nieruchomosci-online.pl/mieszkanie,przy-lesie/25066472.html", "https://lodz.nieruchomosci-online.pl/mieszkanie,przy-lesie/25066472.html")</f>
        <v/>
      </c>
      <c r="F490" t="inlineStr">
        <is>
          <t>włókniarzy</t>
        </is>
      </c>
      <c r="G490" t="inlineStr">
        <is>
          <t>Polesie</t>
        </is>
      </c>
      <c r="H490" t="inlineStr">
        <is>
          <t>Polesie</t>
        </is>
      </c>
      <c r="I490" t="inlineStr">
        <is>
          <t>NIE</t>
        </is>
      </c>
      <c r="J490" t="inlineStr">
        <is>
          <t>TAK</t>
        </is>
      </c>
      <c r="K490" t="n">
        <v>601352697</v>
      </c>
      <c r="L490" t="n">
        <v>270000</v>
      </c>
      <c r="M490" t="n">
        <v>7258.064516129031</v>
      </c>
      <c r="N490" t="n">
        <v>37.2</v>
      </c>
      <c r="O490" t="inlineStr">
        <is>
          <t>2+k</t>
        </is>
      </c>
      <c r="P490" t="n">
        <v>5</v>
      </c>
      <c r="Q490" t="inlineStr">
        <is>
          <t>Nie da się zamieszkać</t>
        </is>
      </c>
      <c r="R490" t="inlineStr">
        <is>
          <t>kontakt 17.07 cena nie do negocjacji</t>
        </is>
      </c>
    </row>
    <row r="491">
      <c r="A491" t="n">
        <v>490</v>
      </c>
      <c r="B491" s="3" t="n">
        <v>45482</v>
      </c>
      <c r="C491" s="3" t="n">
        <v>45548</v>
      </c>
      <c r="D491" t="inlineStr">
        <is>
          <t>https://www.morizon.pl/oferta/sprzedaz-mieszkanie-lodz-polesie-walerego-wroblewskiego-50m2-mzn2044146337</t>
        </is>
      </c>
      <c r="E491">
        <f>HYPERLINK("https://www.morizon.pl/oferta/sprzedaz-mieszkanie-lodz-polesie-walerego-wroblewskiego-50m2-mzn2044146337", "https://www.morizon.pl/oferta/sprzedaz-mieszkanie-lodz-polesie-walerego-wroblewskiego-50m2-mzn2044146337")</f>
        <v/>
      </c>
      <c r="F491" t="inlineStr">
        <is>
          <t>wróblewskiego</t>
        </is>
      </c>
      <c r="G491" t="inlineStr">
        <is>
          <t>Retkinia</t>
        </is>
      </c>
      <c r="H491" t="inlineStr">
        <is>
          <t>Retkinia blisko centrum</t>
        </is>
      </c>
      <c r="I491" t="inlineStr">
        <is>
          <t>TAK</t>
        </is>
      </c>
      <c r="J491" t="inlineStr">
        <is>
          <t>NIE</t>
        </is>
      </c>
      <c r="K491" t="n">
        <v>501341645</v>
      </c>
      <c r="L491" t="n">
        <v>365000</v>
      </c>
      <c r="M491" t="n">
        <v>7300</v>
      </c>
      <c r="N491" t="n">
        <v>50</v>
      </c>
      <c r="O491" t="inlineStr">
        <is>
          <t>2+k</t>
        </is>
      </c>
      <c r="P491" t="n">
        <v>3</v>
      </c>
      <c r="Q491" t="inlineStr">
        <is>
          <t>Nie da się zamieszkać</t>
        </is>
      </c>
    </row>
    <row r="492">
      <c r="A492" t="n">
        <v>491</v>
      </c>
      <c r="B492" s="3" t="n">
        <v>45483</v>
      </c>
      <c r="D492" t="inlineStr">
        <is>
          <t>https://www.olx.pl/d/oferta/m-3-45-m2-teofilow-do-remontu-CID3-ID10mdMm.html?isPreviewActive=0&amp;sliderIndex=0</t>
        </is>
      </c>
      <c r="E492">
        <f>HYPERLINK("https://www.olx.pl/d/oferta/m-3-45-m2-teofilow-do-remontu-CID3-ID10mdMm.html?isPreviewActive=0&amp;sliderIndex=0", "https://www.olx.pl/d/oferta/m-3-45-m2-teofilow-do-remontu-CID3-ID10mdMm.html?isPreviewActive=0&amp;sliderIndex=0")</f>
        <v/>
      </c>
      <c r="F492" t="inlineStr">
        <is>
          <t>dedeciusa</t>
        </is>
      </c>
      <c r="G492" t="inlineStr">
        <is>
          <t>Dąbrowa</t>
        </is>
      </c>
      <c r="H492" t="inlineStr">
        <is>
          <t>Dąbrowa</t>
        </is>
      </c>
      <c r="I492" t="inlineStr">
        <is>
          <t>NIE</t>
        </is>
      </c>
      <c r="J492" t="inlineStr">
        <is>
          <t>TAK</t>
        </is>
      </c>
      <c r="K492" t="n">
        <v>500844149</v>
      </c>
      <c r="L492" t="n">
        <v>299000</v>
      </c>
      <c r="M492" t="n">
        <v>6332.062685302838</v>
      </c>
      <c r="N492" t="n">
        <v>47.22</v>
      </c>
      <c r="O492" t="inlineStr">
        <is>
          <t>3+k</t>
        </is>
      </c>
      <c r="P492" t="n">
        <v>7</v>
      </c>
      <c r="Q492" t="inlineStr">
        <is>
          <t>Nie da się zamieszkać</t>
        </is>
      </c>
      <c r="R492" t="inlineStr">
        <is>
          <t xml:space="preserve">24.07 było 310k było nie aktywne 18.08 wrociło 13.09 </t>
        </is>
      </c>
    </row>
    <row r="493">
      <c r="A493" t="n">
        <v>492</v>
      </c>
      <c r="B493" s="3" t="n">
        <v>45483</v>
      </c>
      <c r="C493" s="3" t="n">
        <v>45510</v>
      </c>
      <c r="D493" t="inlineStr">
        <is>
          <t>https://www.otodom.pl/pl/oferta/wygodne-m3-do-aranzacji-dabrowa-loggia-ID4r9Ea.html</t>
        </is>
      </c>
      <c r="E493">
        <f>HYPERLINK("https://www.otodom.pl/pl/oferta/wygodne-m3-do-aranzacji-dabrowa-loggia-ID4r9Ea.html", "https://www.otodom.pl/pl/oferta/wygodne-m3-do-aranzacji-dabrowa-loggia-ID4r9Ea.html")</f>
        <v/>
      </c>
      <c r="F493" t="inlineStr">
        <is>
          <t>podhalanska</t>
        </is>
      </c>
      <c r="G493" t="inlineStr">
        <is>
          <t>Dąbrowa</t>
        </is>
      </c>
      <c r="H493" t="inlineStr">
        <is>
          <t>Dąbrowa</t>
        </is>
      </c>
      <c r="I493" t="inlineStr">
        <is>
          <t>TAK</t>
        </is>
      </c>
      <c r="J493" t="inlineStr">
        <is>
          <t>TAK</t>
        </is>
      </c>
      <c r="K493" t="inlineStr">
        <is>
          <t>42 292 20 55</t>
        </is>
      </c>
      <c r="L493" t="n">
        <v>319900</v>
      </c>
      <c r="M493" t="n">
        <v>6664.583333333333</v>
      </c>
      <c r="N493" t="n">
        <v>48</v>
      </c>
      <c r="O493" t="inlineStr">
        <is>
          <t>3+k</t>
        </is>
      </c>
      <c r="P493" t="n">
        <v>0</v>
      </c>
      <c r="Q493" t="inlineStr">
        <is>
          <t>Nie da się zamieszkać</t>
        </is>
      </c>
      <c r="R493" t="inlineStr">
        <is>
          <t xml:space="preserve">być może to duploikat, wyzej mam bezposrednio do własciciela </t>
        </is>
      </c>
      <c r="T493" t="inlineStr">
        <is>
          <t>200</t>
        </is>
      </c>
    </row>
    <row r="494">
      <c r="A494" t="n">
        <v>493</v>
      </c>
      <c r="B494" s="3" t="n">
        <v>45483</v>
      </c>
      <c r="C494" s="3" t="n">
        <v>45497</v>
      </c>
      <c r="D494" t="inlineStr">
        <is>
          <t>https://www.otodom.pl/pl/oferta/rezerwacja-3-pokoje-botanik-1-pietro-winda-ID4r5NW</t>
        </is>
      </c>
      <c r="E494">
        <f>HYPERLINK("https://www.otodom.pl/pl/oferta/rezerwacja-3-pokoje-botanik-1-pietro-winda-ID4r5NW", "https://www.otodom.pl/pl/oferta/rezerwacja-3-pokoje-botanik-1-pietro-winda-ID4r5NW")</f>
        <v/>
      </c>
      <c r="F494" t="inlineStr">
        <is>
          <t>botanik</t>
        </is>
      </c>
      <c r="G494" t="inlineStr">
        <is>
          <t>Retkinia</t>
        </is>
      </c>
      <c r="H494" t="inlineStr">
        <is>
          <t>Retkinia</t>
        </is>
      </c>
      <c r="I494" t="inlineStr">
        <is>
          <t>TAK</t>
        </is>
      </c>
      <c r="J494" t="inlineStr">
        <is>
          <t>TAK</t>
        </is>
      </c>
      <c r="K494" t="n">
        <v>789635952</v>
      </c>
      <c r="L494" t="n">
        <v>440000</v>
      </c>
      <c r="M494" t="n">
        <v>7838.945305540708</v>
      </c>
      <c r="N494" t="n">
        <v>56.13</v>
      </c>
      <c r="O494" t="inlineStr">
        <is>
          <t>3+k</t>
        </is>
      </c>
      <c r="P494" t="n">
        <v>1</v>
      </c>
      <c r="Q494" t="inlineStr">
        <is>
          <t>Nie da się zamieszkać</t>
        </is>
      </c>
    </row>
    <row r="495">
      <c r="A495" t="n">
        <v>494</v>
      </c>
      <c r="B495" s="3" t="n">
        <v>45483</v>
      </c>
      <c r="C495" s="3" t="n">
        <v>45522</v>
      </c>
      <c r="D495" t="inlineStr">
        <is>
          <t>https://www.olx.pl/d/oferta/m2-olimpijska-235tys-CID3-ID10XfZ0.html</t>
        </is>
      </c>
      <c r="E495">
        <f>HYPERLINK("https://www.olx.pl/d/oferta/m2-olimpijska-235tys-CID3-ID10XfZ0.html", "https://www.olx.pl/d/oferta/m2-olimpijska-235tys-CID3-ID10XfZ0.html")</f>
        <v/>
      </c>
      <c r="F495" t="inlineStr">
        <is>
          <t>olimpijska</t>
        </is>
      </c>
      <c r="G495" t="inlineStr">
        <is>
          <t>Retkinia</t>
        </is>
      </c>
      <c r="H495" t="inlineStr">
        <is>
          <t>Retkinia blisko centrum</t>
        </is>
      </c>
      <c r="I495" t="inlineStr">
        <is>
          <t>TAK</t>
        </is>
      </c>
      <c r="J495" t="inlineStr">
        <is>
          <t>NIE</t>
        </is>
      </c>
      <c r="K495" t="n">
        <v>607137367</v>
      </c>
      <c r="L495" t="n">
        <v>235000</v>
      </c>
      <c r="M495" t="n">
        <v>7580.645161290323</v>
      </c>
      <c r="N495" t="n">
        <v>31</v>
      </c>
      <c r="O495" t="inlineStr">
        <is>
          <t>1+k</t>
        </is>
      </c>
      <c r="P495" t="n">
        <v>6</v>
      </c>
      <c r="Q495" t="inlineStr">
        <is>
          <t>Nie da się zamieszkać</t>
        </is>
      </c>
    </row>
    <row r="496">
      <c r="A496" t="n">
        <v>495</v>
      </c>
      <c r="B496" s="3" t="n">
        <v>45483</v>
      </c>
      <c r="C496" s="3" t="n">
        <v>45506</v>
      </c>
      <c r="D496" t="inlineStr">
        <is>
          <t>https://www.otodom.pl/pl/oferta/sprzedam-2-pokoje-1-pietro-do-remontu-radogoszcz-ID4ru3Y.html</t>
        </is>
      </c>
      <c r="E496">
        <f>HYPERLINK("https://www.otodom.pl/pl/oferta/sprzedam-2-pokoje-1-pietro-do-remontu-radogoszcz-ID4ru3Y.html", "https://www.otodom.pl/pl/oferta/sprzedam-2-pokoje-1-pietro-do-remontu-radogoszcz-ID4ru3Y.html")</f>
        <v/>
      </c>
      <c r="F496" t="inlineStr">
        <is>
          <t>syrenki</t>
        </is>
      </c>
      <c r="G496" t="inlineStr">
        <is>
          <t>Bałuty</t>
        </is>
      </c>
      <c r="H496" t="inlineStr">
        <is>
          <t>Dalekie bałuty</t>
        </is>
      </c>
      <c r="I496" t="inlineStr">
        <is>
          <t>TAK</t>
        </is>
      </c>
      <c r="J496" t="inlineStr">
        <is>
          <t>NIE</t>
        </is>
      </c>
      <c r="K496" t="n">
        <v>511169015</v>
      </c>
      <c r="L496" t="n">
        <v>402900</v>
      </c>
      <c r="M496" t="n">
        <v>7957.732569622753</v>
      </c>
      <c r="N496" t="n">
        <v>50.63</v>
      </c>
      <c r="O496" t="inlineStr">
        <is>
          <t>2+k</t>
        </is>
      </c>
      <c r="P496" t="n">
        <v>1</v>
      </c>
      <c r="Q496" t="inlineStr">
        <is>
          <t>Nie da się zamieszkać</t>
        </is>
      </c>
      <c r="R496" t="inlineStr">
        <is>
          <t>15.07 było 415</t>
        </is>
      </c>
    </row>
    <row r="497">
      <c r="A497" t="n">
        <v>496</v>
      </c>
      <c r="B497" s="3" t="n">
        <v>45484</v>
      </c>
      <c r="C497" s="3" t="n">
        <v>45490</v>
      </c>
      <c r="D497" t="inlineStr">
        <is>
          <t>https://www.domiporta.pl/nieruchomosci/sprzedam-mieszkanie-dwupokojowe-lodz-widzew-46m2/155254771</t>
        </is>
      </c>
      <c r="E497">
        <f>HYPERLINK("https://www.domiporta.pl/nieruchomosci/sprzedam-mieszkanie-dwupokojowe-lodz-widzew-46m2/155254771", "https://www.domiporta.pl/nieruchomosci/sprzedam-mieszkanie-dwupokojowe-lodz-widzew-46m2/155254771")</f>
        <v/>
      </c>
      <c r="F497" t="inlineStr">
        <is>
          <t>zarzew</t>
        </is>
      </c>
      <c r="G497" t="inlineStr">
        <is>
          <t>Dąbrowa</t>
        </is>
      </c>
      <c r="H497" t="inlineStr">
        <is>
          <t>Dąbrowa</t>
        </is>
      </c>
      <c r="I497" t="inlineStr">
        <is>
          <t>TAK</t>
        </is>
      </c>
      <c r="J497" t="inlineStr">
        <is>
          <t>TAK</t>
        </is>
      </c>
      <c r="K497" t="n">
        <v>665505113</v>
      </c>
      <c r="L497" t="n">
        <v>295000</v>
      </c>
      <c r="M497" t="n">
        <v>6268.593285167871</v>
      </c>
      <c r="N497" t="n">
        <v>47.06</v>
      </c>
      <c r="O497" t="inlineStr">
        <is>
          <t>2+k</t>
        </is>
      </c>
      <c r="P497" t="n">
        <v>3</v>
      </c>
      <c r="Q497" t="inlineStr">
        <is>
          <t>Nie da się zamieszkać</t>
        </is>
      </c>
    </row>
    <row r="498">
      <c r="A498" t="n">
        <v>497</v>
      </c>
      <c r="B498" s="3" t="n">
        <v>45484</v>
      </c>
      <c r="C498" s="3" t="n">
        <v>45522</v>
      </c>
      <c r="D498" t="inlineStr">
        <is>
          <t>https://www.olx.pl/d/oferta/m-3-lodz-teofilow-ul-rojna-CID3-ID10YdoE.html?isPreviewActive=0&amp;sliderIndex=1</t>
        </is>
      </c>
      <c r="E498">
        <f>HYPERLINK("https://www.olx.pl/d/oferta/m-3-lodz-teofilow-ul-rojna-CID3-ID10YdoE.html?isPreviewActive=0&amp;sliderIndex=1", "https://www.olx.pl/d/oferta/m-3-lodz-teofilow-ul-rojna-CID3-ID10YdoE.html?isPreviewActive=0&amp;sliderIndex=1")</f>
        <v/>
      </c>
      <c r="F498" t="inlineStr">
        <is>
          <t>rojna</t>
        </is>
      </c>
      <c r="G498" t="inlineStr">
        <is>
          <t>Teofilów</t>
        </is>
      </c>
      <c r="H498" t="inlineStr">
        <is>
          <t>Teofilów</t>
        </is>
      </c>
      <c r="I498" t="inlineStr">
        <is>
          <t>TAK</t>
        </is>
      </c>
      <c r="J498" t="inlineStr">
        <is>
          <t>TAK</t>
        </is>
      </c>
      <c r="K498" t="n">
        <v>695950154</v>
      </c>
      <c r="L498" t="n">
        <v>280000</v>
      </c>
      <c r="M498" t="n">
        <v>7470.651013874067</v>
      </c>
      <c r="N498" t="n">
        <v>37.48</v>
      </c>
      <c r="O498" t="inlineStr">
        <is>
          <t>2+k</t>
        </is>
      </c>
      <c r="P498" t="n">
        <v>3</v>
      </c>
      <c r="Q498" t="inlineStr">
        <is>
          <t>Nie da się zamieszkać</t>
        </is>
      </c>
    </row>
    <row r="499">
      <c r="A499" t="n">
        <v>498</v>
      </c>
      <c r="B499" s="3" t="n">
        <v>45484</v>
      </c>
      <c r="D499" t="inlineStr">
        <is>
          <t>https://nieruchomosci.gratka.pl/nieruchomosci/mieszkanie-lodz-baluty-traktorowa/ob/35171445</t>
        </is>
      </c>
      <c r="E499">
        <f>HYPERLINK("https://nieruchomosci.gratka.pl/nieruchomosci/mieszkanie-lodz-baluty-traktorowa/ob/35171445", "https://nieruchomosci.gratka.pl/nieruchomosci/mieszkanie-lodz-baluty-traktorowa/ob/35171445")</f>
        <v/>
      </c>
      <c r="F499" t="inlineStr">
        <is>
          <t>traktorowa</t>
        </is>
      </c>
      <c r="G499" t="inlineStr">
        <is>
          <t>Teofilów</t>
        </is>
      </c>
      <c r="H499" t="inlineStr">
        <is>
          <t>Teofilów</t>
        </is>
      </c>
      <c r="I499" t="inlineStr">
        <is>
          <t>NIE</t>
        </is>
      </c>
      <c r="J499" t="inlineStr">
        <is>
          <t>TAK</t>
        </is>
      </c>
      <c r="K499" t="n">
        <v>500844148</v>
      </c>
      <c r="L499" t="n">
        <v>260000</v>
      </c>
      <c r="M499" t="n">
        <v>6842.105263157895</v>
      </c>
      <c r="N499" t="n">
        <v>38</v>
      </c>
      <c r="O499" t="inlineStr">
        <is>
          <t>2+k</t>
        </is>
      </c>
      <c r="P499" t="n">
        <v>9</v>
      </c>
      <c r="Q499" t="inlineStr">
        <is>
          <t>Nie da się zamieszkać</t>
        </is>
      </c>
    </row>
    <row r="500">
      <c r="A500" t="n">
        <v>499</v>
      </c>
      <c r="B500" s="3" t="n">
        <v>45484</v>
      </c>
      <c r="D500" t="inlineStr">
        <is>
          <t>https://www.otodom.pl/pl/oferta/na-sprzedaz-wyjatkowa-kawalerka-na-olechowie-ID4rwxs</t>
        </is>
      </c>
      <c r="E500">
        <f>HYPERLINK("https://www.otodom.pl/pl/oferta/na-sprzedaz-wyjatkowa-kawalerka-na-olechowie-ID4rwxs", "https://www.otodom.pl/pl/oferta/na-sprzedaz-wyjatkowa-kawalerka-na-olechowie-ID4rwxs")</f>
        <v/>
      </c>
      <c r="F500" t="inlineStr">
        <is>
          <t>wierzbowa</t>
        </is>
      </c>
      <c r="G500" t="inlineStr">
        <is>
          <t>Śródmieście</t>
        </is>
      </c>
      <c r="H500" t="inlineStr">
        <is>
          <t>Śródmieście</t>
        </is>
      </c>
      <c r="I500" t="inlineStr">
        <is>
          <t>NIE</t>
        </is>
      </c>
      <c r="J500" t="inlineStr">
        <is>
          <t>TAK</t>
        </is>
      </c>
      <c r="K500" t="n">
        <v>660728432</v>
      </c>
      <c r="L500" t="n">
        <v>279000</v>
      </c>
      <c r="M500" t="n">
        <v>7502.016671148159</v>
      </c>
      <c r="N500" t="n">
        <v>37.19</v>
      </c>
      <c r="O500" t="inlineStr">
        <is>
          <t>1+k</t>
        </is>
      </c>
      <c r="P500" t="n">
        <v>2</v>
      </c>
      <c r="Q500" t="inlineStr">
        <is>
          <t>Nie da się zamieszkać</t>
        </is>
      </c>
    </row>
    <row r="501">
      <c r="A501" t="n">
        <v>500</v>
      </c>
      <c r="B501" s="3" t="n">
        <v>45484</v>
      </c>
      <c r="C501" s="3" t="n">
        <v>45522</v>
      </c>
      <c r="D501" t="inlineStr">
        <is>
          <t>https://www.olx.pl/d/oferta/sloneczna-przestronna-kawalerka-przy-politechnice-CID3-ID10YsIJ.html</t>
        </is>
      </c>
      <c r="E501">
        <f>HYPERLINK("https://www.olx.pl/d/oferta/sloneczna-przestronna-kawalerka-przy-politechnice-CID3-ID10YsIJ.html", "https://www.olx.pl/d/oferta/sloneczna-przestronna-kawalerka-przy-politechnice-CID3-ID10YsIJ.html")</f>
        <v/>
      </c>
      <c r="F501" t="inlineStr">
        <is>
          <t>.</t>
        </is>
      </c>
      <c r="G501" t="inlineStr">
        <is>
          <t>Górna</t>
        </is>
      </c>
      <c r="H501" t="inlineStr">
        <is>
          <t>Górna blisko centrum</t>
        </is>
      </c>
      <c r="I501" t="inlineStr">
        <is>
          <t>TAK</t>
        </is>
      </c>
      <c r="J501" t="inlineStr">
        <is>
          <t>NIE</t>
        </is>
      </c>
      <c r="K501" t="n">
        <v>667353871</v>
      </c>
      <c r="L501" t="n">
        <v>235000</v>
      </c>
      <c r="M501" t="n">
        <v>5959.928988080143</v>
      </c>
      <c r="N501" t="n">
        <v>39.43</v>
      </c>
      <c r="O501" t="inlineStr">
        <is>
          <t>1+k</t>
        </is>
      </c>
      <c r="P501" t="n">
        <v>0</v>
      </c>
      <c r="Q501" t="inlineStr">
        <is>
          <t>Nie da się zamieszkać</t>
        </is>
      </c>
      <c r="R501" t="inlineStr">
        <is>
          <t xml:space="preserve">umówieni na 18.07 godz mniej wiecej 18. </t>
        </is>
      </c>
    </row>
    <row r="502">
      <c r="A502" t="n">
        <v>501</v>
      </c>
      <c r="B502" s="3" t="n">
        <v>45484</v>
      </c>
      <c r="D502" t="inlineStr">
        <is>
          <t>https://nieruchomosci.gratka.pl/nieruchomosci/mieszkanie-lodz-baluty-hipoteczna/ob/35172521</t>
        </is>
      </c>
      <c r="E502">
        <f>HYPERLINK("https://nieruchomosci.gratka.pl/nieruchomosci/mieszkanie-lodz-baluty-hipoteczna/ob/35172521", "https://nieruchomosci.gratka.pl/nieruchomosci/mieszkanie-lodz-baluty-hipoteczna/ob/35172521")</f>
        <v/>
      </c>
      <c r="F502" t="inlineStr">
        <is>
          <t>hipoteczna</t>
        </is>
      </c>
      <c r="G502" t="inlineStr">
        <is>
          <t>Bałuty</t>
        </is>
      </c>
      <c r="H502" t="inlineStr">
        <is>
          <t>Bałuty blisko centrum</t>
        </is>
      </c>
      <c r="I502" t="inlineStr">
        <is>
          <t>NIE</t>
        </is>
      </c>
      <c r="J502" t="inlineStr">
        <is>
          <t>TAK</t>
        </is>
      </c>
      <c r="K502" t="n">
        <v>531605525</v>
      </c>
      <c r="L502" t="n">
        <v>419000</v>
      </c>
      <c r="M502" t="n">
        <v>7350.877192982456</v>
      </c>
      <c r="N502" t="n">
        <v>57</v>
      </c>
      <c r="O502" t="inlineStr">
        <is>
          <t>3+k</t>
        </is>
      </c>
      <c r="P502" t="n">
        <v>9</v>
      </c>
      <c r="Q502" t="inlineStr">
        <is>
          <t>Nie da się zamieszkać</t>
        </is>
      </c>
      <c r="R502" t="inlineStr">
        <is>
          <t>było 425k</t>
        </is>
      </c>
    </row>
    <row r="503">
      <c r="A503" t="n">
        <v>502</v>
      </c>
      <c r="B503" s="3" t="n">
        <v>45484</v>
      </c>
      <c r="C503" s="3" t="n">
        <v>45532</v>
      </c>
      <c r="D503" t="inlineStr">
        <is>
          <t>https://www.google.pl/maps/place/Obornicka,+90-001+Łódź/@51.7880795,19.4289932,15.8z/data=!4m6!3m5!1s0x471bcabe7d972179:0x31b9b09b55ad2e45!8m2!3d51.7885359!4d19.4322919!16s%2Fg%2F1tdcvvwt?entry=ttu</t>
        </is>
      </c>
      <c r="E503">
        <f>HYPERLINK("https://www.google.pl/maps/place/Obornicka,+90-001+Łódź/@51.7880795,19.4289932,15.8z/data=!4m6!3m5!1s0x471bcabe7d972179:0x31b9b09b55ad2e45!8m2!3d51.7885359!4d19.4322919!16s%2Fg%2F1tdcvvwt?entry=ttu", "https://www.google.pl/maps/place/Obornicka,+90-001+Łódź/@51.7880795,19.4289932,15.8z/data=!4m6!3m5!1s0x471bcabe7d972179:0x31b9b09b55ad2e45!8m2!3d51.7885359!4d19.4322919!16s%2Fg%2F1tdcvvwt?entry=ttu")</f>
        <v/>
      </c>
      <c r="F503" t="inlineStr">
        <is>
          <t>obornicka</t>
        </is>
      </c>
      <c r="G503" t="inlineStr">
        <is>
          <t>Bałuty</t>
        </is>
      </c>
      <c r="H503" t="inlineStr">
        <is>
          <t>Bałuty blisko centrum</t>
        </is>
      </c>
      <c r="I503" t="inlineStr">
        <is>
          <t>TAK</t>
        </is>
      </c>
      <c r="J503" t="inlineStr">
        <is>
          <t>TAK</t>
        </is>
      </c>
      <c r="K503" t="n">
        <v>537660194</v>
      </c>
      <c r="L503" t="n">
        <v>350000</v>
      </c>
      <c r="M503" t="n">
        <v>7608.695652173913</v>
      </c>
      <c r="N503" t="n">
        <v>46</v>
      </c>
      <c r="O503" t="inlineStr">
        <is>
          <t>2+k</t>
        </is>
      </c>
      <c r="P503" t="n">
        <v>2</v>
      </c>
      <c r="Q503" t="inlineStr">
        <is>
          <t>Nie da się zamieszkać</t>
        </is>
      </c>
    </row>
    <row r="504">
      <c r="A504" t="n">
        <v>503</v>
      </c>
      <c r="B504" s="3" t="n">
        <v>45484</v>
      </c>
      <c r="C504" s="3" t="n">
        <v>45497</v>
      </c>
      <c r="D504" t="inlineStr">
        <is>
          <t>https://www.olx.pl/d/oferta/kawalerka-lodz-ul-mackiewicza-CID3-ID10YDAZ.html?isPreviewActive=0&amp;sliderIndex=1</t>
        </is>
      </c>
      <c r="E504">
        <f>HYPERLINK("https://www.olx.pl/d/oferta/kawalerka-lodz-ul-mackiewicza-CID3-ID10YDAZ.html?isPreviewActive=0&amp;sliderIndex=1", "https://www.olx.pl/d/oferta/kawalerka-lodz-ul-mackiewicza-CID3-ID10YDAZ.html?isPreviewActive=0&amp;sliderIndex=1")</f>
        <v/>
      </c>
      <c r="F504" t="inlineStr">
        <is>
          <t>mackiewicza</t>
        </is>
      </c>
      <c r="G504" t="inlineStr">
        <is>
          <t>Bałuty</t>
        </is>
      </c>
      <c r="H504" t="inlineStr">
        <is>
          <t>Bałuty</t>
        </is>
      </c>
      <c r="I504" t="inlineStr">
        <is>
          <t>TAK</t>
        </is>
      </c>
      <c r="J504" t="inlineStr">
        <is>
          <t>TAK</t>
        </is>
      </c>
      <c r="K504" t="n">
        <v>508632792</v>
      </c>
      <c r="L504" t="n">
        <v>255000</v>
      </c>
      <c r="M504" t="n">
        <v>7285.714285714285</v>
      </c>
      <c r="N504" t="n">
        <v>35</v>
      </c>
      <c r="O504" t="inlineStr">
        <is>
          <t>1+k</t>
        </is>
      </c>
      <c r="P504" t="n">
        <v>2</v>
      </c>
      <c r="Q504" t="inlineStr">
        <is>
          <t>Nie da się zamieszkać</t>
        </is>
      </c>
    </row>
    <row r="505">
      <c r="A505" t="n">
        <v>504</v>
      </c>
      <c r="B505" s="3" t="n">
        <v>45484</v>
      </c>
      <c r="C505" s="3" t="n">
        <v>45522</v>
      </c>
      <c r="D505" t="inlineStr">
        <is>
          <t>https://www.otodom.pl/pl/oferta/mieszkanie-42-42-m-lodz-ID4rwoI</t>
        </is>
      </c>
      <c r="E505">
        <f>HYPERLINK("https://www.otodom.pl/pl/oferta/mieszkanie-42-42-m-lodz-ID4rwoI", "https://www.otodom.pl/pl/oferta/mieszkanie-42-42-m-lodz-ID4rwoI")</f>
        <v/>
      </c>
      <c r="F505" t="inlineStr">
        <is>
          <t>motylowa</t>
        </is>
      </c>
      <c r="G505" t="inlineStr">
        <is>
          <t>Bałuty</t>
        </is>
      </c>
      <c r="H505" t="inlineStr">
        <is>
          <t>Dalekie bałuty</t>
        </is>
      </c>
      <c r="I505" t="inlineStr">
        <is>
          <t>TAK</t>
        </is>
      </c>
      <c r="J505" t="inlineStr">
        <is>
          <t>TAK</t>
        </is>
      </c>
      <c r="K505" t="n">
        <v>505725238</v>
      </c>
      <c r="L505" t="n">
        <v>325000</v>
      </c>
      <c r="M505" t="n">
        <v>7661.480433757662</v>
      </c>
      <c r="N505" t="n">
        <v>42.42</v>
      </c>
      <c r="O505" t="inlineStr">
        <is>
          <t>2+k</t>
        </is>
      </c>
      <c r="P505" t="n">
        <v>4</v>
      </c>
      <c r="Q505" t="inlineStr">
        <is>
          <t>Nie da się zamieszkać</t>
        </is>
      </c>
    </row>
    <row r="506">
      <c r="A506" t="n">
        <v>505</v>
      </c>
      <c r="B506" s="3" t="n">
        <v>45485</v>
      </c>
      <c r="C506" s="3" t="n">
        <v>45510</v>
      </c>
      <c r="D506" t="inlineStr">
        <is>
          <t>https://www.otodom.pl/pl/oferta/jasnebalkonrozkladowe-ID4rvC3.html</t>
        </is>
      </c>
      <c r="E506">
        <f>HYPERLINK("https://www.otodom.pl/pl/oferta/jasnebalkonrozkladowe-ID4rvC3.html", "https://www.otodom.pl/pl/oferta/jasnebalkonrozkladowe-ID4rvC3.html")</f>
        <v/>
      </c>
      <c r="F506" t="inlineStr">
        <is>
          <t>przemysłowa</t>
        </is>
      </c>
      <c r="G506" t="inlineStr">
        <is>
          <t>Bałuty</t>
        </is>
      </c>
      <c r="H506" t="inlineStr">
        <is>
          <t>Bałuty blisko centrum</t>
        </is>
      </c>
      <c r="I506" t="inlineStr">
        <is>
          <t>TAK</t>
        </is>
      </c>
      <c r="J506" t="inlineStr">
        <is>
          <t>TAK</t>
        </is>
      </c>
      <c r="K506" t="n">
        <v>730808986</v>
      </c>
      <c r="L506" t="n">
        <v>230000</v>
      </c>
      <c r="M506" t="n">
        <v>8193.801211257571</v>
      </c>
      <c r="N506" t="n">
        <v>28.07</v>
      </c>
      <c r="O506" t="inlineStr">
        <is>
          <t>1+k</t>
        </is>
      </c>
      <c r="P506" t="n">
        <v>5</v>
      </c>
      <c r="Q506" t="inlineStr">
        <is>
          <t>Puste</t>
        </is>
      </c>
    </row>
    <row r="507">
      <c r="A507" t="n">
        <v>506</v>
      </c>
      <c r="B507" s="3" t="n">
        <v>45485</v>
      </c>
      <c r="D507" t="inlineStr">
        <is>
          <t>https://szybko.pl/o/na-sprzedaz/lokal-mieszkalny+mieszkanie/Łódź+Widzew/oferta-15427998</t>
        </is>
      </c>
      <c r="E507">
        <f>HYPERLINK("https://szybko.pl/o/na-sprzedaz/lokal-mieszkalny+mieszkanie/Łódź+Widzew/oferta-15427998", "https://szybko.pl/o/na-sprzedaz/lokal-mieszkalny+mieszkanie/Łódź+Widzew/oferta-15427998")</f>
        <v/>
      </c>
      <c r="F507" t="inlineStr">
        <is>
          <t>ksiezna kinga</t>
        </is>
      </c>
      <c r="G507" t="inlineStr">
        <is>
          <t>Widzew</t>
        </is>
      </c>
      <c r="H507" t="inlineStr">
        <is>
          <t>Widzew</t>
        </is>
      </c>
      <c r="I507" t="inlineStr">
        <is>
          <t>NIE</t>
        </is>
      </c>
      <c r="J507" t="inlineStr">
        <is>
          <t>TAK</t>
        </is>
      </c>
      <c r="K507" t="n">
        <v>660728432</v>
      </c>
      <c r="L507" t="n">
        <v>279000</v>
      </c>
      <c r="M507" t="n">
        <v>7502.016671148159</v>
      </c>
      <c r="N507" t="n">
        <v>37.19</v>
      </c>
      <c r="O507" t="inlineStr">
        <is>
          <t>1+k</t>
        </is>
      </c>
      <c r="P507" t="n">
        <v>2</v>
      </c>
      <c r="Q507" t="inlineStr">
        <is>
          <t>Da się zamieszkać</t>
        </is>
      </c>
    </row>
    <row r="508">
      <c r="A508" t="n">
        <v>507</v>
      </c>
      <c r="B508" s="3" t="n">
        <v>45486</v>
      </c>
      <c r="C508" s="3" t="n">
        <v>45510</v>
      </c>
      <c r="D508" t="inlineStr">
        <is>
          <t>https://www.otodom.pl/pl/oferta/dwa-pokoje-przy-broniewskiego-lodz-ID4rxlY.html</t>
        </is>
      </c>
      <c r="E508">
        <f>HYPERLINK("https://www.otodom.pl/pl/oferta/dwa-pokoje-przy-broniewskiego-lodz-ID4rxlY.html", "https://www.otodom.pl/pl/oferta/dwa-pokoje-przy-broniewskiego-lodz-ID4rxlY.html")</f>
        <v/>
      </c>
      <c r="F508" t="inlineStr">
        <is>
          <t>Broniewskiego</t>
        </is>
      </c>
      <c r="G508" t="inlineStr">
        <is>
          <t>Górna</t>
        </is>
      </c>
      <c r="H508" t="inlineStr">
        <is>
          <t>Górna</t>
        </is>
      </c>
      <c r="I508" t="inlineStr">
        <is>
          <t>TAK</t>
        </is>
      </c>
      <c r="J508" t="inlineStr">
        <is>
          <t>TAK</t>
        </is>
      </c>
      <c r="K508" t="n">
        <v>575405675</v>
      </c>
      <c r="L508" t="n">
        <v>255000</v>
      </c>
      <c r="M508" t="n">
        <v>6923.703502579419</v>
      </c>
      <c r="N508" t="n">
        <v>36.83</v>
      </c>
      <c r="O508" t="inlineStr">
        <is>
          <t>2+k</t>
        </is>
      </c>
      <c r="P508" t="n">
        <v>3</v>
      </c>
      <c r="Q508" t="inlineStr">
        <is>
          <t>Nie da się zamieszkać</t>
        </is>
      </c>
      <c r="R508" t="inlineStr">
        <is>
          <t>03.08 było 257700 * 03.08 było 257700, Wspólnota, KW, czynsz 400zł, 2 balkony francuskie, okna na południowy zachód, NIE MA PROWIZJI dla kupującego, 250 póki co, więc dupa cena</t>
        </is>
      </c>
    </row>
    <row r="509">
      <c r="A509" t="n">
        <v>508</v>
      </c>
      <c r="B509" s="3" t="n">
        <v>45486</v>
      </c>
      <c r="C509" s="3" t="n">
        <v>45522</v>
      </c>
      <c r="D509" t="inlineStr">
        <is>
          <t>https://www.olx.pl/d/oferta/mieszkanie-m3-rozkladowe-46m2-CID3-ID11hDgI.html</t>
        </is>
      </c>
      <c r="E509">
        <f>HYPERLINK("https://www.olx.pl/d/oferta/mieszkanie-m3-rozkladowe-46m2-CID3-ID11hDgI.html", "https://www.olx.pl/d/oferta/mieszkanie-m3-rozkladowe-46m2-CID3-ID11hDgI.html")</f>
        <v/>
      </c>
      <c r="F509" t="inlineStr">
        <is>
          <t xml:space="preserve">rydzowa </t>
        </is>
      </c>
      <c r="G509" t="inlineStr">
        <is>
          <t>Teofilów</t>
        </is>
      </c>
      <c r="H509" t="inlineStr">
        <is>
          <t>Teofilów</t>
        </is>
      </c>
      <c r="I509" t="inlineStr">
        <is>
          <t>TAK</t>
        </is>
      </c>
      <c r="J509" t="inlineStr">
        <is>
          <t>TAK</t>
        </is>
      </c>
      <c r="K509" t="n">
        <v>503646771</v>
      </c>
      <c r="L509" t="n">
        <v>310000</v>
      </c>
      <c r="M509" t="n">
        <v>6739.130434782609</v>
      </c>
      <c r="N509" t="n">
        <v>46</v>
      </c>
      <c r="O509" t="inlineStr">
        <is>
          <t>2+k</t>
        </is>
      </c>
      <c r="P509" t="n">
        <v>5</v>
      </c>
      <c r="Q509" t="inlineStr">
        <is>
          <t>Nie da się zamieszkać</t>
        </is>
      </c>
      <c r="R509" t="inlineStr">
        <is>
          <t>03.08 było 319</t>
        </is>
      </c>
    </row>
    <row r="510">
      <c r="A510" t="n">
        <v>509</v>
      </c>
      <c r="B510" s="3" t="n">
        <v>45486</v>
      </c>
      <c r="C510" s="3" t="n">
        <v>45522</v>
      </c>
      <c r="D510" t="inlineStr">
        <is>
          <t>https://www.otodom.pl/pl/oferta/otwarta-przestrzen-dla-artystycznej-duszy-przy-asp-ID4rxoC.html</t>
        </is>
      </c>
      <c r="E510">
        <f>HYPERLINK("https://www.otodom.pl/pl/oferta/otwarta-przestrzen-dla-artystycznej-duszy-przy-asp-ID4rxoC.html", "https://www.otodom.pl/pl/oferta/otwarta-przestrzen-dla-artystycznej-duszy-przy-asp-ID4rxoC.html")</f>
        <v/>
      </c>
      <c r="F510" t="inlineStr">
        <is>
          <t>sporna</t>
        </is>
      </c>
      <c r="G510" t="inlineStr">
        <is>
          <t>Bałuty</t>
        </is>
      </c>
      <c r="H510" t="inlineStr">
        <is>
          <t>Bałuty blisko centrum</t>
        </is>
      </c>
      <c r="I510" t="inlineStr">
        <is>
          <t>TAK</t>
        </is>
      </c>
      <c r="J510" t="inlineStr">
        <is>
          <t>TAK</t>
        </is>
      </c>
      <c r="K510" t="n">
        <v>794970970</v>
      </c>
      <c r="L510" t="n">
        <v>261000</v>
      </c>
      <c r="M510" t="n">
        <v>6812.842599843382</v>
      </c>
      <c r="N510" t="n">
        <v>38.31</v>
      </c>
      <c r="O510" t="inlineStr">
        <is>
          <t>1+k</t>
        </is>
      </c>
      <c r="P510" t="n">
        <v>2</v>
      </c>
      <c r="Q510" t="inlineStr">
        <is>
          <t>Nie da się zamieszkać</t>
        </is>
      </c>
    </row>
    <row r="511">
      <c r="A511" t="n">
        <v>510</v>
      </c>
      <c r="B511" s="3" t="n">
        <v>45486</v>
      </c>
      <c r="C511" s="3" t="n">
        <v>45497</v>
      </c>
      <c r="D511" t="inlineStr">
        <is>
          <t>https://www.otodom.pl/pl/oferta/rozkladowe-mieszkanie-atrakcyjna-lokalizacja-50m-ID4rxA3</t>
        </is>
      </c>
      <c r="E511">
        <f>HYPERLINK("https://www.otodom.pl/pl/oferta/rozkladowe-mieszkanie-atrakcyjna-lokalizacja-50m-ID4rxA3", "https://www.otodom.pl/pl/oferta/rozkladowe-mieszkanie-atrakcyjna-lokalizacja-50m-ID4rxA3")</f>
        <v/>
      </c>
      <c r="F511" t="inlineStr">
        <is>
          <t>uniwersytecka</t>
        </is>
      </c>
      <c r="G511" t="inlineStr">
        <is>
          <t>Śródmieście</t>
        </is>
      </c>
      <c r="H511" t="inlineStr">
        <is>
          <t>Śródmieście</t>
        </is>
      </c>
      <c r="I511" t="inlineStr">
        <is>
          <t>TAK</t>
        </is>
      </c>
      <c r="J511" t="inlineStr">
        <is>
          <t>NIE</t>
        </is>
      </c>
      <c r="K511" t="n">
        <v>601350497</v>
      </c>
      <c r="L511" t="n">
        <v>350000</v>
      </c>
      <c r="M511" t="n">
        <v>6916.99604743083</v>
      </c>
      <c r="N511" t="n">
        <v>50.6</v>
      </c>
      <c r="O511" t="inlineStr">
        <is>
          <t>2+k</t>
        </is>
      </c>
      <c r="P511" t="n">
        <v>2</v>
      </c>
      <c r="Q511" t="inlineStr">
        <is>
          <t>Nie da się zamieszkać</t>
        </is>
      </c>
    </row>
    <row r="512">
      <c r="A512" t="n">
        <v>511</v>
      </c>
      <c r="B512" s="3" t="n">
        <v>45486</v>
      </c>
      <c r="C512" s="3" t="n">
        <v>45522</v>
      </c>
      <c r="D512" t="inlineStr">
        <is>
          <t>https://nieruchomosci.gratka.pl/nieruchomosci/mieszkanie-lodz-gorna-ignacego-paderewskiego/oi/35196151</t>
        </is>
      </c>
      <c r="E512">
        <f>HYPERLINK("https://nieruchomosci.gratka.pl/nieruchomosci/mieszkanie-lodz-gorna-ignacego-paderewskiego/oi/35196151", "https://nieruchomosci.gratka.pl/nieruchomosci/mieszkanie-lodz-gorna-ignacego-paderewskiego/oi/35196151")</f>
        <v/>
      </c>
      <c r="F512" t="inlineStr">
        <is>
          <t>paderewskiego</t>
        </is>
      </c>
      <c r="G512" t="inlineStr">
        <is>
          <t>Górna</t>
        </is>
      </c>
      <c r="H512" t="inlineStr">
        <is>
          <t>Górna</t>
        </is>
      </c>
      <c r="I512" t="inlineStr">
        <is>
          <t>TAK</t>
        </is>
      </c>
      <c r="J512" t="inlineStr">
        <is>
          <t>NIE</t>
        </is>
      </c>
      <c r="K512" t="n">
        <v>509061078</v>
      </c>
      <c r="L512" t="n">
        <v>398000</v>
      </c>
      <c r="M512" t="n">
        <v>7236.363636363636</v>
      </c>
      <c r="N512" t="n">
        <v>55</v>
      </c>
      <c r="O512" t="inlineStr">
        <is>
          <t>3+k</t>
        </is>
      </c>
      <c r="P512" t="n">
        <v>2</v>
      </c>
      <c r="Q512" t="inlineStr">
        <is>
          <t>Da się zamieszkać</t>
        </is>
      </c>
    </row>
    <row r="513">
      <c r="A513" t="n">
        <v>512</v>
      </c>
      <c r="B513" s="3" t="n">
        <v>45486</v>
      </c>
      <c r="C513" s="3" t="n">
        <v>45532</v>
      </c>
      <c r="D513" t="inlineStr">
        <is>
          <t>https://www.okolica.pl/offer/show/58801-S-9bef7/formular</t>
        </is>
      </c>
      <c r="E513">
        <f>HYPERLINK("https://www.okolica.pl/offer/show/58801-S-9bef7/formular", "https://www.okolica.pl/offer/show/58801-S-9bef7/formular")</f>
        <v/>
      </c>
      <c r="F513" t="inlineStr">
        <is>
          <t>klonowa</t>
        </is>
      </c>
      <c r="G513" t="inlineStr">
        <is>
          <t>Bałuty</t>
        </is>
      </c>
      <c r="H513" t="inlineStr">
        <is>
          <t>Bałuty blisko centrum</t>
        </is>
      </c>
      <c r="I513" t="inlineStr">
        <is>
          <t>TAK</t>
        </is>
      </c>
      <c r="J513" t="inlineStr">
        <is>
          <t>TAK</t>
        </is>
      </c>
      <c r="K513" t="n">
        <v>602787766</v>
      </c>
      <c r="L513" t="n">
        <v>322000</v>
      </c>
      <c r="M513" t="n">
        <v>7488.372093023256</v>
      </c>
      <c r="N513" t="n">
        <v>43</v>
      </c>
      <c r="O513" t="inlineStr">
        <is>
          <t>2+k</t>
        </is>
      </c>
      <c r="P513" t="n">
        <v>1</v>
      </c>
      <c r="Q513" t="inlineStr">
        <is>
          <t>Nie da się zamieszkać</t>
        </is>
      </c>
    </row>
    <row r="514">
      <c r="A514" t="n">
        <v>513</v>
      </c>
      <c r="B514" s="3" t="n">
        <v>45487</v>
      </c>
      <c r="D514" t="inlineStr">
        <is>
          <t>https://www.morizon.pl/oferta/sprzedaz-mieszkanie-lodz-widzew-gen-stefana-grota-roweckiego-37m2-mzn2044173318</t>
        </is>
      </c>
      <c r="E514">
        <f>HYPERLINK("https://www.morizon.pl/oferta/sprzedaz-mieszkanie-lodz-widzew-gen-stefana-grota-roweckiego-37m2-mzn2044173318", "https://www.morizon.pl/oferta/sprzedaz-mieszkanie-lodz-widzew-gen-stefana-grota-roweckiego-37m2-mzn2044173318")</f>
        <v/>
      </c>
      <c r="F514" t="inlineStr">
        <is>
          <t>grota rowieckiego</t>
        </is>
      </c>
      <c r="G514" t="inlineStr">
        <is>
          <t>Widzew</t>
        </is>
      </c>
      <c r="H514" t="inlineStr">
        <is>
          <t>Widzew blisko centrum</t>
        </is>
      </c>
      <c r="I514" t="inlineStr">
        <is>
          <t>NIE</t>
        </is>
      </c>
      <c r="J514" t="inlineStr">
        <is>
          <t>NIE</t>
        </is>
      </c>
      <c r="K514" t="n">
        <v>504657249</v>
      </c>
      <c r="L514" t="n">
        <v>265000</v>
      </c>
      <c r="M514" t="n">
        <v>7162.162162162163</v>
      </c>
      <c r="N514" t="n">
        <v>37</v>
      </c>
      <c r="O514" t="inlineStr">
        <is>
          <t>2+k</t>
        </is>
      </c>
      <c r="P514" t="n">
        <v>4</v>
      </c>
      <c r="Q514" t="inlineStr">
        <is>
          <t>Da się zamieszkać</t>
        </is>
      </c>
    </row>
    <row r="515">
      <c r="A515" t="n">
        <v>514</v>
      </c>
      <c r="B515" s="3" t="n">
        <v>45487</v>
      </c>
      <c r="C515" s="3" t="n">
        <v>45506</v>
      </c>
      <c r="D515" t="inlineStr">
        <is>
          <t>https://www.olx.pl/d/oferta/sprzedam-m3-lodz-dabrowa-CID3-ID110yF6.html?isPreviewActive=0&amp;sliderIndex=6</t>
        </is>
      </c>
      <c r="E515">
        <f>HYPERLINK("https://www.olx.pl/d/oferta/sprzedam-m3-lodz-dabrowa-CID3-ID110yF6.html?isPreviewActive=0&amp;sliderIndex=6", "https://www.olx.pl/d/oferta/sprzedam-m3-lodz-dabrowa-CID3-ID110yF6.html?isPreviewActive=0&amp;sliderIndex=6")</f>
        <v/>
      </c>
      <c r="F515" t="inlineStr">
        <is>
          <t xml:space="preserve">dąbrowskiego </t>
        </is>
      </c>
      <c r="G515" t="inlineStr">
        <is>
          <t>Dąbrowa</t>
        </is>
      </c>
      <c r="H515" t="inlineStr">
        <is>
          <t>Dąbrowa</t>
        </is>
      </c>
      <c r="I515" t="inlineStr">
        <is>
          <t>TAK</t>
        </is>
      </c>
      <c r="J515" t="inlineStr">
        <is>
          <t>NIE</t>
        </is>
      </c>
      <c r="K515" t="n">
        <v>603197433</v>
      </c>
      <c r="L515" t="n">
        <v>292000</v>
      </c>
      <c r="M515" t="n">
        <v>7849.462365591397</v>
      </c>
      <c r="N515" t="n">
        <v>37.2</v>
      </c>
      <c r="O515" t="inlineStr">
        <is>
          <t>2+k</t>
        </is>
      </c>
      <c r="P515" t="n">
        <v>1</v>
      </c>
      <c r="Q515" t="inlineStr">
        <is>
          <t>Nie da się zamieszkać</t>
        </is>
      </c>
    </row>
    <row r="516">
      <c r="A516" t="n">
        <v>515</v>
      </c>
      <c r="B516" s="3" t="n">
        <v>45487</v>
      </c>
      <c r="C516" s="3" t="n">
        <v>45506</v>
      </c>
      <c r="D516" t="inlineStr">
        <is>
          <t>https://nieruchomosci.gratka.pl/nieruchomosci/mieszkanie-lodz-baluty-lniana/ob/35198429</t>
        </is>
      </c>
      <c r="E516">
        <f>HYPERLINK("https://nieruchomosci.gratka.pl/nieruchomosci/mieszkanie-lodz-baluty-lniana/ob/35198429", "https://nieruchomosci.gratka.pl/nieruchomosci/mieszkanie-lodz-baluty-lniana/ob/35198429")</f>
        <v/>
      </c>
      <c r="F516" t="inlineStr">
        <is>
          <t>lniana</t>
        </is>
      </c>
      <c r="G516" t="inlineStr">
        <is>
          <t>Teofilów</t>
        </is>
      </c>
      <c r="H516" t="inlineStr">
        <is>
          <t>Teofilów</t>
        </is>
      </c>
      <c r="I516" t="inlineStr">
        <is>
          <t>TAK</t>
        </is>
      </c>
      <c r="J516" t="inlineStr">
        <is>
          <t>TAK</t>
        </is>
      </c>
      <c r="K516" t="n">
        <v>732850551</v>
      </c>
      <c r="L516" t="n">
        <v>199000</v>
      </c>
      <c r="M516" t="n">
        <v>7370.37037037037</v>
      </c>
      <c r="N516" t="n">
        <v>27</v>
      </c>
      <c r="O516" t="inlineStr">
        <is>
          <t>1+k</t>
        </is>
      </c>
      <c r="P516" t="n">
        <v>2</v>
      </c>
      <c r="Q516" t="inlineStr">
        <is>
          <t>Nie da się zamieszkać</t>
        </is>
      </c>
      <c r="R516" t="inlineStr">
        <is>
          <t xml:space="preserve">23.07 było 205k </t>
        </is>
      </c>
    </row>
    <row r="517">
      <c r="A517" t="n">
        <v>516</v>
      </c>
      <c r="B517" s="3" t="n">
        <v>45488</v>
      </c>
      <c r="D517" t="inlineStr">
        <is>
          <t>https://www.otodom.pl/pl/oferta/mieszkanie-51-16-m2-na-sprzedaz-lodz-ID4ryk8</t>
        </is>
      </c>
      <c r="E517">
        <f>HYPERLINK("https://www.otodom.pl/pl/oferta/mieszkanie-51-16-m2-na-sprzedaz-lodz-ID4ryk8", "https://www.otodom.pl/pl/oferta/mieszkanie-51-16-m2-na-sprzedaz-lodz-ID4ryk8")</f>
        <v/>
      </c>
      <c r="F517" t="inlineStr">
        <is>
          <t>smocza</t>
        </is>
      </c>
      <c r="G517" t="inlineStr">
        <is>
          <t>Górna</t>
        </is>
      </c>
      <c r="H517" t="inlineStr">
        <is>
          <t>Górna</t>
        </is>
      </c>
      <c r="I517" t="inlineStr">
        <is>
          <t>NIE</t>
        </is>
      </c>
      <c r="J517" t="inlineStr">
        <is>
          <t>TAK</t>
        </is>
      </c>
      <c r="K517" t="n">
        <v>661301332</v>
      </c>
      <c r="L517" t="n">
        <v>390000</v>
      </c>
      <c r="M517" t="n">
        <v>7623.143080531666</v>
      </c>
      <c r="N517" t="n">
        <v>51.16</v>
      </c>
      <c r="O517" t="inlineStr">
        <is>
          <t>2+k</t>
        </is>
      </c>
      <c r="P517" t="n">
        <v>5</v>
      </c>
      <c r="Q517" t="inlineStr">
        <is>
          <t>Nie da się zamieszkać</t>
        </is>
      </c>
      <c r="R517" t="inlineStr">
        <is>
          <t>16.08 było 395k</t>
        </is>
      </c>
    </row>
    <row r="518">
      <c r="A518" t="n">
        <v>517</v>
      </c>
      <c r="B518" s="3" t="n">
        <v>45488</v>
      </c>
      <c r="C518" s="3" t="n">
        <v>45522</v>
      </c>
      <c r="D518" t="inlineStr">
        <is>
          <t>https://www.otodom.pl/pl/oferta/bezposrednio-ID4qK8x.html</t>
        </is>
      </c>
      <c r="E518">
        <f>HYPERLINK("https://www.otodom.pl/pl/oferta/bezposrednio-ID4qK8x.html", "https://www.otodom.pl/pl/oferta/bezposrednio-ID4qK8x.html")</f>
        <v/>
      </c>
      <c r="F518" t="inlineStr">
        <is>
          <t>przedzalniana</t>
        </is>
      </c>
      <c r="G518" t="inlineStr">
        <is>
          <t>Górna</t>
        </is>
      </c>
      <c r="H518" t="inlineStr">
        <is>
          <t>Górna blisko centrum</t>
        </is>
      </c>
      <c r="I518" t="inlineStr">
        <is>
          <t>TAK</t>
        </is>
      </c>
      <c r="J518" t="inlineStr">
        <is>
          <t>NIE</t>
        </is>
      </c>
      <c r="K518" t="n">
        <v>602720474</v>
      </c>
      <c r="L518" t="n">
        <v>455000</v>
      </c>
      <c r="M518" t="n">
        <v>7982.456140350877</v>
      </c>
      <c r="N518" t="n">
        <v>57</v>
      </c>
      <c r="O518" t="inlineStr">
        <is>
          <t>2+k</t>
        </is>
      </c>
      <c r="P518" t="n">
        <v>2</v>
      </c>
      <c r="Q518" t="inlineStr">
        <is>
          <t>Nie da się zamieszkać</t>
        </is>
      </c>
    </row>
    <row r="519">
      <c r="A519" t="n">
        <v>518</v>
      </c>
      <c r="B519" s="3" t="n">
        <v>45488</v>
      </c>
      <c r="C519" s="3" t="n">
        <v>45522</v>
      </c>
      <c r="D519" t="inlineStr">
        <is>
          <t>https://www.okolica.pl/offer/show/33885-S-XYZO519/formular</t>
        </is>
      </c>
      <c r="E519">
        <f>HYPERLINK("https://www.okolica.pl/offer/show/33885-S-XYZO519/formular", "https://www.okolica.pl/offer/show/33885-S-XYZO519/formular")</f>
        <v/>
      </c>
      <c r="F519" t="inlineStr">
        <is>
          <t>narciarska</t>
        </is>
      </c>
      <c r="G519" t="inlineStr">
        <is>
          <t>Retkinia</t>
        </is>
      </c>
      <c r="H519" t="inlineStr">
        <is>
          <t>Retkinia blisko centrum</t>
        </is>
      </c>
      <c r="I519" t="inlineStr">
        <is>
          <t>TAK</t>
        </is>
      </c>
      <c r="J519" t="inlineStr">
        <is>
          <t>NIE</t>
        </is>
      </c>
      <c r="K519" t="n">
        <v>883376134</v>
      </c>
      <c r="L519" t="n">
        <v>355000</v>
      </c>
      <c r="M519" t="n">
        <v>6592.386258124419</v>
      </c>
      <c r="N519" t="n">
        <v>53.85</v>
      </c>
      <c r="O519" t="inlineStr">
        <is>
          <t>2+k</t>
        </is>
      </c>
      <c r="P519" t="n">
        <v>2</v>
      </c>
      <c r="Q519" t="inlineStr">
        <is>
          <t>Nie da się zamieszkać</t>
        </is>
      </c>
      <c r="R519" t="inlineStr">
        <is>
          <t xml:space="preserve">kontakt 22.07 ma być podpisana umowa rezerwacyjna w dniu 23.07.  Można dzwonić 24.07 zapytac. </t>
        </is>
      </c>
    </row>
    <row r="520">
      <c r="A520" t="n">
        <v>519</v>
      </c>
      <c r="B520" s="3" t="n">
        <v>45488</v>
      </c>
      <c r="D520" t="inlineStr">
        <is>
          <t>https://www.otodom.pl/pl/oferta/2-pokoje-37m2-przy-parku-podolskim-ID4ryKP</t>
        </is>
      </c>
      <c r="E520">
        <f>HYPERLINK("https://www.otodom.pl/pl/oferta/2-pokoje-37m2-przy-parku-podolskim-ID4ryKP", "https://www.otodom.pl/pl/oferta/2-pokoje-37m2-przy-parku-podolskim-ID4ryKP")</f>
        <v/>
      </c>
      <c r="F520" t="inlineStr">
        <is>
          <t>rodakowskiego</t>
        </is>
      </c>
      <c r="G520" t="inlineStr">
        <is>
          <t>Dąbrowa</t>
        </is>
      </c>
      <c r="H520" t="inlineStr">
        <is>
          <t>Dąbrowa</t>
        </is>
      </c>
      <c r="I520" t="inlineStr">
        <is>
          <t>NIE</t>
        </is>
      </c>
      <c r="J520" t="inlineStr">
        <is>
          <t>NIE</t>
        </is>
      </c>
      <c r="K520" t="n">
        <v>570888544</v>
      </c>
      <c r="L520" t="n">
        <v>275000</v>
      </c>
      <c r="M520" t="n">
        <v>7432.432432432433</v>
      </c>
      <c r="N520" t="n">
        <v>37</v>
      </c>
      <c r="O520" t="inlineStr">
        <is>
          <t>2+k</t>
        </is>
      </c>
      <c r="P520" t="n">
        <v>3</v>
      </c>
      <c r="Q520" t="inlineStr">
        <is>
          <t>Nie da się zamieszkać</t>
        </is>
      </c>
    </row>
    <row r="521">
      <c r="A521" t="n">
        <v>520</v>
      </c>
      <c r="B521" s="3" t="n">
        <v>45488</v>
      </c>
      <c r="C521" s="3" t="n">
        <v>45522</v>
      </c>
      <c r="D521" t="inlineStr">
        <is>
          <t>https://sprzedajemy.pl/mieszkanie-45-m2-ul-olsztynska-okazja-lodz-4-1b8e55-6fpbc4-nr69832766</t>
        </is>
      </c>
      <c r="E521">
        <f>HYPERLINK("https://sprzedajemy.pl/mieszkanie-45-m2-ul-olsztynska-okazja-lodz-4-1b8e55-6fpbc4-nr69832766", "https://sprzedajemy.pl/mieszkanie-45-m2-ul-olsztynska-okazja-lodz-4-1b8e55-6fpbc4-nr69832766")</f>
        <v/>
      </c>
      <c r="F521" t="inlineStr">
        <is>
          <t>olsztyńska</t>
        </is>
      </c>
      <c r="G521" t="inlineStr">
        <is>
          <t>Bałuty</t>
        </is>
      </c>
      <c r="H521" t="inlineStr">
        <is>
          <t>Bałuty</t>
        </is>
      </c>
      <c r="I521" t="inlineStr">
        <is>
          <t>TAK</t>
        </is>
      </c>
      <c r="J521" t="inlineStr">
        <is>
          <t>TAK</t>
        </is>
      </c>
      <c r="K521" t="n">
        <v>668905720</v>
      </c>
      <c r="L521" t="n">
        <v>309000</v>
      </c>
      <c r="M521" t="n">
        <v>6866.666666666667</v>
      </c>
      <c r="N521" t="n">
        <v>45</v>
      </c>
      <c r="O521" t="inlineStr">
        <is>
          <t>2+k</t>
        </is>
      </c>
      <c r="P521" t="n">
        <v>0</v>
      </c>
      <c r="Q521" t="inlineStr">
        <is>
          <t>Nie da się zamieszkać</t>
        </is>
      </c>
    </row>
    <row r="522">
      <c r="A522" t="n">
        <v>521</v>
      </c>
      <c r="B522" s="3" t="n">
        <v>45488</v>
      </c>
      <c r="C522" s="3" t="n">
        <v>45497</v>
      </c>
      <c r="D522" t="inlineStr">
        <is>
          <t>https://www.olx.pl/d/oferta/sprzedam-mieszkanie-na-widzewie-CID3-ID111z9p.html</t>
        </is>
      </c>
      <c r="E522">
        <f>HYPERLINK("https://www.olx.pl/d/oferta/sprzedam-mieszkanie-na-widzewie-CID3-ID111z9p.html", "https://www.olx.pl/d/oferta/sprzedam-mieszkanie-na-widzewie-CID3-ID111z9p.html")</f>
        <v/>
      </c>
      <c r="F522" t="inlineStr">
        <is>
          <t>adwentowicza</t>
        </is>
      </c>
      <c r="G522" t="inlineStr">
        <is>
          <t>Widzew</t>
        </is>
      </c>
      <c r="H522" t="inlineStr">
        <is>
          <t>Widzew</t>
        </is>
      </c>
      <c r="I522" t="inlineStr">
        <is>
          <t>TAK</t>
        </is>
      </c>
      <c r="J522" t="inlineStr">
        <is>
          <t>NIE</t>
        </is>
      </c>
      <c r="K522" t="n">
        <v>609040252</v>
      </c>
      <c r="L522" t="n">
        <v>425000</v>
      </c>
      <c r="M522" t="n">
        <v>7456.140350877193</v>
      </c>
      <c r="N522" t="n">
        <v>57</v>
      </c>
      <c r="O522" t="inlineStr">
        <is>
          <t>3+k</t>
        </is>
      </c>
      <c r="P522" t="n">
        <v>4</v>
      </c>
      <c r="Q522" t="inlineStr">
        <is>
          <t>Nie da się zamieszkać</t>
        </is>
      </c>
    </row>
    <row r="523">
      <c r="A523" t="n">
        <v>522</v>
      </c>
      <c r="B523" s="3" t="n">
        <v>45488</v>
      </c>
      <c r="D523" t="inlineStr">
        <is>
          <t>https://www.domiporta.pl/nieruchomosci/sprzedam-mieszkanie-dwupokojowe-lodz-gorna-51m2/155262370</t>
        </is>
      </c>
      <c r="E523">
        <f>HYPERLINK("https://www.domiporta.pl/nieruchomosci/sprzedam-mieszkanie-dwupokojowe-lodz-gorna-51m2/155262370", "https://www.domiporta.pl/nieruchomosci/sprzedam-mieszkanie-dwupokojowe-lodz-gorna-51m2/155262370")</f>
        <v/>
      </c>
      <c r="F523" t="inlineStr">
        <is>
          <t>.</t>
        </is>
      </c>
      <c r="G523" t="inlineStr">
        <is>
          <t>Górna</t>
        </is>
      </c>
      <c r="H523" t="inlineStr">
        <is>
          <t>Górna</t>
        </is>
      </c>
      <c r="I523" t="inlineStr">
        <is>
          <t>NIE</t>
        </is>
      </c>
      <c r="J523" t="inlineStr">
        <is>
          <t>TAK</t>
        </is>
      </c>
      <c r="K523" t="n">
        <v>509289025</v>
      </c>
      <c r="L523" t="n">
        <v>357000</v>
      </c>
      <c r="M523" t="n">
        <v>6986.301369863014</v>
      </c>
      <c r="N523" t="n">
        <v>51.1</v>
      </c>
      <c r="O523" t="inlineStr">
        <is>
          <t>2+k</t>
        </is>
      </c>
      <c r="P523" t="n">
        <v>0</v>
      </c>
      <c r="Q523" t="inlineStr">
        <is>
          <t>Nie da się zamieszkać</t>
        </is>
      </c>
    </row>
    <row r="524">
      <c r="A524" t="n">
        <v>523</v>
      </c>
      <c r="B524" s="3" t="n">
        <v>45488</v>
      </c>
      <c r="D524" t="inlineStr">
        <is>
          <t>https://www.otodom.pl/pl/oferta/m-3-zabieniec-do-wlasnej-aranzacji-ID4rYzT</t>
        </is>
      </c>
      <c r="E524">
        <f>HYPERLINK("https://www.otodom.pl/pl/oferta/m-3-zabieniec-do-wlasnej-aranzacji-ID4rYzT", "https://www.otodom.pl/pl/oferta/m-3-zabieniec-do-wlasnej-aranzacji-ID4rYzT")</f>
        <v/>
      </c>
      <c r="F524" t="inlineStr">
        <is>
          <t>turoszowska</t>
        </is>
      </c>
      <c r="G524" t="inlineStr">
        <is>
          <t>Teofilów</t>
        </is>
      </c>
      <c r="H524" t="inlineStr">
        <is>
          <t>Teofilów</t>
        </is>
      </c>
      <c r="I524" t="inlineStr">
        <is>
          <t>NIE</t>
        </is>
      </c>
      <c r="J524" t="inlineStr">
        <is>
          <t>TAK</t>
        </is>
      </c>
      <c r="K524" t="n">
        <v>883120230</v>
      </c>
      <c r="L524" t="n">
        <v>239000</v>
      </c>
      <c r="M524" t="n">
        <v>6395.504415306396</v>
      </c>
      <c r="N524" t="n">
        <v>37.37</v>
      </c>
      <c r="O524" t="inlineStr">
        <is>
          <t>2+k</t>
        </is>
      </c>
      <c r="P524" t="n">
        <v>4</v>
      </c>
      <c r="Q524" t="inlineStr">
        <is>
          <t>Puste</t>
        </is>
      </c>
      <c r="R524" t="inlineStr">
        <is>
          <t>https://adresowo.pl/o/p2e9g4 numer do własciciela</t>
        </is>
      </c>
    </row>
    <row r="525">
      <c r="A525" t="n">
        <v>524</v>
      </c>
      <c r="B525" s="3" t="n">
        <v>45488</v>
      </c>
      <c r="D525" t="inlineStr">
        <is>
          <t>https://www.olx.pl/d/oferta/mieszkanie-45m-2-pokoje-baluty-CID3-ID111Koy.html</t>
        </is>
      </c>
      <c r="E525">
        <f>HYPERLINK("https://www.olx.pl/d/oferta/mieszkanie-45m-2-pokoje-baluty-CID3-ID111Koy.html", "https://www.olx.pl/d/oferta/mieszkanie-45m-2-pokoje-baluty-CID3-ID111Koy.html")</f>
        <v/>
      </c>
      <c r="F525" t="inlineStr">
        <is>
          <t>mackiewicza</t>
        </is>
      </c>
      <c r="G525" t="inlineStr">
        <is>
          <t>Bałuty</t>
        </is>
      </c>
      <c r="H525" t="inlineStr">
        <is>
          <t>Bałuty</t>
        </is>
      </c>
      <c r="I525" t="inlineStr">
        <is>
          <t>NIE</t>
        </is>
      </c>
      <c r="J525" t="inlineStr">
        <is>
          <t>NIE</t>
        </is>
      </c>
      <c r="K525" t="n">
        <v>510374179</v>
      </c>
      <c r="L525" t="n">
        <v>335000</v>
      </c>
      <c r="M525" t="n">
        <v>7444.444444444444</v>
      </c>
      <c r="N525" t="n">
        <v>45</v>
      </c>
      <c r="O525" t="inlineStr">
        <is>
          <t>2+k</t>
        </is>
      </c>
      <c r="P525" t="n">
        <v>0</v>
      </c>
      <c r="Q525" t="inlineStr">
        <is>
          <t>Nie da się zamieszkać</t>
        </is>
      </c>
      <c r="R525" t="inlineStr">
        <is>
          <t>22.07 było 350k</t>
        </is>
      </c>
      <c r="T525" t="inlineStr">
        <is>
          <t>794</t>
        </is>
      </c>
    </row>
    <row r="526">
      <c r="A526" t="n">
        <v>525</v>
      </c>
      <c r="B526" s="3" t="n">
        <v>45488</v>
      </c>
      <c r="D526" t="inlineStr">
        <is>
          <t>https://www.otodom.pl/pl/oferta/mieszkania-na-dolach-ID4rzaZ</t>
        </is>
      </c>
      <c r="E526">
        <f>HYPERLINK("https://www.otodom.pl/pl/oferta/mieszkania-na-dolach-ID4rzaZ", "https://www.otodom.pl/pl/oferta/mieszkania-na-dolach-ID4rzaZ")</f>
        <v/>
      </c>
      <c r="F526" t="inlineStr">
        <is>
          <t>zmienna</t>
        </is>
      </c>
      <c r="G526" t="inlineStr">
        <is>
          <t>Bałuty</t>
        </is>
      </c>
      <c r="H526" t="inlineStr">
        <is>
          <t>Bałuty blisko centrum</t>
        </is>
      </c>
      <c r="I526" t="inlineStr">
        <is>
          <t>NIE</t>
        </is>
      </c>
      <c r="J526" t="inlineStr">
        <is>
          <t>TAK</t>
        </is>
      </c>
      <c r="K526" t="n">
        <v>575701061</v>
      </c>
      <c r="L526" t="n">
        <v>370000</v>
      </c>
      <c r="M526" t="n">
        <v>7400</v>
      </c>
      <c r="N526" t="n">
        <v>50</v>
      </c>
      <c r="O526" t="inlineStr">
        <is>
          <t>2+k</t>
        </is>
      </c>
      <c r="P526" t="n">
        <v>3</v>
      </c>
      <c r="Q526" t="inlineStr">
        <is>
          <t>Nie da się zamieszkać</t>
        </is>
      </c>
      <c r="T526" t="inlineStr">
        <is>
          <t>814</t>
        </is>
      </c>
    </row>
    <row r="527">
      <c r="A527" t="n">
        <v>526</v>
      </c>
      <c r="B527" s="3" t="n">
        <v>45488</v>
      </c>
      <c r="C527" s="3" t="n">
        <v>45522</v>
      </c>
      <c r="D527" t="inlineStr">
        <is>
          <t>https://www.morizon.pl/oferta/sprzedaz-mieszkanie-lodz-widzew-gen-stefana-grota-roweckiego-36m2-mzn2044144406</t>
        </is>
      </c>
      <c r="E527">
        <f>HYPERLINK("https://www.morizon.pl/oferta/sprzedaz-mieszkanie-lodz-widzew-gen-stefana-grota-roweckiego-36m2-mzn2044144406", "https://www.morizon.pl/oferta/sprzedaz-mieszkanie-lodz-widzew-gen-stefana-grota-roweckiego-36m2-mzn2044144406")</f>
        <v/>
      </c>
      <c r="F527" t="inlineStr">
        <is>
          <t>srebrzyńska</t>
        </is>
      </c>
      <c r="G527" t="inlineStr">
        <is>
          <t>Polesie</t>
        </is>
      </c>
      <c r="H527" t="inlineStr">
        <is>
          <t>Polesie</t>
        </is>
      </c>
      <c r="I527" t="inlineStr">
        <is>
          <t>TAK</t>
        </is>
      </c>
      <c r="J527" t="inlineStr">
        <is>
          <t>TAK</t>
        </is>
      </c>
      <c r="L527" t="n">
        <v>250000</v>
      </c>
      <c r="M527" t="n">
        <v>7521.058965102286</v>
      </c>
      <c r="N527" t="n">
        <v>33.24</v>
      </c>
      <c r="O527" t="inlineStr">
        <is>
          <t>2+k</t>
        </is>
      </c>
      <c r="P527" t="n">
        <v>2</v>
      </c>
      <c r="Q527" t="inlineStr">
        <is>
          <t>Nie da się zamieszkać</t>
        </is>
      </c>
    </row>
    <row r="528">
      <c r="A528" t="n">
        <v>527</v>
      </c>
      <c r="B528" s="3" t="n">
        <v>45488</v>
      </c>
      <c r="C528" s="3" t="n">
        <v>45532</v>
      </c>
      <c r="D528" t="inlineStr">
        <is>
          <t>https://www.otodom.pl/pl/oferta/mieszkanie-sprzedam-ID4rzlV.html</t>
        </is>
      </c>
      <c r="E528">
        <f>HYPERLINK("https://www.otodom.pl/pl/oferta/mieszkanie-sprzedam-ID4rzlV.html", "https://www.otodom.pl/pl/oferta/mieszkanie-sprzedam-ID4rzlV.html")</f>
        <v/>
      </c>
      <c r="F528" t="inlineStr">
        <is>
          <t>rojna</t>
        </is>
      </c>
      <c r="G528" t="inlineStr">
        <is>
          <t>Teofilów</t>
        </is>
      </c>
      <c r="H528" t="inlineStr">
        <is>
          <t>Teofilów</t>
        </is>
      </c>
      <c r="I528" t="inlineStr">
        <is>
          <t>TAK</t>
        </is>
      </c>
      <c r="J528" t="inlineStr">
        <is>
          <t>TAK</t>
        </is>
      </c>
      <c r="K528" t="n">
        <v>796449790</v>
      </c>
      <c r="L528" t="n">
        <v>330000</v>
      </c>
      <c r="M528" t="n">
        <v>7333.333333333333</v>
      </c>
      <c r="N528" t="n">
        <v>45</v>
      </c>
      <c r="O528" t="inlineStr">
        <is>
          <t>2+k</t>
        </is>
      </c>
      <c r="P528" t="n">
        <v>4</v>
      </c>
      <c r="Q528" t="inlineStr">
        <is>
          <t>Nie da się zamieszkać</t>
        </is>
      </c>
      <c r="T528" t="inlineStr">
        <is>
          <t>534</t>
        </is>
      </c>
    </row>
    <row r="529">
      <c r="A529" t="n">
        <v>528</v>
      </c>
      <c r="B529" s="3" t="n">
        <v>45488</v>
      </c>
      <c r="C529" s="3" t="n">
        <v>45548</v>
      </c>
      <c r="D529" t="inlineStr">
        <is>
          <t>https://www.otodom.pl/pl/oferta/2-pokojowe-mieszkanie-balkon-4-pietro-teofilow-ID4rzuy.html</t>
        </is>
      </c>
      <c r="E529">
        <f>HYPERLINK("https://www.otodom.pl/pl/oferta/2-pokojowe-mieszkanie-balkon-4-pietro-teofilow-ID4rzuy.html", "https://www.otodom.pl/pl/oferta/2-pokojowe-mieszkanie-balkon-4-pietro-teofilow-ID4rzuy.html")</f>
        <v/>
      </c>
      <c r="F529" t="inlineStr">
        <is>
          <t>judyma</t>
        </is>
      </c>
      <c r="G529" t="inlineStr">
        <is>
          <t>Teofilów</t>
        </is>
      </c>
      <c r="H529" t="inlineStr">
        <is>
          <t>Teofilów</t>
        </is>
      </c>
      <c r="I529" t="inlineStr">
        <is>
          <t>TAK</t>
        </is>
      </c>
      <c r="J529" t="inlineStr">
        <is>
          <t>TAK</t>
        </is>
      </c>
      <c r="K529" t="n">
        <v>881791778</v>
      </c>
      <c r="L529" t="n">
        <v>290000</v>
      </c>
      <c r="M529" t="n">
        <v>6444.444444444444</v>
      </c>
      <c r="N529" t="n">
        <v>45</v>
      </c>
      <c r="O529" t="inlineStr">
        <is>
          <t>2+k</t>
        </is>
      </c>
      <c r="P529" t="n">
        <v>4</v>
      </c>
      <c r="Q529" t="inlineStr">
        <is>
          <t>Nie da się zamieszkać</t>
        </is>
      </c>
    </row>
    <row r="530">
      <c r="A530" t="n">
        <v>529</v>
      </c>
      <c r="B530" s="3" t="n">
        <v>45488</v>
      </c>
      <c r="D530" t="inlineStr">
        <is>
          <t>https://www.otodom.pl/pl/oferta/radogoszcz-zach-3-pokoje-53m-balkon-do-remontu-ID4rzvO.html</t>
        </is>
      </c>
      <c r="E530">
        <f>HYPERLINK("https://www.otodom.pl/pl/oferta/radogoszcz-zach-3-pokoje-53m-balkon-do-remontu-ID4rzvO.html", "https://www.otodom.pl/pl/oferta/radogoszcz-zach-3-pokoje-53m-balkon-do-remontu-ID4rzvO.html")</f>
        <v/>
      </c>
      <c r="F530" t="inlineStr">
        <is>
          <t>11 listopada</t>
        </is>
      </c>
      <c r="G530" t="inlineStr">
        <is>
          <t>Bałuty</t>
        </is>
      </c>
      <c r="H530" t="inlineStr">
        <is>
          <t>Dalekie bałuty</t>
        </is>
      </c>
      <c r="I530" t="inlineStr">
        <is>
          <t>NIE</t>
        </is>
      </c>
      <c r="J530" t="inlineStr">
        <is>
          <t>NIE</t>
        </is>
      </c>
      <c r="K530" t="n">
        <v>501762030</v>
      </c>
      <c r="L530" t="n">
        <v>355000</v>
      </c>
      <c r="M530" t="n">
        <v>6698.11320754717</v>
      </c>
      <c r="N530" t="n">
        <v>53</v>
      </c>
      <c r="O530" t="inlineStr">
        <is>
          <t>3+k</t>
        </is>
      </c>
      <c r="P530" t="n">
        <v>4</v>
      </c>
      <c r="Q530" t="inlineStr">
        <is>
          <t>Nie da się zamieszkać</t>
        </is>
      </c>
      <c r="R530" t="inlineStr">
        <is>
          <t xml:space="preserve">zadzwonic i ew zaproponować hybryde 31.07 było 369k 17.09 było 359k </t>
        </is>
      </c>
    </row>
    <row r="531">
      <c r="A531" t="n">
        <v>530</v>
      </c>
      <c r="B531" s="3" t="n">
        <v>45489</v>
      </c>
      <c r="D531" t="inlineStr">
        <is>
          <t>https://www.olx.pl/d/oferta/2-pokojowe-mieszkanie-do-remontu-na-dabrowie-CID3-ID1126Ib.html</t>
        </is>
      </c>
      <c r="E531">
        <f>HYPERLINK("https://www.olx.pl/d/oferta/2-pokojowe-mieszkanie-do-remontu-na-dabrowie-CID3-ID1126Ib.html", "https://www.olx.pl/d/oferta/2-pokojowe-mieszkanie-do-remontu-na-dabrowie-CID3-ID1126Ib.html")</f>
        <v/>
      </c>
      <c r="F531" t="inlineStr">
        <is>
          <t>.</t>
        </is>
      </c>
      <c r="G531" t="inlineStr">
        <is>
          <t>Dąbrowa</t>
        </is>
      </c>
      <c r="H531" t="inlineStr">
        <is>
          <t>Dąbrowa</t>
        </is>
      </c>
      <c r="I531" t="inlineStr">
        <is>
          <t>NIE</t>
        </is>
      </c>
      <c r="J531" t="inlineStr">
        <is>
          <t>TAK</t>
        </is>
      </c>
      <c r="K531" t="n">
        <v>733317925</v>
      </c>
      <c r="L531" t="n">
        <v>305000</v>
      </c>
      <c r="M531" t="n">
        <v>7462.68656716418</v>
      </c>
      <c r="N531" t="n">
        <v>40.87</v>
      </c>
      <c r="O531" t="inlineStr">
        <is>
          <t>2+k</t>
        </is>
      </c>
      <c r="P531" t="n">
        <v>4</v>
      </c>
      <c r="Q531" t="inlineStr">
        <is>
          <t>Nie da się zamieszkać</t>
        </is>
      </c>
    </row>
    <row r="532">
      <c r="A532" t="n">
        <v>531</v>
      </c>
      <c r="B532" s="3" t="n">
        <v>45489</v>
      </c>
      <c r="C532" s="3" t="n">
        <v>45522</v>
      </c>
      <c r="D532" t="inlineStr">
        <is>
          <t>https://www.otodom.pl/pl/oferta/teofilow-2-pokoje-2-pietro-z-4-balkon-ID4rzQF.html</t>
        </is>
      </c>
      <c r="E532">
        <f>HYPERLINK("https://www.otodom.pl/pl/oferta/teofilow-2-pokoje-2-pietro-z-4-balkon-ID4rzQF.html", "https://www.otodom.pl/pl/oferta/teofilow-2-pokoje-2-pietro-z-4-balkon-ID4rzQF.html")</f>
        <v/>
      </c>
      <c r="F532" t="inlineStr">
        <is>
          <t>wielkopolska</t>
        </is>
      </c>
      <c r="G532" t="inlineStr">
        <is>
          <t>Teofilów</t>
        </is>
      </c>
      <c r="H532" t="inlineStr">
        <is>
          <t>Teofilów</t>
        </is>
      </c>
      <c r="I532" t="inlineStr">
        <is>
          <t>TAK</t>
        </is>
      </c>
      <c r="J532" t="inlineStr">
        <is>
          <t>TAK</t>
        </is>
      </c>
      <c r="K532" t="inlineStr">
        <is>
          <t>`</t>
        </is>
      </c>
      <c r="L532" t="n">
        <v>285000</v>
      </c>
      <c r="M532" t="n">
        <v>6063.829787234043</v>
      </c>
      <c r="N532" t="n">
        <v>47</v>
      </c>
      <c r="O532" t="inlineStr">
        <is>
          <t>2+k</t>
        </is>
      </c>
      <c r="P532" t="n">
        <v>2</v>
      </c>
      <c r="Q532" t="inlineStr">
        <is>
          <t>Nie da się zamieszkać</t>
        </is>
      </c>
    </row>
    <row r="533">
      <c r="A533" t="n">
        <v>532</v>
      </c>
      <c r="B533" s="3" t="n">
        <v>45489</v>
      </c>
      <c r="C533" s="3" t="n">
        <v>45497</v>
      </c>
      <c r="D533" t="inlineStr">
        <is>
          <t>https://www.olx.pl/d/oferta/2-pokojowe-mieszkanie-karolew-CID3-ID10WDx4.html</t>
        </is>
      </c>
      <c r="E533">
        <f>HYPERLINK("https://www.olx.pl/d/oferta/2-pokojowe-mieszkanie-karolew-CID3-ID10WDx4.html", "https://www.olx.pl/d/oferta/2-pokojowe-mieszkanie-karolew-CID3-ID10WDx4.html")</f>
        <v/>
      </c>
      <c r="F533" t="inlineStr">
        <is>
          <t>przedszkole oliwkowy gaj</t>
        </is>
      </c>
      <c r="G533" t="inlineStr">
        <is>
          <t>Retkinia</t>
        </is>
      </c>
      <c r="H533" t="inlineStr">
        <is>
          <t>Retkinia blisko centrum</t>
        </is>
      </c>
      <c r="I533" t="inlineStr">
        <is>
          <t>TAK</t>
        </is>
      </c>
      <c r="J533" t="inlineStr">
        <is>
          <t>TAK</t>
        </is>
      </c>
      <c r="K533" t="n">
        <v>517827480</v>
      </c>
      <c r="L533" t="n">
        <v>335000</v>
      </c>
      <c r="M533" t="n">
        <v>8481.012658227848</v>
      </c>
      <c r="N533" t="n">
        <v>39.5</v>
      </c>
      <c r="O533" t="inlineStr">
        <is>
          <t>2+k</t>
        </is>
      </c>
      <c r="P533" t="n">
        <v>2</v>
      </c>
      <c r="Q533" t="inlineStr">
        <is>
          <t>Puste posprzątane</t>
        </is>
      </c>
    </row>
    <row r="534">
      <c r="A534" t="n">
        <v>533</v>
      </c>
      <c r="B534" s="3" t="n">
        <v>45489</v>
      </c>
      <c r="C534" s="3" t="n">
        <v>45522</v>
      </c>
      <c r="D534" t="inlineStr">
        <is>
          <t>https://www.olx.pl/d/oferta/3-pokoje-z-balkonem-na-1-pietrze-dabrowa-CID3-ID112iCO.html?isPreviewActive=0&amp;sliderIndex=5</t>
        </is>
      </c>
      <c r="E534">
        <f>HYPERLINK("https://www.olx.pl/d/oferta/3-pokoje-z-balkonem-na-1-pietrze-dabrowa-CID3-ID112iCO.html?isPreviewActive=0&amp;sliderIndex=5", "https://www.olx.pl/d/oferta/3-pokoje-z-balkonem-na-1-pietrze-dabrowa-CID3-ID112iCO.html?isPreviewActive=0&amp;sliderIndex=5")</f>
        <v/>
      </c>
      <c r="F534" t="inlineStr">
        <is>
          <t>.</t>
        </is>
      </c>
      <c r="G534" t="inlineStr">
        <is>
          <t>Dąbrowa</t>
        </is>
      </c>
      <c r="H534" t="inlineStr">
        <is>
          <t>Dąbrowa</t>
        </is>
      </c>
      <c r="I534" t="inlineStr">
        <is>
          <t>TAK</t>
        </is>
      </c>
      <c r="J534" t="inlineStr">
        <is>
          <t>TAK</t>
        </is>
      </c>
      <c r="K534" t="n">
        <v>798907229</v>
      </c>
      <c r="L534" t="n">
        <v>319000</v>
      </c>
      <c r="M534" t="n">
        <v>6179.775280898877</v>
      </c>
      <c r="N534" t="n">
        <v>51.62</v>
      </c>
      <c r="P534" t="n">
        <v>3</v>
      </c>
      <c r="Q534" t="inlineStr">
        <is>
          <t>Nie da się zamieszkać</t>
        </is>
      </c>
    </row>
    <row r="535">
      <c r="A535" t="n">
        <v>534</v>
      </c>
      <c r="B535" s="3" t="n">
        <v>45489</v>
      </c>
      <c r="D535" t="inlineStr">
        <is>
          <t>https://www.olx.pl/d/oferta/mieszkanie-2-pok-teofilow-rojna-45m-m3-rozkladowe-CID3-ID112NdI.html</t>
        </is>
      </c>
      <c r="E535">
        <f>HYPERLINK("https://www.olx.pl/d/oferta/mieszkanie-2-pok-teofilow-rojna-45m-m3-rozkladowe-CID3-ID112NdI.html", "https://www.olx.pl/d/oferta/mieszkanie-2-pok-teofilow-rojna-45m-m3-rozkladowe-CID3-ID112NdI.html")</f>
        <v/>
      </c>
      <c r="F535" t="inlineStr">
        <is>
          <t>rojna</t>
        </is>
      </c>
      <c r="G535" t="inlineStr">
        <is>
          <t>Teofilów</t>
        </is>
      </c>
      <c r="H535" t="inlineStr">
        <is>
          <t>Teofilów</t>
        </is>
      </c>
      <c r="I535" t="inlineStr">
        <is>
          <t>NIE</t>
        </is>
      </c>
      <c r="J535" t="inlineStr">
        <is>
          <t>NIE</t>
        </is>
      </c>
      <c r="K535" t="n">
        <v>884988224</v>
      </c>
      <c r="L535" t="n">
        <v>315000</v>
      </c>
      <c r="M535" t="n">
        <v>7000</v>
      </c>
      <c r="N535" t="n">
        <v>45</v>
      </c>
      <c r="O535" t="inlineStr">
        <is>
          <t>2+k</t>
        </is>
      </c>
      <c r="P535" t="n">
        <v>4</v>
      </c>
      <c r="Q535" t="inlineStr">
        <is>
          <t>Puste posprzątane</t>
        </is>
      </c>
      <c r="R535" t="inlineStr">
        <is>
          <t>08.08 obejrzane na żywo.Piękny widok, bardzo zielono. Mieszkanie przygotowane przez osobe prywatną w bardzo sensownym stanie.</t>
        </is>
      </c>
      <c r="T535" t="inlineStr">
        <is>
          <t>527</t>
        </is>
      </c>
    </row>
    <row r="536">
      <c r="A536" t="n">
        <v>535</v>
      </c>
      <c r="B536" s="3" t="n">
        <v>45489</v>
      </c>
      <c r="C536" s="3" t="n">
        <v>45522</v>
      </c>
      <c r="D536" t="inlineStr">
        <is>
          <t>http://bezposrednie.com/mieszkanie-na-sprzedaz-d-grna,1539137256</t>
        </is>
      </c>
      <c r="E536">
        <f>HYPERLINK("http://bezposrednie.com/mieszkanie-na-sprzedaz-d-grna,1539137256", "http://bezposrednie.com/mieszkanie-na-sprzedaz-d-grna,1539137256")</f>
        <v/>
      </c>
      <c r="F536" t="inlineStr">
        <is>
          <t>chełmońskiego</t>
        </is>
      </c>
      <c r="G536" t="inlineStr">
        <is>
          <t>Górna</t>
        </is>
      </c>
      <c r="H536" t="inlineStr">
        <is>
          <t>Górna</t>
        </is>
      </c>
      <c r="I536" t="inlineStr">
        <is>
          <t>TAK</t>
        </is>
      </c>
      <c r="J536" t="inlineStr">
        <is>
          <t>TAK</t>
        </is>
      </c>
      <c r="K536" t="n">
        <v>604633354</v>
      </c>
      <c r="L536" t="n">
        <v>318000</v>
      </c>
      <c r="M536" t="n">
        <v>7395.348837209302</v>
      </c>
      <c r="N536" t="n">
        <v>43</v>
      </c>
      <c r="O536" t="inlineStr">
        <is>
          <t>2+k</t>
        </is>
      </c>
      <c r="P536" t="inlineStr">
        <is>
          <t>4!</t>
        </is>
      </c>
      <c r="Q536" t="inlineStr">
        <is>
          <t>Da się zamieszkać</t>
        </is>
      </c>
    </row>
    <row r="537">
      <c r="A537" t="n">
        <v>536</v>
      </c>
      <c r="B537" s="3" t="n">
        <v>45490</v>
      </c>
      <c r="C537" s="3" t="n">
        <v>45548</v>
      </c>
      <c r="D537" t="inlineStr">
        <is>
          <t>https://www.otodom.pl/pl/oferta/rozkladowe-2-pokoje-na-balutach-2-pietro-ID4rABz.html</t>
        </is>
      </c>
      <c r="E537">
        <f>HYPERLINK("https://www.otodom.pl/pl/oferta/rozkladowe-2-pokoje-na-balutach-2-pietro-ID4rABz.html", "https://www.otodom.pl/pl/oferta/rozkladowe-2-pokoje-na-balutach-2-pietro-ID4rABz.html")</f>
        <v/>
      </c>
      <c r="F537" t="inlineStr">
        <is>
          <t>pojezierska</t>
        </is>
      </c>
      <c r="G537" t="inlineStr">
        <is>
          <t>Bałuty</t>
        </is>
      </c>
      <c r="H537" t="inlineStr">
        <is>
          <t>Bałuty</t>
        </is>
      </c>
      <c r="I537" t="inlineStr">
        <is>
          <t>TAK</t>
        </is>
      </c>
      <c r="J537" t="inlineStr">
        <is>
          <t>TAK</t>
        </is>
      </c>
      <c r="K537" t="n">
        <v>789635952</v>
      </c>
      <c r="L537" t="n">
        <v>319000</v>
      </c>
      <c r="M537" t="n">
        <v>7062.209431038299</v>
      </c>
      <c r="N537" t="n">
        <v>45.17</v>
      </c>
      <c r="O537" t="inlineStr">
        <is>
          <t>2+k</t>
        </is>
      </c>
      <c r="P537" t="n">
        <v>2</v>
      </c>
      <c r="Q537" t="inlineStr">
        <is>
          <t>Nie da się zamieszkać</t>
        </is>
      </c>
    </row>
    <row r="538">
      <c r="A538" t="n">
        <v>537</v>
      </c>
      <c r="B538" s="3" t="n">
        <v>45490</v>
      </c>
      <c r="C538" s="3" t="n">
        <v>45522</v>
      </c>
      <c r="D538" t="inlineStr">
        <is>
          <t>https://www.olx.pl/d/oferta/m4-do-remontu-obok-parku-im-andrzeja-struga-CID3-IDZUGak.html</t>
        </is>
      </c>
      <c r="E538">
        <f>HYPERLINK("https://www.olx.pl/d/oferta/m4-do-remontu-obok-parku-im-andrzeja-struga-CID3-IDZUGak.html", "https://www.olx.pl/d/oferta/m4-do-remontu-obok-parku-im-andrzeja-struga-CID3-IDZUGak.html")</f>
        <v/>
      </c>
      <c r="F538" t="inlineStr">
        <is>
          <t>struga</t>
        </is>
      </c>
      <c r="G538" t="inlineStr">
        <is>
          <t>Polesie</t>
        </is>
      </c>
      <c r="H538" t="inlineStr">
        <is>
          <t>Polesie</t>
        </is>
      </c>
      <c r="I538" t="inlineStr">
        <is>
          <t>TAK</t>
        </is>
      </c>
      <c r="J538" t="inlineStr">
        <is>
          <t>TAK</t>
        </is>
      </c>
      <c r="K538" t="n">
        <v>570888422</v>
      </c>
      <c r="L538" t="n">
        <v>399000</v>
      </c>
      <c r="M538" t="n">
        <v>7000</v>
      </c>
      <c r="N538" t="n">
        <v>57</v>
      </c>
      <c r="O538" t="inlineStr">
        <is>
          <t>2+k</t>
        </is>
      </c>
      <c r="P538" t="n">
        <v>7</v>
      </c>
      <c r="Q538" t="inlineStr">
        <is>
          <t>Nie da się zamieszkać</t>
        </is>
      </c>
    </row>
    <row r="539">
      <c r="A539" t="n">
        <v>538</v>
      </c>
      <c r="B539" s="3" t="n">
        <v>45490</v>
      </c>
      <c r="C539" s="3" t="n">
        <v>45497</v>
      </c>
      <c r="D539" t="inlineStr">
        <is>
          <t>https://www.morizon.pl/oferta/sprzedaz-mieszkanie-lodz-baluty-56m2-mzn2044188726</t>
        </is>
      </c>
      <c r="E539">
        <f>HYPERLINK("https://www.morizon.pl/oferta/sprzedaz-mieszkanie-lodz-baluty-56m2-mzn2044188726", "https://www.morizon.pl/oferta/sprzedaz-mieszkanie-lodz-baluty-56m2-mzn2044188726")</f>
        <v/>
      </c>
      <c r="F539" t="inlineStr">
        <is>
          <t>kalinowa</t>
        </is>
      </c>
      <c r="G539" t="inlineStr">
        <is>
          <t>Bałuty</t>
        </is>
      </c>
      <c r="H539" t="inlineStr">
        <is>
          <t>Bałuty</t>
        </is>
      </c>
      <c r="I539" t="inlineStr">
        <is>
          <t>TAK</t>
        </is>
      </c>
      <c r="J539" t="inlineStr">
        <is>
          <t>TAK</t>
        </is>
      </c>
      <c r="K539" t="n">
        <v>695261186</v>
      </c>
      <c r="L539" t="n">
        <v>350000</v>
      </c>
      <c r="M539" t="n">
        <v>6250</v>
      </c>
      <c r="N539" t="n">
        <v>56</v>
      </c>
      <c r="O539" t="inlineStr">
        <is>
          <t>3+k</t>
        </is>
      </c>
      <c r="P539" t="n">
        <v>0</v>
      </c>
      <c r="Q539" t="inlineStr">
        <is>
          <t>Nie da się zamieszkać</t>
        </is>
      </c>
    </row>
    <row r="540">
      <c r="A540" t="n">
        <v>539</v>
      </c>
      <c r="B540" s="3" t="n">
        <v>45490</v>
      </c>
      <c r="C540" s="3" t="n">
        <v>45522</v>
      </c>
      <c r="D540" t="inlineStr">
        <is>
          <t>https://www.olx.pl/d/oferta/lodz-2-pokoje-z-osobna-kuchnia-do-remontu-CID3-ID113qq0.html?isPreviewActive=0&amp;sliderIndex=14</t>
        </is>
      </c>
      <c r="E540">
        <f>HYPERLINK("https://www.olx.pl/d/oferta/lodz-2-pokoje-z-osobna-kuchnia-do-remontu-CID3-ID113qq0.html?isPreviewActive=0&amp;sliderIndex=14", "https://www.olx.pl/d/oferta/lodz-2-pokoje-z-osobna-kuchnia-do-remontu-CID3-ID113qq0.html?isPreviewActive=0&amp;sliderIndex=14")</f>
        <v/>
      </c>
      <c r="F540" t="inlineStr">
        <is>
          <t>łokietka</t>
        </is>
      </c>
      <c r="G540" t="inlineStr">
        <is>
          <t>Górna</t>
        </is>
      </c>
      <c r="H540" t="inlineStr">
        <is>
          <t>Daleka górna</t>
        </is>
      </c>
      <c r="I540" t="inlineStr">
        <is>
          <t>TAK</t>
        </is>
      </c>
      <c r="J540" t="inlineStr">
        <is>
          <t>TAK</t>
        </is>
      </c>
      <c r="K540" t="n">
        <v>693437773</v>
      </c>
      <c r="L540" t="n">
        <v>365000</v>
      </c>
      <c r="M540" t="n">
        <v>7156.862745098039</v>
      </c>
      <c r="N540" t="n">
        <v>51</v>
      </c>
      <c r="O540" t="inlineStr">
        <is>
          <t>2+k</t>
        </is>
      </c>
      <c r="P540" t="n">
        <v>3</v>
      </c>
      <c r="Q540" t="inlineStr">
        <is>
          <t>Puste</t>
        </is>
      </c>
    </row>
    <row r="541">
      <c r="A541" t="n">
        <v>540</v>
      </c>
      <c r="B541" s="3" t="n">
        <v>45491</v>
      </c>
      <c r="C541" s="3" t="n">
        <v>45532</v>
      </c>
      <c r="D541" t="inlineStr">
        <is>
          <t>https://szybko.pl/o/na-sprzedaz/lokal-mieszkalny+mieszkanie/Łódź+Polesie/oferta-15387844</t>
        </is>
      </c>
      <c r="E541">
        <f>HYPERLINK("https://szybko.pl/o/na-sprzedaz/lokal-mieszkalny+mieszkanie/Łódź+Polesie/oferta-15387844", "https://szybko.pl/o/na-sprzedaz/lokal-mieszkalny+mieszkanie/Łódź+Polesie/oferta-15387844")</f>
        <v/>
      </c>
      <c r="F541" t="inlineStr">
        <is>
          <t>karolew</t>
        </is>
      </c>
      <c r="G541" t="inlineStr">
        <is>
          <t>Polesie</t>
        </is>
      </c>
      <c r="H541" t="inlineStr">
        <is>
          <t>Polesie</t>
        </is>
      </c>
      <c r="I541" t="inlineStr">
        <is>
          <t>TAK</t>
        </is>
      </c>
      <c r="J541" t="inlineStr">
        <is>
          <t>TAK</t>
        </is>
      </c>
      <c r="K541" t="n">
        <v>537163259</v>
      </c>
      <c r="L541" t="n">
        <v>337000</v>
      </c>
      <c r="M541" t="n">
        <v>7837.209302325581</v>
      </c>
      <c r="N541" t="n">
        <v>43</v>
      </c>
      <c r="O541" t="inlineStr">
        <is>
          <t>2+k</t>
        </is>
      </c>
      <c r="P541" t="n">
        <v>8</v>
      </c>
      <c r="Q541" t="inlineStr">
        <is>
          <t>Nie da się zamieszkać</t>
        </is>
      </c>
      <c r="R541" t="inlineStr">
        <is>
          <t>to nie dubel</t>
        </is>
      </c>
      <c r="T541" t="inlineStr">
        <is>
          <t>202</t>
        </is>
      </c>
    </row>
    <row r="542">
      <c r="A542" t="n">
        <v>541</v>
      </c>
      <c r="B542" s="3" t="n">
        <v>45491</v>
      </c>
      <c r="D542" t="inlineStr">
        <is>
          <t>https://www.otodom.pl/pl/oferta/przestronne-m4-obok-parku-nad-jasieniem-ID4s4QW</t>
        </is>
      </c>
      <c r="E542">
        <f>HYPERLINK("https://www.otodom.pl/pl/oferta/przestronne-m4-obok-parku-nad-jasieniem-ID4s4QW", "https://www.otodom.pl/pl/oferta/przestronne-m4-obok-parku-nad-jasieniem-ID4s4QW")</f>
        <v/>
      </c>
      <c r="F542" t="inlineStr">
        <is>
          <t>zbiorcza</t>
        </is>
      </c>
      <c r="G542" t="inlineStr">
        <is>
          <t>Widzew</t>
        </is>
      </c>
      <c r="H542" t="inlineStr">
        <is>
          <t>Widzew blisko centrum</t>
        </is>
      </c>
      <c r="I542" t="inlineStr">
        <is>
          <t>NIE</t>
        </is>
      </c>
      <c r="J542" t="inlineStr">
        <is>
          <t>TAK</t>
        </is>
      </c>
      <c r="K542" t="n">
        <v>579900116</v>
      </c>
      <c r="L542" t="n">
        <v>425000</v>
      </c>
      <c r="M542" t="n">
        <v>7218.070652173913</v>
      </c>
      <c r="N542" t="n">
        <v>58.88</v>
      </c>
      <c r="O542" t="inlineStr">
        <is>
          <t>3+k</t>
        </is>
      </c>
      <c r="P542" t="n">
        <v>2</v>
      </c>
      <c r="Q542" t="inlineStr">
        <is>
          <t>Puste posprzątane</t>
        </is>
      </c>
      <c r="R542" t="inlineStr">
        <is>
          <t xml:space="preserve">08.08  telefon: rezerwacja, ew dzwonić po 15.08.  20.08 nie sprzedało się bo znowu wystawili ogłoszenie dali wyższą cene było 399 </t>
        </is>
      </c>
    </row>
    <row r="543">
      <c r="A543" t="n">
        <v>542</v>
      </c>
      <c r="B543" s="3" t="n">
        <v>45491</v>
      </c>
      <c r="D543" t="inlineStr">
        <is>
          <t>https://adresowo.pl/o/q1g6v1</t>
        </is>
      </c>
      <c r="E543">
        <f>HYPERLINK("https://adresowo.pl/o/q1g6v1", "https://adresowo.pl/o/q1g6v1")</f>
        <v/>
      </c>
      <c r="F543" t="inlineStr">
        <is>
          <t>wygodna</t>
        </is>
      </c>
      <c r="G543" t="inlineStr">
        <is>
          <t>Retkinia</t>
        </is>
      </c>
      <c r="H543" t="inlineStr">
        <is>
          <t>Retkinia blisko centrum</t>
        </is>
      </c>
      <c r="I543" t="inlineStr">
        <is>
          <t>NIE</t>
        </is>
      </c>
      <c r="J543" t="inlineStr">
        <is>
          <t>NIE</t>
        </is>
      </c>
      <c r="L543" t="n">
        <v>295000</v>
      </c>
      <c r="M543" t="n">
        <v>7023.809523809524</v>
      </c>
      <c r="N543" t="n">
        <v>42</v>
      </c>
      <c r="O543" t="inlineStr">
        <is>
          <t>2+k</t>
        </is>
      </c>
      <c r="P543" t="n">
        <v>1</v>
      </c>
      <c r="Q543" t="inlineStr">
        <is>
          <t>Nie da się zamieszkać</t>
        </is>
      </c>
      <c r="R543" t="inlineStr">
        <is>
          <t>2 pietrowy blok</t>
        </is>
      </c>
    </row>
    <row r="544">
      <c r="A544" t="n">
        <v>543</v>
      </c>
      <c r="B544" s="3" t="n">
        <v>45491</v>
      </c>
      <c r="C544" s="3" t="n">
        <v>45522</v>
      </c>
      <c r="D544" t="inlineStr">
        <is>
          <t>https://www.olx.pl/d/oferta/jasnebalkonrozkladowe-CID3-ID113QtH.html?isPreviewActive=0&amp;sliderIndex=4</t>
        </is>
      </c>
      <c r="E544">
        <f>HYPERLINK("https://www.olx.pl/d/oferta/jasnebalkonrozkladowe-CID3-ID113QtH.html?isPreviewActive=0&amp;sliderIndex=4", "https://www.olx.pl/d/oferta/jasnebalkonrozkladowe-CID3-ID113QtH.html?isPreviewActive=0&amp;sliderIndex=4")</f>
        <v/>
      </c>
      <c r="F544" t="inlineStr">
        <is>
          <t>traktorowa</t>
        </is>
      </c>
      <c r="G544" t="inlineStr">
        <is>
          <t>Teofilów</t>
        </is>
      </c>
      <c r="H544" t="inlineStr">
        <is>
          <t>Teofilów</t>
        </is>
      </c>
      <c r="I544" t="inlineStr">
        <is>
          <t>TAK</t>
        </is>
      </c>
      <c r="J544" t="inlineStr">
        <is>
          <t>TAK</t>
        </is>
      </c>
      <c r="K544" t="n">
        <v>730808986</v>
      </c>
      <c r="L544" t="n">
        <v>230000</v>
      </c>
      <c r="M544" t="n">
        <v>8193.801211257571</v>
      </c>
      <c r="N544" t="n">
        <v>28.07</v>
      </c>
      <c r="O544" t="inlineStr">
        <is>
          <t>1+k</t>
        </is>
      </c>
      <c r="P544" t="n">
        <v>5</v>
      </c>
      <c r="Q544" t="inlineStr">
        <is>
          <t>Nie da się zamieszkać</t>
        </is>
      </c>
    </row>
    <row r="545">
      <c r="A545" t="n">
        <v>544</v>
      </c>
      <c r="B545" s="3" t="n">
        <v>45491</v>
      </c>
      <c r="C545" s="3" t="n">
        <v>45532</v>
      </c>
      <c r="D545" t="inlineStr">
        <is>
          <t>https://lodz.nieruchomosci-online.pl/mieszkanie-w-bloku-mieszkalnym,do-remontu/25068915.html</t>
        </is>
      </c>
      <c r="E545">
        <f>HYPERLINK("https://lodz.nieruchomosci-online.pl/mieszkanie-w-bloku-mieszkalnym,do-remontu/25068915.html", "https://lodz.nieruchomosci-online.pl/mieszkanie-w-bloku-mieszkalnym,do-remontu/25068915.html")</f>
        <v/>
      </c>
      <c r="F545" t="inlineStr">
        <is>
          <t>staszica</t>
        </is>
      </c>
      <c r="G545" t="inlineStr">
        <is>
          <t>Bałuty</t>
        </is>
      </c>
      <c r="H545" t="inlineStr">
        <is>
          <t>Bałuty blisko centrum</t>
        </is>
      </c>
      <c r="I545" t="inlineStr">
        <is>
          <t>TAK</t>
        </is>
      </c>
      <c r="J545" t="inlineStr">
        <is>
          <t>TAK</t>
        </is>
      </c>
      <c r="K545" t="n">
        <v>883200511</v>
      </c>
      <c r="L545" t="n">
        <v>270000</v>
      </c>
      <c r="M545" t="n">
        <v>6367.924528301887</v>
      </c>
      <c r="N545" t="n">
        <v>42.4</v>
      </c>
      <c r="O545" t="inlineStr">
        <is>
          <t>2+k</t>
        </is>
      </c>
      <c r="P545" t="n">
        <v>4</v>
      </c>
      <c r="Q545" t="inlineStr">
        <is>
          <t>Nie da się zamieszkać</t>
        </is>
      </c>
    </row>
    <row r="546">
      <c r="A546" t="n">
        <v>545</v>
      </c>
      <c r="B546" s="3" t="n">
        <v>45491</v>
      </c>
      <c r="C546" s="3" t="n">
        <v>45522</v>
      </c>
      <c r="D546" t="inlineStr">
        <is>
          <t>https://www.otodom.pl/pl/oferta/duza-kawalerka-z-balkonem-3-pietro-z-winda-ID4rCfB.html</t>
        </is>
      </c>
      <c r="E546">
        <f>HYPERLINK("https://www.otodom.pl/pl/oferta/duza-kawalerka-z-balkonem-3-pietro-z-winda-ID4rCfB.html", "https://www.otodom.pl/pl/oferta/duza-kawalerka-z-balkonem-3-pietro-z-winda-ID4rCfB.html")</f>
        <v/>
      </c>
      <c r="F546" t="inlineStr">
        <is>
          <t>sacharowa</t>
        </is>
      </c>
      <c r="G546" t="inlineStr">
        <is>
          <t>Widzew</t>
        </is>
      </c>
      <c r="H546" t="inlineStr">
        <is>
          <t>Widzew</t>
        </is>
      </c>
      <c r="I546" t="inlineStr">
        <is>
          <t>TAK</t>
        </is>
      </c>
      <c r="J546" t="inlineStr">
        <is>
          <t>TAK</t>
        </is>
      </c>
      <c r="K546" t="n">
        <v>732850822</v>
      </c>
      <c r="L546" t="n">
        <v>277000</v>
      </c>
      <c r="M546" t="n">
        <v>7880.512091038408</v>
      </c>
      <c r="N546" t="n">
        <v>35.15</v>
      </c>
      <c r="O546" t="inlineStr">
        <is>
          <t>1+k</t>
        </is>
      </c>
      <c r="P546" t="n">
        <v>3</v>
      </c>
      <c r="Q546" t="inlineStr">
        <is>
          <t>Puste posprzątane</t>
        </is>
      </c>
      <c r="R546" t="inlineStr">
        <is>
          <t xml:space="preserve">Bardzo dobrze wystawione mieszkanie, z biura skill oni zajmują się posprzątanymi flipami. 08.08 obejrzane na żywo. Zaczał się już tam remont wiec nie było tego efekty czystosci i bezproblemowosci. Ale okolica super. Mieszkanie nie sprzedało się przez jakiś czas, wiec zaczeli je remontować. </t>
        </is>
      </c>
    </row>
    <row r="547">
      <c r="A547" t="n">
        <v>546</v>
      </c>
      <c r="B547" s="3" t="n">
        <v>45491</v>
      </c>
      <c r="D547" t="inlineStr">
        <is>
          <t>https://www.otodom.pl/pl/oferta/czekamy-na-ciebie-na-zubardziu-twoje-3-pokoje-ID4rCIo.html</t>
        </is>
      </c>
      <c r="E547">
        <f>HYPERLINK("https://www.otodom.pl/pl/oferta/czekamy-na-ciebie-na-zubardziu-twoje-3-pokoje-ID4rCIo.html", "https://www.otodom.pl/pl/oferta/czekamy-na-ciebie-na-zubardziu-twoje-3-pokoje-ID4rCIo.html")</f>
        <v/>
      </c>
      <c r="F547" t="inlineStr">
        <is>
          <t>powstańców wielkopolskich</t>
        </is>
      </c>
      <c r="G547" t="inlineStr">
        <is>
          <t>Polesie</t>
        </is>
      </c>
      <c r="H547" t="inlineStr">
        <is>
          <t>Polesie</t>
        </is>
      </c>
      <c r="I547" t="inlineStr">
        <is>
          <t>NIE</t>
        </is>
      </c>
      <c r="J547" t="inlineStr">
        <is>
          <t>TAK</t>
        </is>
      </c>
      <c r="K547" t="n">
        <v>505749540</v>
      </c>
      <c r="L547" t="n">
        <v>387000</v>
      </c>
      <c r="M547" t="n">
        <v>7325.383304940375</v>
      </c>
      <c r="N547" t="n">
        <v>52.83</v>
      </c>
      <c r="O547" t="inlineStr">
        <is>
          <t>3+k</t>
        </is>
      </c>
      <c r="P547" t="n">
        <v>0</v>
      </c>
      <c r="Q547" t="inlineStr">
        <is>
          <t>Nie da się zamieszkać</t>
        </is>
      </c>
    </row>
    <row r="548">
      <c r="A548" t="n">
        <v>547</v>
      </c>
      <c r="B548" s="3" t="n">
        <v>45492</v>
      </c>
      <c r="D548" t="inlineStr">
        <is>
          <t>https://adresowo.pl/o/r3c4r6</t>
        </is>
      </c>
      <c r="E548">
        <f>HYPERLINK("https://adresowo.pl/o/r3c4r6", "https://adresowo.pl/o/r3c4r6")</f>
        <v/>
      </c>
      <c r="F548" t="inlineStr">
        <is>
          <t>wiwulskiego</t>
        </is>
      </c>
      <c r="G548" t="inlineStr">
        <is>
          <t>Górna</t>
        </is>
      </c>
      <c r="H548" t="inlineStr">
        <is>
          <t>Górna</t>
        </is>
      </c>
      <c r="I548" t="inlineStr">
        <is>
          <t>NIE</t>
        </is>
      </c>
      <c r="J548" t="inlineStr">
        <is>
          <t>NIE</t>
        </is>
      </c>
      <c r="L548" t="n">
        <v>355000</v>
      </c>
      <c r="M548" t="n">
        <v>7244.897959183673</v>
      </c>
      <c r="N548" t="n">
        <v>49</v>
      </c>
      <c r="O548" t="inlineStr">
        <is>
          <t>3+k</t>
        </is>
      </c>
      <c r="P548" t="n">
        <v>0</v>
      </c>
      <c r="Q548" t="inlineStr">
        <is>
          <t>Nie da się zamieszkać</t>
        </is>
      </c>
    </row>
    <row r="549">
      <c r="A549" t="n">
        <v>548</v>
      </c>
      <c r="B549" s="3" t="n">
        <v>45492</v>
      </c>
      <c r="C549" s="3" t="n">
        <v>45510</v>
      </c>
      <c r="D549" t="inlineStr">
        <is>
          <t>https://nieruchomosci.gratka.pl/nieruchomosci/mieszkanie-lodz-baluty/ob/35220873</t>
        </is>
      </c>
      <c r="E549">
        <f>HYPERLINK("https://nieruchomosci.gratka.pl/nieruchomosci/mieszkanie-lodz-baluty/ob/35220873", "https://nieruchomosci.gratka.pl/nieruchomosci/mieszkanie-lodz-baluty/ob/35220873")</f>
        <v/>
      </c>
      <c r="F549" t="inlineStr">
        <is>
          <t>radogoszcz zachód</t>
        </is>
      </c>
      <c r="G549" t="inlineStr">
        <is>
          <t>Bałuty</t>
        </is>
      </c>
      <c r="H549" t="inlineStr">
        <is>
          <t>Dalekie bałuty</t>
        </is>
      </c>
      <c r="I549" t="inlineStr">
        <is>
          <t>TAK</t>
        </is>
      </c>
      <c r="J549" t="inlineStr">
        <is>
          <t>TAK</t>
        </is>
      </c>
      <c r="K549" t="n">
        <v>661097154</v>
      </c>
      <c r="L549" t="n">
        <v>320000</v>
      </c>
      <c r="M549" t="n">
        <v>7441.860465116279</v>
      </c>
      <c r="N549" t="n">
        <v>43</v>
      </c>
      <c r="O549" t="inlineStr">
        <is>
          <t>2+k</t>
        </is>
      </c>
      <c r="P549" t="n">
        <v>4</v>
      </c>
      <c r="Q549" t="inlineStr">
        <is>
          <t>Nie da się zamieszkać</t>
        </is>
      </c>
    </row>
    <row r="550">
      <c r="A550" t="n">
        <v>549</v>
      </c>
      <c r="B550" s="3" t="n">
        <v>45492</v>
      </c>
      <c r="C550" s="3" t="n">
        <v>45522</v>
      </c>
      <c r="D550" t="inlineStr">
        <is>
          <t>https://nieruchomosci.gratka.pl/nieruchomosci/mieszkanie-lodz-gorna-dabrowskiego/ob/35221083</t>
        </is>
      </c>
      <c r="E550">
        <f>HYPERLINK("https://nieruchomosci.gratka.pl/nieruchomosci/mieszkanie-lodz-gorna-dabrowskiego/ob/35221083", "https://nieruchomosci.gratka.pl/nieruchomosci/mieszkanie-lodz-gorna-dabrowskiego/ob/35221083")</f>
        <v/>
      </c>
      <c r="F550" t="inlineStr">
        <is>
          <t xml:space="preserve">dąbrowskiego </t>
        </is>
      </c>
      <c r="G550" t="inlineStr">
        <is>
          <t>Dąbrowa</t>
        </is>
      </c>
      <c r="H550" t="inlineStr">
        <is>
          <t>Dąbrowa</t>
        </is>
      </c>
      <c r="I550" t="inlineStr">
        <is>
          <t>TAK</t>
        </is>
      </c>
      <c r="J550" t="inlineStr">
        <is>
          <t>TAK</t>
        </is>
      </c>
      <c r="K550" t="n">
        <v>698545474</v>
      </c>
      <c r="L550" t="n">
        <v>281000</v>
      </c>
      <c r="M550" t="n">
        <v>7648.339684267828</v>
      </c>
      <c r="N550" t="n">
        <v>36.74</v>
      </c>
      <c r="O550" t="inlineStr">
        <is>
          <t>2+k</t>
        </is>
      </c>
      <c r="P550" t="n">
        <v>4</v>
      </c>
      <c r="Q550" t="inlineStr">
        <is>
          <t>Nie da się zamieszkać</t>
        </is>
      </c>
    </row>
    <row r="551">
      <c r="A551" t="n">
        <v>550</v>
      </c>
      <c r="B551" s="3" t="n">
        <v>45492</v>
      </c>
      <c r="C551" s="3" t="n">
        <v>45510</v>
      </c>
      <c r="D551" t="inlineStr">
        <is>
          <t>https://nieruchomosci.gratka.pl/nieruchomosci/mieszkanie-lodz-gorna-sebastiana-felsztynskiego/ob/35226801</t>
        </is>
      </c>
      <c r="E551">
        <f>HYPERLINK("https://nieruchomosci.gratka.pl/nieruchomosci/mieszkanie-lodz-gorna-sebastiana-felsztynskiego/ob/35226801", "https://nieruchomosci.gratka.pl/nieruchomosci/mieszkanie-lodz-gorna-sebastiana-felsztynskiego/ob/35226801")</f>
        <v/>
      </c>
      <c r="F551" t="inlineStr">
        <is>
          <t>felsztyńskiego</t>
        </is>
      </c>
      <c r="G551" t="inlineStr">
        <is>
          <t>Górna</t>
        </is>
      </c>
      <c r="H551" t="inlineStr">
        <is>
          <t>Górna</t>
        </is>
      </c>
      <c r="I551" t="inlineStr">
        <is>
          <t>TAK</t>
        </is>
      </c>
      <c r="J551" t="inlineStr">
        <is>
          <t>TAK</t>
        </is>
      </c>
      <c r="K551" t="n">
        <v>795622122</v>
      </c>
      <c r="L551" t="n">
        <v>312000</v>
      </c>
      <c r="M551" t="n">
        <v>6925.638179800222</v>
      </c>
      <c r="N551" t="n">
        <v>45.05</v>
      </c>
      <c r="O551" t="inlineStr">
        <is>
          <t>2+k</t>
        </is>
      </c>
      <c r="P551" t="n">
        <v>2</v>
      </c>
      <c r="Q551" t="inlineStr">
        <is>
          <t>Nie da się zamieszkać</t>
        </is>
      </c>
      <c r="R551" t="inlineStr">
        <is>
          <t>02.09 było 333k</t>
        </is>
      </c>
    </row>
    <row r="552">
      <c r="A552" t="n">
        <v>551</v>
      </c>
      <c r="B552" s="3" t="n">
        <v>45492</v>
      </c>
      <c r="D552" t="inlineStr">
        <is>
          <t>https://nieruchomosci.gratka.pl/nieruchomosci/mieszkanie-lodz-gorna-juliana-ursyna-niemcewicza/ob/35232093</t>
        </is>
      </c>
      <c r="E552">
        <f>HYPERLINK("https://nieruchomosci.gratka.pl/nieruchomosci/mieszkanie-lodz-gorna-juliana-ursyna-niemcewicza/ob/35232093", "https://nieruchomosci.gratka.pl/nieruchomosci/mieszkanie-lodz-gorna-juliana-ursyna-niemcewicza/ob/35232093")</f>
        <v/>
      </c>
      <c r="F552" t="inlineStr">
        <is>
          <t>niemcewicza</t>
        </is>
      </c>
      <c r="G552" t="inlineStr">
        <is>
          <t>Górna</t>
        </is>
      </c>
      <c r="H552" t="inlineStr">
        <is>
          <t>Górna</t>
        </is>
      </c>
      <c r="I552" t="inlineStr">
        <is>
          <t>NIE</t>
        </is>
      </c>
      <c r="J552" t="inlineStr">
        <is>
          <t>TAK</t>
        </is>
      </c>
      <c r="K552" t="n">
        <v>609737015</v>
      </c>
      <c r="L552" t="n">
        <v>339000</v>
      </c>
      <c r="M552" t="n">
        <v>6590.202177293935</v>
      </c>
      <c r="N552" t="n">
        <v>51.44</v>
      </c>
      <c r="O552" t="inlineStr">
        <is>
          <t>2+k</t>
        </is>
      </c>
      <c r="P552" t="n">
        <v>3</v>
      </c>
      <c r="Q552" t="inlineStr">
        <is>
          <t>Nie da się zamieszkać</t>
        </is>
      </c>
      <c r="R552" t="inlineStr">
        <is>
          <t xml:space="preserve">po przedwstępnej - pośredniczka zapisała kontakt jak będzie coś miała, to da znać </t>
        </is>
      </c>
    </row>
    <row r="553">
      <c r="A553" t="n">
        <v>552</v>
      </c>
      <c r="B553" s="3" t="n">
        <v>45492</v>
      </c>
      <c r="D553" t="inlineStr">
        <is>
          <t>https://nieruchomosci.gratka.pl/nieruchomosci/mieszkanie-lodz-gorna-zbaraska/ob/35232935</t>
        </is>
      </c>
      <c r="E553">
        <f>HYPERLINK("https://nieruchomosci.gratka.pl/nieruchomosci/mieszkanie-lodz-gorna-zbaraska/ob/35232935", "https://nieruchomosci.gratka.pl/nieruchomosci/mieszkanie-lodz-gorna-zbaraska/ob/35232935")</f>
        <v/>
      </c>
      <c r="F553" t="inlineStr">
        <is>
          <t>zbaraska</t>
        </is>
      </c>
      <c r="G553" t="inlineStr">
        <is>
          <t>Dąbrowa</t>
        </is>
      </c>
      <c r="H553" t="inlineStr">
        <is>
          <t>Dąbrowa</t>
        </is>
      </c>
      <c r="I553" t="inlineStr">
        <is>
          <t>NIE</t>
        </is>
      </c>
      <c r="J553" t="inlineStr">
        <is>
          <t>TAK</t>
        </is>
      </c>
      <c r="K553" t="n">
        <v>695738465</v>
      </c>
      <c r="L553" t="n">
        <v>329000</v>
      </c>
      <c r="M553" t="n">
        <v>6970.338983050847</v>
      </c>
      <c r="N553" t="n">
        <v>47.2</v>
      </c>
      <c r="O553" t="inlineStr">
        <is>
          <t>3+k</t>
        </is>
      </c>
      <c r="P553" t="n">
        <v>3</v>
      </c>
      <c r="Q553" t="inlineStr">
        <is>
          <t>Nie da się zamieszkać</t>
        </is>
      </c>
    </row>
    <row r="554">
      <c r="A554" t="n">
        <v>553</v>
      </c>
      <c r="B554" s="3" t="n">
        <v>45492</v>
      </c>
      <c r="C554" s="3" t="n">
        <v>45506</v>
      </c>
      <c r="D554" t="inlineStr">
        <is>
          <t>https://nieruchomosci.gratka.pl/nieruchomosci/mieszkanie-lodz-gorna/ob/35220163</t>
        </is>
      </c>
      <c r="E554">
        <f>HYPERLINK("https://nieruchomosci.gratka.pl/nieruchomosci/mieszkanie-lodz-gorna/ob/35220163", "https://nieruchomosci.gratka.pl/nieruchomosci/mieszkanie-lodz-gorna/ob/35220163")</f>
        <v/>
      </c>
      <c r="F554" t="inlineStr">
        <is>
          <t>felińskiego</t>
        </is>
      </c>
      <c r="G554" t="inlineStr">
        <is>
          <t>Dąbrowa</t>
        </is>
      </c>
      <c r="H554" t="inlineStr">
        <is>
          <t>Dąbrowa</t>
        </is>
      </c>
      <c r="I554" t="inlineStr">
        <is>
          <t>TAK</t>
        </is>
      </c>
      <c r="J554" t="inlineStr">
        <is>
          <t>TAK</t>
        </is>
      </c>
      <c r="K554" t="n">
        <v>500189458</v>
      </c>
      <c r="L554" t="n">
        <v>287000</v>
      </c>
      <c r="M554" t="n">
        <v>6080.508474576271</v>
      </c>
      <c r="N554" t="n">
        <v>47.2</v>
      </c>
      <c r="O554" t="inlineStr">
        <is>
          <t>3+k</t>
        </is>
      </c>
      <c r="P554" t="n">
        <v>7</v>
      </c>
      <c r="Q554" t="inlineStr">
        <is>
          <t>Nie da się zamieszkać</t>
        </is>
      </c>
    </row>
    <row r="555">
      <c r="A555" t="n">
        <v>554</v>
      </c>
      <c r="B555" s="3" t="n">
        <v>45492</v>
      </c>
      <c r="D555" t="inlineStr">
        <is>
          <t>https://nieruchomosci.gratka.pl/nieruchomosci/mieszkanie-lodz-baluty-11-listopada/oi/35215655</t>
        </is>
      </c>
      <c r="E555">
        <f>HYPERLINK("https://nieruchomosci.gratka.pl/nieruchomosci/mieszkanie-lodz-baluty-11-listopada/oi/35215655", "https://nieruchomosci.gratka.pl/nieruchomosci/mieszkanie-lodz-baluty-11-listopada/oi/35215655")</f>
        <v/>
      </c>
      <c r="F555" t="inlineStr">
        <is>
          <t>radogosz zachód</t>
        </is>
      </c>
      <c r="G555" t="inlineStr">
        <is>
          <t>Bałuty</t>
        </is>
      </c>
      <c r="H555" t="inlineStr">
        <is>
          <t>Dalekie bałuty</t>
        </is>
      </c>
      <c r="I555" t="inlineStr">
        <is>
          <t>NIE</t>
        </is>
      </c>
      <c r="J555" t="inlineStr">
        <is>
          <t>NIE</t>
        </is>
      </c>
      <c r="K555" t="n">
        <v>501762030</v>
      </c>
      <c r="L555" t="n">
        <v>359000</v>
      </c>
      <c r="M555" t="n">
        <v>6773.584905660377</v>
      </c>
      <c r="N555" t="n">
        <v>53</v>
      </c>
      <c r="O555" t="inlineStr">
        <is>
          <t>3+k</t>
        </is>
      </c>
      <c r="P555" t="n">
        <v>4</v>
      </c>
      <c r="Q555" t="inlineStr">
        <is>
          <t>Nie da się zamieszkać</t>
        </is>
      </c>
    </row>
    <row r="556">
      <c r="A556" t="n">
        <v>555</v>
      </c>
      <c r="B556" s="3" t="n">
        <v>45492</v>
      </c>
      <c r="C556" s="3" t="n">
        <v>45522</v>
      </c>
      <c r="D556" t="inlineStr">
        <is>
          <t>https://www.otodom.pl/pl/oferta/2-pokoje-2-pietro-lodz-dabrowa-ID4rDci.html</t>
        </is>
      </c>
      <c r="E556">
        <f>HYPERLINK("https://www.otodom.pl/pl/oferta/2-pokoje-2-pietro-lodz-dabrowa-ID4rDci.html", "https://www.otodom.pl/pl/oferta/2-pokoje-2-pietro-lodz-dabrowa-ID4rDci.html")</f>
        <v/>
      </c>
      <c r="F556" t="inlineStr">
        <is>
          <t xml:space="preserve">dąbrowskiego </t>
        </is>
      </c>
      <c r="G556" t="inlineStr">
        <is>
          <t>Dąbrowa</t>
        </is>
      </c>
      <c r="H556" t="inlineStr">
        <is>
          <t>Dąbrowa</t>
        </is>
      </c>
      <c r="I556" t="inlineStr">
        <is>
          <t>TAK</t>
        </is>
      </c>
      <c r="J556" t="inlineStr">
        <is>
          <t>TAK</t>
        </is>
      </c>
      <c r="K556" t="n">
        <v>881791778</v>
      </c>
      <c r="L556" t="n">
        <v>255000</v>
      </c>
      <c r="M556" t="n">
        <v>6891.891891891892</v>
      </c>
      <c r="N556" t="n">
        <v>37</v>
      </c>
      <c r="O556" t="inlineStr">
        <is>
          <t>2+k</t>
        </is>
      </c>
      <c r="P556" t="n">
        <v>2</v>
      </c>
      <c r="Q556" t="inlineStr">
        <is>
          <t>Nie da się zamieszkać</t>
        </is>
      </c>
    </row>
    <row r="557">
      <c r="A557" t="n">
        <v>556</v>
      </c>
      <c r="B557" s="3" t="n">
        <v>45492</v>
      </c>
      <c r="D557" t="inlineStr">
        <is>
          <t>https://nieruchomosci.gratka.pl/nieruchomosci/mieszkanie-lodz-gorna/ob/35219439</t>
        </is>
      </c>
      <c r="E557">
        <f>HYPERLINK("https://nieruchomosci.gratka.pl/nieruchomosci/mieszkanie-lodz-gorna/ob/35219439", "https://nieruchomosci.gratka.pl/nieruchomosci/mieszkanie-lodz-gorna/ob/35219439")</f>
        <v/>
      </c>
      <c r="F557" t="inlineStr">
        <is>
          <t>politechniki</t>
        </is>
      </c>
      <c r="G557" t="inlineStr">
        <is>
          <t>Górna</t>
        </is>
      </c>
      <c r="H557" t="inlineStr">
        <is>
          <t>Górna blisko centrum</t>
        </is>
      </c>
      <c r="I557" t="inlineStr">
        <is>
          <t>NIE</t>
        </is>
      </c>
      <c r="J557" t="inlineStr">
        <is>
          <t>TAK</t>
        </is>
      </c>
      <c r="K557" t="n">
        <v>516716153</v>
      </c>
      <c r="L557" t="n">
        <v>269000</v>
      </c>
      <c r="M557" t="n">
        <v>7400.275103163686</v>
      </c>
      <c r="N557" t="n">
        <v>36.35</v>
      </c>
      <c r="O557" t="inlineStr">
        <is>
          <t>2+k</t>
        </is>
      </c>
      <c r="P557" t="n">
        <v>4</v>
      </c>
      <c r="Q557" t="inlineStr">
        <is>
          <t>Nie da się zamieszkać</t>
        </is>
      </c>
    </row>
    <row r="558">
      <c r="A558" t="n">
        <v>557</v>
      </c>
      <c r="B558" s="3" t="n">
        <v>45492</v>
      </c>
      <c r="D558" t="inlineStr">
        <is>
          <t>https://www.otodom.pl/pl/oferta/lodz-karolew-wygodna-48m-2-pokoje-3-pokoje-kw-ID4rjD8.html</t>
        </is>
      </c>
      <c r="E558">
        <f>HYPERLINK("https://www.otodom.pl/pl/oferta/lodz-karolew-wygodna-48m-2-pokoje-3-pokoje-kw-ID4rjD8.html", "https://www.otodom.pl/pl/oferta/lodz-karolew-wygodna-48m-2-pokoje-3-pokoje-kw-ID4rjD8.html")</f>
        <v/>
      </c>
      <c r="F558" t="inlineStr">
        <is>
          <t>wygodna</t>
        </is>
      </c>
      <c r="G558" t="inlineStr">
        <is>
          <t>Retkinia</t>
        </is>
      </c>
      <c r="H558" t="inlineStr">
        <is>
          <t>Retkinia blisko centrum</t>
        </is>
      </c>
      <c r="I558" t="inlineStr">
        <is>
          <t>NIE</t>
        </is>
      </c>
      <c r="J558" t="inlineStr">
        <is>
          <t>TAK</t>
        </is>
      </c>
      <c r="K558" t="n">
        <v>602203988</v>
      </c>
      <c r="L558" t="n">
        <v>350000</v>
      </c>
      <c r="M558" t="n">
        <v>7255.389718076285</v>
      </c>
      <c r="N558" t="n">
        <v>48.24</v>
      </c>
      <c r="O558" t="inlineStr">
        <is>
          <t>2+k</t>
        </is>
      </c>
      <c r="P558" t="n">
        <v>3</v>
      </c>
      <c r="Q558" t="inlineStr">
        <is>
          <t>Nie da się zamieszkać</t>
        </is>
      </c>
      <c r="R558" t="inlineStr">
        <is>
          <t>było nieaktywne od 06.08 wrociło 13.09</t>
        </is>
      </c>
    </row>
    <row r="559">
      <c r="A559" t="n">
        <v>558</v>
      </c>
      <c r="B559" s="3" t="n">
        <v>45492</v>
      </c>
      <c r="D559" t="inlineStr">
        <is>
          <t>https://lodz.nieruchomosci-online.pl/mieszkanie-w-bloku-mieszkalnym,do-remontu/25011329.html</t>
        </is>
      </c>
      <c r="E559">
        <f>HYPERLINK("https://lodz.nieruchomosci-online.pl/mieszkanie-w-bloku-mieszkalnym,do-remontu/25011329.html", "https://lodz.nieruchomosci-online.pl/mieszkanie-w-bloku-mieszkalnym,do-remontu/25011329.html")</f>
        <v/>
      </c>
      <c r="F559" t="inlineStr">
        <is>
          <t>franciszkańska</t>
        </is>
      </c>
      <c r="G559" t="inlineStr">
        <is>
          <t>Bałuty</t>
        </is>
      </c>
      <c r="H559" t="inlineStr">
        <is>
          <t>Bałuty blisko centrum</t>
        </is>
      </c>
      <c r="I559" t="inlineStr">
        <is>
          <t>NIE</t>
        </is>
      </c>
      <c r="J559" t="inlineStr">
        <is>
          <t>TAK</t>
        </is>
      </c>
      <c r="K559" t="n">
        <v>504183100</v>
      </c>
      <c r="L559" t="n">
        <v>328000</v>
      </c>
      <c r="M559" t="n">
        <v>6354.1263076327</v>
      </c>
      <c r="N559" t="n">
        <v>51.62</v>
      </c>
      <c r="O559" t="inlineStr">
        <is>
          <t>3+k</t>
        </is>
      </c>
      <c r="P559" t="n">
        <v>2</v>
      </c>
      <c r="Q559" t="inlineStr">
        <is>
          <t>Puste</t>
        </is>
      </c>
      <c r="R559" t="inlineStr">
        <is>
          <t>28.08.2024 zajęte</t>
        </is>
      </c>
    </row>
    <row r="560">
      <c r="A560" t="n">
        <v>559</v>
      </c>
      <c r="B560" s="3" t="n">
        <v>45492</v>
      </c>
      <c r="D560" t="inlineStr">
        <is>
          <t>https://www.otodom.pl/pl/oferta/m-4-balkon-swietna-lokalizacja-ID4rDRb.html</t>
        </is>
      </c>
      <c r="E560">
        <f>HYPERLINK("https://www.otodom.pl/pl/oferta/m-4-balkon-swietna-lokalizacja-ID4rDRb.html", "https://www.otodom.pl/pl/oferta/m-4-balkon-swietna-lokalizacja-ID4rDRb.html")</f>
        <v/>
      </c>
      <c r="F560" t="inlineStr">
        <is>
          <t xml:space="preserve">dąbrowskiego </t>
        </is>
      </c>
      <c r="G560" t="inlineStr">
        <is>
          <t>Dąbrowa</t>
        </is>
      </c>
      <c r="H560" t="inlineStr">
        <is>
          <t>Dąbrowa</t>
        </is>
      </c>
      <c r="I560" t="inlineStr">
        <is>
          <t>NIE</t>
        </is>
      </c>
      <c r="J560" t="inlineStr">
        <is>
          <t>TAK</t>
        </is>
      </c>
      <c r="K560" t="n">
        <v>500176119</v>
      </c>
      <c r="L560" t="n">
        <v>319000</v>
      </c>
      <c r="M560" t="n">
        <v>6788.678442221749</v>
      </c>
      <c r="N560" t="n">
        <v>46.99</v>
      </c>
      <c r="O560" t="inlineStr">
        <is>
          <t>3+k</t>
        </is>
      </c>
      <c r="P560" t="n">
        <v>9</v>
      </c>
      <c r="Q560" t="inlineStr">
        <is>
          <t>Nie da się zamieszkać</t>
        </is>
      </c>
    </row>
    <row r="561">
      <c r="A561" t="n">
        <v>560</v>
      </c>
      <c r="B561" s="3" t="n">
        <v>45492</v>
      </c>
      <c r="D561" t="inlineStr">
        <is>
          <t>https://szybko.pl/o/na-sprzedaz/lokal-mieszkalny+mieszkanie/Łódź+Bałuty/oferta-15340683</t>
        </is>
      </c>
      <c r="E561">
        <f>HYPERLINK("https://szybko.pl/o/na-sprzedaz/lokal-mieszkalny+mieszkanie/Łódź+Bałuty/oferta-15340683", "https://szybko.pl/o/na-sprzedaz/lokal-mieszkalny+mieszkanie/Łódź+Bałuty/oferta-15340683")</f>
        <v/>
      </c>
      <c r="F561" t="inlineStr">
        <is>
          <t>.</t>
        </is>
      </c>
      <c r="G561" t="inlineStr">
        <is>
          <t>Bałuty</t>
        </is>
      </c>
      <c r="H561" t="inlineStr">
        <is>
          <t>Bałuty</t>
        </is>
      </c>
      <c r="I561" t="inlineStr">
        <is>
          <t>NIE</t>
        </is>
      </c>
      <c r="J561" t="inlineStr">
        <is>
          <t>TAK</t>
        </is>
      </c>
      <c r="K561" t="n">
        <v>573068839</v>
      </c>
      <c r="L561" t="n">
        <v>369000</v>
      </c>
      <c r="M561" t="n">
        <v>7221.135029354207</v>
      </c>
      <c r="N561" t="n">
        <v>51.1</v>
      </c>
      <c r="O561" t="inlineStr">
        <is>
          <t>2+k</t>
        </is>
      </c>
      <c r="P561" t="n">
        <v>3</v>
      </c>
      <c r="Q561" t="inlineStr">
        <is>
          <t>Puste posprzątane</t>
        </is>
      </c>
    </row>
    <row r="562">
      <c r="A562" t="n">
        <v>561</v>
      </c>
      <c r="B562" s="3" t="n">
        <v>45492</v>
      </c>
      <c r="D562" t="inlineStr">
        <is>
          <t>https://www.otodom.pl/pl/oferta/rozkladowe-m3-do-remontu-w-bardzo-cichej-okolicy-ID4rDZ6.html</t>
        </is>
      </c>
      <c r="E562">
        <f>HYPERLINK("https://www.otodom.pl/pl/oferta/rozkladowe-m3-do-remontu-w-bardzo-cichej-okolicy-ID4rDZ6.html", "https://www.otodom.pl/pl/oferta/rozkladowe-m3-do-remontu-w-bardzo-cichej-okolicy-ID4rDZ6.html")</f>
        <v/>
      </c>
      <c r="F562" t="inlineStr">
        <is>
          <t>.</t>
        </is>
      </c>
      <c r="G562" t="inlineStr">
        <is>
          <t>Teofilów</t>
        </is>
      </c>
      <c r="H562" t="inlineStr">
        <is>
          <t>Teofilów</t>
        </is>
      </c>
      <c r="I562" t="inlineStr">
        <is>
          <t>NIE</t>
        </is>
      </c>
      <c r="J562" t="inlineStr">
        <is>
          <t>TAK</t>
        </is>
      </c>
      <c r="K562" t="n">
        <v>780097861</v>
      </c>
      <c r="L562" t="n">
        <v>340000</v>
      </c>
      <c r="M562" t="n">
        <v>7555.555555555556</v>
      </c>
      <c r="N562" t="n">
        <v>45</v>
      </c>
      <c r="O562" t="inlineStr">
        <is>
          <t>2+k</t>
        </is>
      </c>
      <c r="P562" t="n">
        <v>4</v>
      </c>
      <c r="Q562" t="inlineStr">
        <is>
          <t>Nie da się zamieszkać</t>
        </is>
      </c>
      <c r="R562" t="inlineStr">
        <is>
          <t>to nie dubel</t>
        </is>
      </c>
      <c r="T562" t="inlineStr">
        <is>
          <t>230</t>
        </is>
      </c>
    </row>
    <row r="563">
      <c r="A563" t="n">
        <v>562</v>
      </c>
      <c r="B563" s="3" t="n">
        <v>45493</v>
      </c>
      <c r="C563" s="3" t="n">
        <v>45506</v>
      </c>
      <c r="D563" t="inlineStr">
        <is>
          <t>https://www.otodom.pl/pl/oferta/3-pokoje-60m2-marysinska-ID4rEbH.html</t>
        </is>
      </c>
      <c r="E563">
        <f>HYPERLINK("https://www.otodom.pl/pl/oferta/3-pokoje-60m2-marysinska-ID4rEbH.html", "https://www.otodom.pl/pl/oferta/3-pokoje-60m2-marysinska-ID4rEbH.html")</f>
        <v/>
      </c>
      <c r="F563" t="inlineStr">
        <is>
          <t>marysińska</t>
        </is>
      </c>
      <c r="G563" t="inlineStr">
        <is>
          <t>Bałuty</t>
        </is>
      </c>
      <c r="H563" t="inlineStr">
        <is>
          <t>Bałuty</t>
        </is>
      </c>
      <c r="I563" t="inlineStr">
        <is>
          <t>TAK</t>
        </is>
      </c>
      <c r="J563" t="inlineStr">
        <is>
          <t>NIE</t>
        </is>
      </c>
      <c r="K563" t="n">
        <v>505067013</v>
      </c>
      <c r="L563" t="n">
        <v>460000</v>
      </c>
      <c r="M563" t="n">
        <v>7751.937984496123</v>
      </c>
      <c r="N563" t="n">
        <v>59.34</v>
      </c>
      <c r="O563" t="inlineStr">
        <is>
          <t>3+k</t>
        </is>
      </c>
      <c r="P563" t="n">
        <v>3</v>
      </c>
      <c r="Q563" t="inlineStr">
        <is>
          <t>Nie da się zamieszkać</t>
        </is>
      </c>
    </row>
    <row r="564">
      <c r="A564" t="n">
        <v>563</v>
      </c>
      <c r="B564" s="3" t="n">
        <v>45493</v>
      </c>
      <c r="C564" s="3" t="n">
        <v>45532</v>
      </c>
      <c r="D564" t="inlineStr">
        <is>
          <t>https://www.otodom.pl/pl/oferta/2-pokoje-widne-karolew-bratyslawska-ID4rEiG</t>
        </is>
      </c>
      <c r="E564">
        <f>HYPERLINK("https://www.otodom.pl/pl/oferta/2-pokoje-widne-karolew-bratyslawska-ID4rEiG", "https://www.otodom.pl/pl/oferta/2-pokoje-widne-karolew-bratyslawska-ID4rEiG")</f>
        <v/>
      </c>
      <c r="F564" t="inlineStr">
        <is>
          <t>bratysławska</t>
        </is>
      </c>
      <c r="G564" t="inlineStr">
        <is>
          <t>Retkinia</t>
        </is>
      </c>
      <c r="H564" t="inlineStr">
        <is>
          <t>Retkinia blisko centrum</t>
        </is>
      </c>
      <c r="I564" t="inlineStr">
        <is>
          <t>TAK</t>
        </is>
      </c>
      <c r="J564" t="inlineStr">
        <is>
          <t>TAK</t>
        </is>
      </c>
      <c r="K564" t="n">
        <v>505113810</v>
      </c>
      <c r="L564" t="n">
        <v>272500</v>
      </c>
      <c r="M564" t="n">
        <v>7286.096256684492</v>
      </c>
      <c r="N564" t="n">
        <v>37.4</v>
      </c>
      <c r="O564" t="inlineStr">
        <is>
          <t>2+k</t>
        </is>
      </c>
      <c r="P564" t="n">
        <v>5</v>
      </c>
      <c r="Q564" t="inlineStr">
        <is>
          <t>Nie da się zamieszkać</t>
        </is>
      </c>
    </row>
    <row r="565">
      <c r="A565" t="n">
        <v>564</v>
      </c>
      <c r="B565" s="3" t="n">
        <v>45494</v>
      </c>
      <c r="C565" s="3" t="n">
        <v>45510</v>
      </c>
      <c r="D565" t="inlineStr">
        <is>
          <t>https://www.olx.pl/d/oferta/m-2-chojny-bezposrednio-34-89m2-CID3-ID1164PL.html</t>
        </is>
      </c>
      <c r="E565">
        <f>HYPERLINK("https://www.olx.pl/d/oferta/m-2-chojny-bezposrednio-34-89m2-CID3-ID1164PL.html", "https://www.olx.pl/d/oferta/m-2-chojny-bezposrednio-34-89m2-CID3-ID1164PL.html")</f>
        <v/>
      </c>
      <c r="F565" t="inlineStr">
        <is>
          <t>gładka</t>
        </is>
      </c>
      <c r="G565" t="inlineStr">
        <is>
          <t>Górna</t>
        </is>
      </c>
      <c r="H565" t="inlineStr">
        <is>
          <t>Daleka górna</t>
        </is>
      </c>
      <c r="I565" t="inlineStr">
        <is>
          <t>TAK</t>
        </is>
      </c>
      <c r="J565" t="inlineStr">
        <is>
          <t>TAK</t>
        </is>
      </c>
      <c r="K565" t="n">
        <v>601517675</v>
      </c>
      <c r="L565" t="n">
        <v>272000</v>
      </c>
      <c r="M565" t="n">
        <v>7795.930065921468</v>
      </c>
      <c r="N565" t="n">
        <v>34.89</v>
      </c>
      <c r="O565" t="inlineStr">
        <is>
          <t>2+k</t>
        </is>
      </c>
      <c r="P565" t="n">
        <v>4</v>
      </c>
      <c r="Q565" t="inlineStr">
        <is>
          <t>Nie da się zamieszkać</t>
        </is>
      </c>
    </row>
    <row r="566">
      <c r="A566" t="n">
        <v>565</v>
      </c>
      <c r="B566" s="3" t="n">
        <v>45494</v>
      </c>
      <c r="D566" t="inlineStr">
        <is>
          <t>https://www.olx.pl/d/oferta/2-pokoje-49-15-m-z-balkonem-8-pietro-retkinia-CID3-ID11H2fY.html</t>
        </is>
      </c>
      <c r="E566">
        <f>HYPERLINK("https://www.olx.pl/d/oferta/2-pokoje-49-15-m-z-balkonem-8-pietro-retkinia-CID3-ID11H2fY.html", "https://www.olx.pl/d/oferta/2-pokoje-49-15-m-z-balkonem-8-pietro-retkinia-CID3-ID11H2fY.html")</f>
        <v/>
      </c>
      <c r="F566" t="inlineStr">
        <is>
          <t>hubala</t>
        </is>
      </c>
      <c r="G566" t="inlineStr">
        <is>
          <t>Retkinia</t>
        </is>
      </c>
      <c r="H566" t="inlineStr">
        <is>
          <t>Retkinia</t>
        </is>
      </c>
      <c r="I566" t="inlineStr">
        <is>
          <t>NIE</t>
        </is>
      </c>
      <c r="J566" t="inlineStr">
        <is>
          <t>NIE</t>
        </is>
      </c>
      <c r="K566" t="n">
        <v>500513962</v>
      </c>
      <c r="L566" t="n">
        <v>335000</v>
      </c>
      <c r="M566" t="n">
        <v>6815.869786368261</v>
      </c>
      <c r="N566" t="n">
        <v>49.15</v>
      </c>
      <c r="O566" t="inlineStr">
        <is>
          <t>2+k</t>
        </is>
      </c>
      <c r="P566" t="n">
        <v>8</v>
      </c>
      <c r="Q566" t="inlineStr">
        <is>
          <t>Puste posprzątane</t>
        </is>
      </c>
      <c r="R566" t="inlineStr">
        <is>
          <t>08.08 obejrzane na żywo. Klatka taka sobie. Ale jest winda zsypy. Duzy balkon. Fajne. 23.08 było 355k.  Numer do własciciela 788 339 070</t>
        </is>
      </c>
    </row>
    <row r="567">
      <c r="A567" t="n">
        <v>566</v>
      </c>
      <c r="B567" s="3" t="n">
        <v>45494</v>
      </c>
      <c r="D567" t="inlineStr">
        <is>
          <t>https://www.olx.pl/d/oferta/mieszkanie-inwestycyjne-w-centrum-lodzi-CID3-ID116BcT.html?isPreviewActive=0&amp;sliderIndex=7</t>
        </is>
      </c>
      <c r="E567">
        <f>HYPERLINK("https://www.olx.pl/d/oferta/mieszkanie-inwestycyjne-w-centrum-lodzi-CID3-ID116BcT.html?isPreviewActive=0&amp;sliderIndex=7", "https://www.olx.pl/d/oferta/mieszkanie-inwestycyjne-w-centrum-lodzi-CID3-ID116BcT.html?isPreviewActive=0&amp;sliderIndex=7")</f>
        <v/>
      </c>
      <c r="F567" t="inlineStr">
        <is>
          <t>fabryczna</t>
        </is>
      </c>
      <c r="G567" t="inlineStr">
        <is>
          <t>Śródmieście</t>
        </is>
      </c>
      <c r="H567" t="inlineStr">
        <is>
          <t>Śródmieście</t>
        </is>
      </c>
      <c r="I567" t="inlineStr">
        <is>
          <t>NIE</t>
        </is>
      </c>
      <c r="J567" t="inlineStr">
        <is>
          <t>NIE</t>
        </is>
      </c>
      <c r="K567" t="n">
        <v>601070751</v>
      </c>
      <c r="L567" t="n">
        <v>260000</v>
      </c>
      <c r="M567" t="n">
        <v>7985.257985257985</v>
      </c>
      <c r="N567" t="n">
        <v>32.56</v>
      </c>
      <c r="O567" t="inlineStr">
        <is>
          <t>2+k</t>
        </is>
      </c>
      <c r="P567" t="n">
        <v>2</v>
      </c>
      <c r="Q567" t="inlineStr">
        <is>
          <t>Nie da się zamieszkać</t>
        </is>
      </c>
      <c r="R567" t="inlineStr">
        <is>
          <t>było niekatywne od 28.08 wrociło 13.09</t>
        </is>
      </c>
    </row>
    <row r="568">
      <c r="A568" t="n">
        <v>567</v>
      </c>
      <c r="B568" s="3" t="n">
        <v>45494</v>
      </c>
      <c r="C568" s="3" t="n">
        <v>45532</v>
      </c>
      <c r="D568" t="inlineStr">
        <is>
          <t>https://www.olx.pl/d/oferta/sprzedam-ul-lutomierska-blok-mieszkanie-44-m1-pietro-CID3-ID116u3s.html</t>
        </is>
      </c>
      <c r="E568">
        <f>HYPERLINK("https://www.olx.pl/d/oferta/sprzedam-ul-lutomierska-blok-mieszkanie-44-m1-pietro-CID3-ID116u3s.html", "https://www.olx.pl/d/oferta/sprzedam-ul-lutomierska-blok-mieszkanie-44-m1-pietro-CID3-ID116u3s.html")</f>
        <v/>
      </c>
      <c r="F568" t="inlineStr">
        <is>
          <t>lutomierska</t>
        </is>
      </c>
      <c r="G568" t="inlineStr">
        <is>
          <t>Polesie</t>
        </is>
      </c>
      <c r="H568" t="inlineStr">
        <is>
          <t>Polesie</t>
        </is>
      </c>
      <c r="I568" t="inlineStr">
        <is>
          <t>TAK</t>
        </is>
      </c>
      <c r="J568" t="inlineStr">
        <is>
          <t>TAK</t>
        </is>
      </c>
      <c r="K568" t="n">
        <v>500752900</v>
      </c>
      <c r="L568" t="n">
        <v>350000</v>
      </c>
      <c r="M568" t="n">
        <v>7954.545454545455</v>
      </c>
      <c r="N568" t="n">
        <v>44</v>
      </c>
      <c r="O568" t="inlineStr">
        <is>
          <t>2+k</t>
        </is>
      </c>
      <c r="P568" t="n">
        <v>1</v>
      </c>
      <c r="Q568" t="inlineStr">
        <is>
          <t>Nie da się zamieszkać</t>
        </is>
      </c>
    </row>
    <row r="569">
      <c r="A569" t="n">
        <v>568</v>
      </c>
      <c r="B569" s="3" t="n">
        <v>45495</v>
      </c>
      <c r="D569" t="inlineStr">
        <is>
          <t>https://nieruchomosci.gratka.pl/nieruchomosci/mieszkanie-lodz-srodmiescie-wierzbowa/ob/35264137</t>
        </is>
      </c>
      <c r="E569">
        <f>HYPERLINK("https://nieruchomosci.gratka.pl/nieruchomosci/mieszkanie-lodz-srodmiescie-wierzbowa/ob/35264137", "https://nieruchomosci.gratka.pl/nieruchomosci/mieszkanie-lodz-srodmiescie-wierzbowa/ob/35264137")</f>
        <v/>
      </c>
      <c r="F569" t="inlineStr">
        <is>
          <t>wierzbowa</t>
        </is>
      </c>
      <c r="G569" t="inlineStr">
        <is>
          <t>Śródmieście</t>
        </is>
      </c>
      <c r="H569" t="inlineStr">
        <is>
          <t>Śródmieście</t>
        </is>
      </c>
      <c r="I569" t="inlineStr">
        <is>
          <t>NIE</t>
        </is>
      </c>
      <c r="J569" t="inlineStr">
        <is>
          <t>TAK</t>
        </is>
      </c>
      <c r="K569" t="n">
        <v>530195255</v>
      </c>
      <c r="L569" t="n">
        <v>349000</v>
      </c>
      <c r="M569" t="n">
        <v>7191.427982691119</v>
      </c>
      <c r="N569" t="n">
        <v>48.53</v>
      </c>
      <c r="O569" t="inlineStr">
        <is>
          <t>2+k</t>
        </is>
      </c>
      <c r="P569" t="n">
        <v>2</v>
      </c>
      <c r="Q569" t="inlineStr">
        <is>
          <t>Nie da się zamieszkać</t>
        </is>
      </c>
      <c r="R569" t="inlineStr">
        <is>
          <t>09.09 było 360k</t>
        </is>
      </c>
    </row>
    <row r="570">
      <c r="A570" t="n">
        <v>569</v>
      </c>
      <c r="B570" s="3" t="n">
        <v>45495</v>
      </c>
      <c r="C570" s="3" t="n">
        <v>45532</v>
      </c>
      <c r="D570" t="inlineStr">
        <is>
          <t>https://www.otodom.pl/pl/oferta/ladne-mieszkanie-przy-emilii-plater-ID4rEWu.html</t>
        </is>
      </c>
      <c r="E570">
        <f>HYPERLINK("https://www.otodom.pl/pl/oferta/ladne-mieszkanie-przy-emilii-plater-ID4rEWu.html", "https://www.otodom.pl/pl/oferta/ladne-mieszkanie-przy-emilii-plater-ID4rEWu.html")</f>
        <v/>
      </c>
      <c r="F570" t="inlineStr">
        <is>
          <t>emili plater</t>
        </is>
      </c>
      <c r="G570" t="inlineStr">
        <is>
          <t>Bałuty</t>
        </is>
      </c>
      <c r="H570" t="inlineStr">
        <is>
          <t>Bałuty</t>
        </is>
      </c>
      <c r="I570" t="inlineStr">
        <is>
          <t>TAK</t>
        </is>
      </c>
      <c r="J570" t="inlineStr">
        <is>
          <t>TAK</t>
        </is>
      </c>
      <c r="K570" t="n">
        <v>600808775</v>
      </c>
      <c r="L570" t="n">
        <v>275000</v>
      </c>
      <c r="M570" t="n">
        <v>7432.432432432433</v>
      </c>
      <c r="N570" t="n">
        <v>37</v>
      </c>
      <c r="O570" t="inlineStr">
        <is>
          <t>2+k</t>
        </is>
      </c>
      <c r="P570" t="n">
        <v>3</v>
      </c>
      <c r="Q570" t="inlineStr">
        <is>
          <t>Nie da się zamieszkać</t>
        </is>
      </c>
    </row>
    <row r="571">
      <c r="A571" t="n">
        <v>570</v>
      </c>
      <c r="B571" s="3" t="n">
        <v>45495</v>
      </c>
      <c r="D571" t="inlineStr">
        <is>
          <t>https://www.morizon.pl/oferta/sprzedaz-mieszkanie-lodz-baluty-uniejowska-52m2-mzn2043481728</t>
        </is>
      </c>
      <c r="E571">
        <f>HYPERLINK("https://www.morizon.pl/oferta/sprzedaz-mieszkanie-lodz-baluty-uniejowska-52m2-mzn2043481728", "https://www.morizon.pl/oferta/sprzedaz-mieszkanie-lodz-baluty-uniejowska-52m2-mzn2043481728")</f>
        <v/>
      </c>
      <c r="F571" t="inlineStr">
        <is>
          <t>uniejowska</t>
        </is>
      </c>
      <c r="G571" t="inlineStr">
        <is>
          <t>Teofilów</t>
        </is>
      </c>
      <c r="H571" t="inlineStr">
        <is>
          <t>Teofilów</t>
        </is>
      </c>
      <c r="I571" t="inlineStr">
        <is>
          <t>NIE</t>
        </is>
      </c>
      <c r="J571" t="inlineStr">
        <is>
          <t>NIE</t>
        </is>
      </c>
      <c r="K571" t="n">
        <v>512969468</v>
      </c>
      <c r="L571" t="n">
        <v>350000</v>
      </c>
      <c r="M571" t="n">
        <v>6730.76923076923</v>
      </c>
      <c r="N571" t="n">
        <v>52</v>
      </c>
      <c r="O571" t="inlineStr">
        <is>
          <t>3+k</t>
        </is>
      </c>
      <c r="P571" t="n">
        <v>4</v>
      </c>
      <c r="Q571" t="inlineStr">
        <is>
          <t>Nie da się zamieszkać</t>
        </is>
      </c>
      <c r="R571" t="inlineStr">
        <is>
          <t>dobre na hybryde</t>
        </is>
      </c>
    </row>
    <row r="572">
      <c r="A572" t="n">
        <v>571</v>
      </c>
      <c r="B572" s="3" t="n">
        <v>45495</v>
      </c>
      <c r="D572" t="inlineStr">
        <is>
          <t>https://szybko.pl/o/na-sprzedaz/lokal-mieszkalny+mieszkanie/Łódź+Widzew/oferta-15262701</t>
        </is>
      </c>
      <c r="E572">
        <f>HYPERLINK("https://szybko.pl/o/na-sprzedaz/lokal-mieszkalny+mieszkanie/Łódź+Widzew/oferta-15262701", "https://szybko.pl/o/na-sprzedaz/lokal-mieszkalny+mieszkanie/Łódź+Widzew/oferta-15262701")</f>
        <v/>
      </c>
      <c r="F572" t="inlineStr">
        <is>
          <t>tuwima</t>
        </is>
      </c>
      <c r="G572" t="inlineStr">
        <is>
          <t>Śródmieście</t>
        </is>
      </c>
      <c r="H572" t="inlineStr">
        <is>
          <t>Śródmieście</t>
        </is>
      </c>
      <c r="I572" t="inlineStr">
        <is>
          <t>NIE</t>
        </is>
      </c>
      <c r="J572" t="inlineStr">
        <is>
          <t>TAK</t>
        </is>
      </c>
      <c r="K572" t="n">
        <v>664977271</v>
      </c>
      <c r="L572" t="n">
        <v>355000</v>
      </c>
      <c r="M572" t="n">
        <v>7888.888888888889</v>
      </c>
      <c r="N572" t="n">
        <v>45</v>
      </c>
      <c r="O572" t="inlineStr">
        <is>
          <t>2+k</t>
        </is>
      </c>
      <c r="P572" t="n">
        <v>2</v>
      </c>
      <c r="Q572" t="inlineStr">
        <is>
          <t>Nie da się zamieszkać</t>
        </is>
      </c>
      <c r="R572" t="inlineStr">
        <is>
          <t xml:space="preserve">podobno da się zrobić m3 </t>
        </is>
      </c>
    </row>
    <row r="573">
      <c r="A573" t="n">
        <v>572</v>
      </c>
      <c r="B573" s="3" t="n">
        <v>45495</v>
      </c>
      <c r="D573" t="inlineStr">
        <is>
          <t>https://nieruchomosci.gratka.pl/nieruchomosci/mieszkanie-lodz-srodmiescie-pomorska/ob/35268021</t>
        </is>
      </c>
      <c r="E573">
        <f>HYPERLINK("https://nieruchomosci.gratka.pl/nieruchomosci/mieszkanie-lodz-srodmiescie-pomorska/ob/35268021", "https://nieruchomosci.gratka.pl/nieruchomosci/mieszkanie-lodz-srodmiescie-pomorska/ob/35268021")</f>
        <v/>
      </c>
      <c r="F573" t="inlineStr">
        <is>
          <t>pomorska</t>
        </is>
      </c>
      <c r="G573" t="inlineStr">
        <is>
          <t>Śródmieście</t>
        </is>
      </c>
      <c r="H573" t="inlineStr">
        <is>
          <t>Śródmieście</t>
        </is>
      </c>
      <c r="I573" t="inlineStr">
        <is>
          <t>NIE</t>
        </is>
      </c>
      <c r="J573" t="inlineStr">
        <is>
          <t>TAK</t>
        </is>
      </c>
      <c r="K573" t="n">
        <v>607300997</v>
      </c>
      <c r="L573" t="n">
        <v>345000</v>
      </c>
      <c r="M573" t="n">
        <v>8214.285714285714</v>
      </c>
      <c r="N573" t="n">
        <v>42</v>
      </c>
      <c r="O573" t="inlineStr">
        <is>
          <t>2+k</t>
        </is>
      </c>
      <c r="P573" t="n">
        <v>1</v>
      </c>
      <c r="Q573" t="inlineStr">
        <is>
          <t>Nie da się zamieszkać</t>
        </is>
      </c>
    </row>
    <row r="574">
      <c r="A574" t="n">
        <v>573</v>
      </c>
      <c r="B574" s="3" t="n">
        <v>45495</v>
      </c>
      <c r="D574" t="inlineStr">
        <is>
          <t>https://www.otodom.pl/pl/oferta/m3-na-retkini-do-remontu-ID4rFqA.html</t>
        </is>
      </c>
      <c r="E574">
        <f>HYPERLINK("https://www.otodom.pl/pl/oferta/m3-na-retkini-do-remontu-ID4rFqA.html", "https://www.otodom.pl/pl/oferta/m3-na-retkini-do-remontu-ID4rFqA.html")</f>
        <v/>
      </c>
      <c r="F574" t="inlineStr">
        <is>
          <t>.</t>
        </is>
      </c>
      <c r="G574" t="inlineStr">
        <is>
          <t>Retkinia</t>
        </is>
      </c>
      <c r="H574" t="inlineStr">
        <is>
          <t>Retkinia</t>
        </is>
      </c>
      <c r="I574" t="inlineStr">
        <is>
          <t>NIE</t>
        </is>
      </c>
      <c r="J574" t="inlineStr">
        <is>
          <t>TAK</t>
        </is>
      </c>
      <c r="K574" t="n">
        <v>453415809</v>
      </c>
      <c r="L574" t="n">
        <v>355000</v>
      </c>
      <c r="M574" t="n">
        <v>7222.787385554426</v>
      </c>
      <c r="N574" t="n">
        <v>49.15</v>
      </c>
      <c r="O574" t="inlineStr">
        <is>
          <t>2+k</t>
        </is>
      </c>
      <c r="P574" t="n">
        <v>8</v>
      </c>
      <c r="Q574" t="inlineStr">
        <is>
          <t>Puste posprzątane</t>
        </is>
      </c>
      <c r="R574" t="inlineStr">
        <is>
          <t>możliwy garaz do dokupienia za 50k</t>
        </is>
      </c>
    </row>
    <row r="575">
      <c r="A575" t="n">
        <v>574</v>
      </c>
      <c r="B575" s="3" t="n">
        <v>45495</v>
      </c>
      <c r="C575" s="3" t="n">
        <v>45522</v>
      </c>
      <c r="D575" t="inlineStr">
        <is>
          <t>https://www.otodom.pl/pl/oferta/m345baluty-rozkladowe-teren-ogrodzony-z-garazem-ID4rFvo.html</t>
        </is>
      </c>
      <c r="E575">
        <f>HYPERLINK("https://www.otodom.pl/pl/oferta/m345baluty-rozkladowe-teren-ogrodzony-z-garazem-ID4rFvo.html", "https://www.otodom.pl/pl/oferta/m345baluty-rozkladowe-teren-ogrodzony-z-garazem-ID4rFvo.html")</f>
        <v/>
      </c>
      <c r="F575" t="inlineStr">
        <is>
          <t>mackiewicza</t>
        </is>
      </c>
      <c r="G575" t="inlineStr">
        <is>
          <t>Bałuty</t>
        </is>
      </c>
      <c r="H575" t="inlineStr">
        <is>
          <t>Bałuty</t>
        </is>
      </c>
      <c r="I575" t="inlineStr">
        <is>
          <t>TAK</t>
        </is>
      </c>
      <c r="J575" t="inlineStr">
        <is>
          <t>TAK</t>
        </is>
      </c>
      <c r="K575" t="n">
        <v>516716153</v>
      </c>
      <c r="L575" t="n">
        <v>309000</v>
      </c>
      <c r="M575" t="n">
        <v>6846.886771548859</v>
      </c>
      <c r="N575" t="n">
        <v>45.13</v>
      </c>
      <c r="O575" t="inlineStr">
        <is>
          <t>2+k</t>
        </is>
      </c>
      <c r="P575" t="n">
        <v>0</v>
      </c>
      <c r="Q575" t="inlineStr">
        <is>
          <t>Nie da się zamieszkać</t>
        </is>
      </c>
    </row>
    <row r="576">
      <c r="A576" t="n">
        <v>575</v>
      </c>
      <c r="B576" s="3" t="n">
        <v>45495</v>
      </c>
      <c r="D576" t="inlineStr">
        <is>
          <t>https://www.olx.pl/d/oferta/centrum-ulica-sterlinga-dwa-rozkladowe-pokoje-CID3-ID117f05.html</t>
        </is>
      </c>
      <c r="E576">
        <f>HYPERLINK("https://www.olx.pl/d/oferta/centrum-ulica-sterlinga-dwa-rozkladowe-pokoje-CID3-ID117f05.html", "https://www.olx.pl/d/oferta/centrum-ulica-sterlinga-dwa-rozkladowe-pokoje-CID3-ID117f05.html")</f>
        <v/>
      </c>
      <c r="F576" t="inlineStr">
        <is>
          <t>sterlinga</t>
        </is>
      </c>
      <c r="G576" t="inlineStr">
        <is>
          <t>Śródmieście</t>
        </is>
      </c>
      <c r="H576" t="inlineStr">
        <is>
          <t>Śródmieście</t>
        </is>
      </c>
      <c r="I576" t="inlineStr">
        <is>
          <t>NIE</t>
        </is>
      </c>
      <c r="J576" t="inlineStr">
        <is>
          <t>TAK</t>
        </is>
      </c>
      <c r="K576" t="n">
        <v>601394558</v>
      </c>
      <c r="L576" t="n">
        <v>330000</v>
      </c>
      <c r="M576" t="n">
        <v>6490.952006294256</v>
      </c>
      <c r="N576" t="n">
        <v>50.84</v>
      </c>
      <c r="O576" t="inlineStr">
        <is>
          <t>2+k</t>
        </is>
      </c>
      <c r="P576" t="n">
        <v>1</v>
      </c>
      <c r="Q576" t="inlineStr">
        <is>
          <t>Nie da się zamieszkać</t>
        </is>
      </c>
      <c r="R576" t="inlineStr">
        <is>
          <t>09.09 było 350k 11.09 można zrobić 3 pokoje XD, było 350 jest 330 460, idę oglądać dziś - Sterlinga 2/4</t>
        </is>
      </c>
    </row>
    <row r="577">
      <c r="A577" t="n">
        <v>576</v>
      </c>
      <c r="B577" s="3" t="n">
        <v>45495</v>
      </c>
      <c r="D577" t="inlineStr">
        <is>
          <t>https://www.otodom.pl/pl/oferta/m3-lodz-baluty-ul-turoszowska-pow-44-41-m2-ID4rFDf.html</t>
        </is>
      </c>
      <c r="E577">
        <f>HYPERLINK("https://www.otodom.pl/pl/oferta/m3-lodz-baluty-ul-turoszowska-pow-44-41-m2-ID4rFDf.html", "https://www.otodom.pl/pl/oferta/m3-lodz-baluty-ul-turoszowska-pow-44-41-m2-ID4rFDf.html")</f>
        <v/>
      </c>
      <c r="F577" t="inlineStr">
        <is>
          <t>turoszowska</t>
        </is>
      </c>
      <c r="G577" t="inlineStr">
        <is>
          <t>Teofilów</t>
        </is>
      </c>
      <c r="H577" t="inlineStr">
        <is>
          <t>Teofilów</t>
        </is>
      </c>
      <c r="I577" t="inlineStr">
        <is>
          <t>NIE</t>
        </is>
      </c>
      <c r="J577" t="inlineStr">
        <is>
          <t>NIE</t>
        </is>
      </c>
      <c r="K577" t="n">
        <v>504264674</v>
      </c>
      <c r="L577" t="n">
        <v>279000</v>
      </c>
      <c r="M577" t="n">
        <v>6282.368835847782</v>
      </c>
      <c r="N577" t="n">
        <v>44.41</v>
      </c>
      <c r="O577" t="inlineStr">
        <is>
          <t>2+k</t>
        </is>
      </c>
      <c r="P577" t="n">
        <v>2</v>
      </c>
      <c r="Q577" t="inlineStr">
        <is>
          <t>Nie da się zamieszkać</t>
        </is>
      </c>
      <c r="R577" t="inlineStr">
        <is>
          <t>17.08 było 310 17.08 było 310, jakiś zestresowany, w środę 28.08.2024 dzwonić, żeby się umówić na oglądanie i rzucenie balona ;P</t>
        </is>
      </c>
    </row>
    <row r="578">
      <c r="A578" t="n">
        <v>577</v>
      </c>
      <c r="B578" s="3" t="n">
        <v>45495</v>
      </c>
      <c r="C578" s="3" t="n">
        <v>45548</v>
      </c>
      <c r="D578" t="inlineStr">
        <is>
          <t>https://nieruchomosci.gratka.pl/nieruchomosci/mieszkanie-lodz-gorna/ob/35272323</t>
        </is>
      </c>
      <c r="E578">
        <f>HYPERLINK("https://nieruchomosci.gratka.pl/nieruchomosci/mieszkanie-lodz-gorna/ob/35272323", "https://nieruchomosci.gratka.pl/nieruchomosci/mieszkanie-lodz-gorna/ob/35272323")</f>
        <v/>
      </c>
      <c r="F578" t="inlineStr">
        <is>
          <t>.</t>
        </is>
      </c>
      <c r="G578" t="inlineStr">
        <is>
          <t>Górna</t>
        </is>
      </c>
      <c r="H578" t="inlineStr">
        <is>
          <t>Górna</t>
        </is>
      </c>
      <c r="I578" t="inlineStr">
        <is>
          <t>TAK</t>
        </is>
      </c>
      <c r="J578" t="inlineStr">
        <is>
          <t>TAK</t>
        </is>
      </c>
      <c r="K578" t="n">
        <v>798735886</v>
      </c>
      <c r="L578" t="n">
        <v>375000</v>
      </c>
      <c r="M578" t="n">
        <v>6860.592755214051</v>
      </c>
      <c r="N578" t="n">
        <v>54.66</v>
      </c>
      <c r="O578" t="inlineStr">
        <is>
          <t>3+k</t>
        </is>
      </c>
      <c r="P578" t="n">
        <v>7</v>
      </c>
      <c r="Q578" t="inlineStr">
        <is>
          <t>Nie da się zamieszkać</t>
        </is>
      </c>
    </row>
    <row r="579">
      <c r="A579" t="n">
        <v>578</v>
      </c>
      <c r="B579" s="3" t="n">
        <v>45495</v>
      </c>
      <c r="C579" s="3" t="n">
        <v>45510</v>
      </c>
      <c r="D579" t="inlineStr">
        <is>
          <t>https://www.domiporta.pl/nieruchomosci/sprzedam-mieszkanie-dwupokojowe-lodz-koziny-gazowa-37m2/155273125</t>
        </is>
      </c>
      <c r="E579">
        <f>HYPERLINK("https://www.domiporta.pl/nieruchomosci/sprzedam-mieszkanie-dwupokojowe-lodz-koziny-gazowa-37m2/155273125", "https://www.domiporta.pl/nieruchomosci/sprzedam-mieszkanie-dwupokojowe-lodz-koziny-gazowa-37m2/155273125")</f>
        <v/>
      </c>
      <c r="F579" t="inlineStr">
        <is>
          <t>gazowa</t>
        </is>
      </c>
      <c r="G579" t="inlineStr">
        <is>
          <t>Polesie</t>
        </is>
      </c>
      <c r="H579" t="inlineStr">
        <is>
          <t>Polesie</t>
        </is>
      </c>
      <c r="I579" t="inlineStr">
        <is>
          <t>TAK</t>
        </is>
      </c>
      <c r="J579" t="inlineStr">
        <is>
          <t>TAK</t>
        </is>
      </c>
      <c r="K579" t="n">
        <v>518322634</v>
      </c>
      <c r="L579" t="n">
        <v>255000</v>
      </c>
      <c r="M579" t="n">
        <v>6891.891891891892</v>
      </c>
      <c r="N579" t="n">
        <v>37</v>
      </c>
      <c r="O579" t="inlineStr">
        <is>
          <t>2+k</t>
        </is>
      </c>
      <c r="P579" t="n">
        <v>3</v>
      </c>
      <c r="Q579" t="inlineStr">
        <is>
          <t>Nie da się zamieszkać</t>
        </is>
      </c>
      <c r="R579" t="inlineStr">
        <is>
          <t xml:space="preserve">okna do wymiany 05.09.2024 sprzedane to na Kozinach </t>
        </is>
      </c>
    </row>
    <row r="580">
      <c r="A580" t="n">
        <v>579</v>
      </c>
      <c r="B580" s="3" t="n">
        <v>45495</v>
      </c>
      <c r="C580" s="3" t="n">
        <v>45522</v>
      </c>
      <c r="D580" t="inlineStr">
        <is>
          <t>https://www.otodom.pl/pl/oferta/rozkladowe-m-3-z-balkonem-blisko-politechnika-ID4rCIz.html</t>
        </is>
      </c>
      <c r="E580">
        <f>HYPERLINK("https://www.otodom.pl/pl/oferta/rozkladowe-m-3-z-balkonem-blisko-politechnika-ID4rCIz.html", "https://www.otodom.pl/pl/oferta/rozkladowe-m-3-z-balkonem-blisko-politechnika-ID4rCIz.html")</f>
        <v/>
      </c>
      <c r="F580" t="inlineStr">
        <is>
          <t>kurak</t>
        </is>
      </c>
      <c r="G580" t="inlineStr">
        <is>
          <t>Górna</t>
        </is>
      </c>
      <c r="H580" t="inlineStr">
        <is>
          <t>Górna</t>
        </is>
      </c>
      <c r="I580" t="inlineStr">
        <is>
          <t>TAK</t>
        </is>
      </c>
      <c r="J580" t="inlineStr">
        <is>
          <t>TAK</t>
        </is>
      </c>
      <c r="K580" t="n">
        <v>883541184</v>
      </c>
      <c r="L580" t="n">
        <v>310000</v>
      </c>
      <c r="M580" t="n">
        <v>7177.587404491781</v>
      </c>
      <c r="N580" t="n">
        <v>43.19</v>
      </c>
      <c r="O580" t="inlineStr">
        <is>
          <t>2+k</t>
        </is>
      </c>
      <c r="P580" t="n">
        <v>8</v>
      </c>
      <c r="Q580" t="inlineStr">
        <is>
          <t>Nie da się zamieszkać</t>
        </is>
      </c>
      <c r="R580" t="inlineStr">
        <is>
          <t>20.08 było 319k</t>
        </is>
      </c>
    </row>
    <row r="581">
      <c r="A581" t="n">
        <v>580</v>
      </c>
      <c r="B581" s="3" t="n">
        <v>45496</v>
      </c>
      <c r="C581" s="3" t="n">
        <v>45532</v>
      </c>
      <c r="D581" t="inlineStr">
        <is>
          <t>https://www.otodom.pl/pl/oferta/karolew-jeden-pokoj-na-zielonym-osiedlu-ID4rFYG.html</t>
        </is>
      </c>
      <c r="E581">
        <f>HYPERLINK("https://www.otodom.pl/pl/oferta/karolew-jeden-pokoj-na-zielonym-osiedlu-ID4rFYG.html", "https://www.otodom.pl/pl/oferta/karolew-jeden-pokoj-na-zielonym-osiedlu-ID4rFYG.html")</f>
        <v/>
      </c>
      <c r="F581" t="inlineStr">
        <is>
          <t>karolew</t>
        </is>
      </c>
      <c r="G581" t="inlineStr">
        <is>
          <t>Polesie</t>
        </is>
      </c>
      <c r="H581" t="inlineStr">
        <is>
          <t>Polesie</t>
        </is>
      </c>
      <c r="I581" t="inlineStr">
        <is>
          <t>TAK</t>
        </is>
      </c>
      <c r="J581" t="inlineStr">
        <is>
          <t>TAK</t>
        </is>
      </c>
      <c r="K581" t="n">
        <v>513128766</v>
      </c>
      <c r="L581" t="n">
        <v>258000</v>
      </c>
      <c r="M581" t="n">
        <v>7041.484716157205</v>
      </c>
      <c r="N581" t="n">
        <v>36.64</v>
      </c>
      <c r="O581" t="inlineStr">
        <is>
          <t>1+k</t>
        </is>
      </c>
      <c r="P581" t="n">
        <v>9</v>
      </c>
      <c r="Q581" t="inlineStr">
        <is>
          <t>Nie da się zamieszkać</t>
        </is>
      </c>
    </row>
    <row r="582">
      <c r="A582" t="n">
        <v>581</v>
      </c>
      <c r="B582" s="3" t="n">
        <v>45496</v>
      </c>
      <c r="D582" t="inlineStr">
        <is>
          <t>https://domy.pl/mieszkanie/lodz-baluty-traktorowa-2-pokoje-289000-pln-45m2-sba/dol1741432549</t>
        </is>
      </c>
      <c r="E582">
        <f>HYPERLINK("https://domy.pl/mieszkanie/lodz-baluty-traktorowa-2-pokoje-289000-pln-45m2-sba/dol1741432549", "https://domy.pl/mieszkanie/lodz-baluty-traktorowa-2-pokoje-289000-pln-45m2-sba/dol1741432549")</f>
        <v/>
      </c>
      <c r="F582" t="inlineStr">
        <is>
          <t>traktorowa</t>
        </is>
      </c>
      <c r="G582" t="inlineStr">
        <is>
          <t>Teofilów</t>
        </is>
      </c>
      <c r="H582" t="inlineStr">
        <is>
          <t>Teofilów</t>
        </is>
      </c>
      <c r="I582" t="inlineStr">
        <is>
          <t>NIE</t>
        </is>
      </c>
      <c r="J582" t="inlineStr">
        <is>
          <t>TAK</t>
        </is>
      </c>
      <c r="K582" t="n">
        <v>577409555</v>
      </c>
      <c r="L582" t="n">
        <v>289000</v>
      </c>
      <c r="M582" t="n">
        <v>6422.222222222223</v>
      </c>
      <c r="N582" t="n">
        <v>45</v>
      </c>
      <c r="O582" t="inlineStr">
        <is>
          <t>2+k</t>
        </is>
      </c>
      <c r="P582" t="n">
        <v>0</v>
      </c>
      <c r="Q582" t="inlineStr">
        <is>
          <t>Puste posprzątane</t>
        </is>
      </c>
      <c r="R582" t="inlineStr">
        <is>
          <t>19.09 było 299k</t>
        </is>
      </c>
      <c r="T582" t="inlineStr">
        <is>
          <t>633</t>
        </is>
      </c>
    </row>
    <row r="583">
      <c r="A583" t="n">
        <v>582</v>
      </c>
      <c r="B583" s="3" t="n">
        <v>45496</v>
      </c>
      <c r="C583" s="3" t="n">
        <v>45522</v>
      </c>
      <c r="D583" t="inlineStr">
        <is>
          <t>https://adresowo.pl/o/p8b7p4</t>
        </is>
      </c>
      <c r="E583">
        <f>HYPERLINK("https://adresowo.pl/o/p8b7p4", "https://adresowo.pl/o/p8b7p4")</f>
        <v/>
      </c>
      <c r="F583" t="inlineStr">
        <is>
          <t>dedeciusa</t>
        </is>
      </c>
      <c r="G583" t="inlineStr">
        <is>
          <t>Dąbrowa</t>
        </is>
      </c>
      <c r="H583" t="inlineStr">
        <is>
          <t>Dąbrowa</t>
        </is>
      </c>
      <c r="I583" t="inlineStr">
        <is>
          <t>TAK</t>
        </is>
      </c>
      <c r="J583" t="inlineStr">
        <is>
          <t>NIE</t>
        </is>
      </c>
      <c r="L583" t="n">
        <v>298000</v>
      </c>
      <c r="M583" t="n">
        <v>6310.885218127912</v>
      </c>
      <c r="N583" t="n">
        <v>47.22</v>
      </c>
      <c r="O583" t="inlineStr">
        <is>
          <t>2+k</t>
        </is>
      </c>
      <c r="P583" t="n">
        <v>3</v>
      </c>
      <c r="Q583" t="inlineStr">
        <is>
          <t>Nie da się zamieszkać</t>
        </is>
      </c>
    </row>
    <row r="584">
      <c r="A584" t="n">
        <v>583</v>
      </c>
      <c r="B584" s="3" t="n">
        <v>45496</v>
      </c>
      <c r="C584" s="3" t="n">
        <v>45522</v>
      </c>
      <c r="D584" t="inlineStr">
        <is>
          <t>https://www.olx.pl/d/oferta/mieszkanie-dabrowa-CID3-ID118reE.html</t>
        </is>
      </c>
      <c r="E584">
        <f>HYPERLINK("https://www.olx.pl/d/oferta/mieszkanie-dabrowa-CID3-ID118reE.html", "https://www.olx.pl/d/oferta/mieszkanie-dabrowa-CID3-ID118reE.html")</f>
        <v/>
      </c>
      <c r="G584" t="inlineStr">
        <is>
          <t>Dąbrowa</t>
        </is>
      </c>
      <c r="H584" t="inlineStr">
        <is>
          <t>Dąbrowa</t>
        </is>
      </c>
      <c r="I584" t="inlineStr">
        <is>
          <t>TAK</t>
        </is>
      </c>
      <c r="J584" t="inlineStr">
        <is>
          <t>NIE</t>
        </is>
      </c>
      <c r="L584" t="n">
        <v>280000</v>
      </c>
      <c r="M584" t="n">
        <v>7567.567567567567</v>
      </c>
      <c r="N584" t="n">
        <v>37</v>
      </c>
      <c r="O584" t="inlineStr">
        <is>
          <t>2+k</t>
        </is>
      </c>
      <c r="P584" t="n">
        <v>3</v>
      </c>
      <c r="Q584" t="inlineStr">
        <is>
          <t>Nie da się zamieszkać</t>
        </is>
      </c>
      <c r="R584" t="inlineStr">
        <is>
          <t xml:space="preserve">brak, zdjec, numeru. Koszmarne ogłoszenie. </t>
        </is>
      </c>
    </row>
    <row r="585">
      <c r="A585" t="n">
        <v>584</v>
      </c>
      <c r="B585" s="3" t="n">
        <v>45496</v>
      </c>
      <c r="C585" s="3" t="n">
        <v>45522</v>
      </c>
      <c r="D585" t="inlineStr">
        <is>
          <t>https://www.otodom.pl/pl/oferta/rozkladowe-m3-z-panoramicznym-widokiem-ID4rGXY</t>
        </is>
      </c>
      <c r="E585">
        <f>HYPERLINK("https://www.otodom.pl/pl/oferta/rozkladowe-m3-z-panoramicznym-widokiem-ID4rGXY", "https://www.otodom.pl/pl/oferta/rozkladowe-m3-z-panoramicznym-widokiem-ID4rGXY")</f>
        <v/>
      </c>
      <c r="F585" t="inlineStr">
        <is>
          <t xml:space="preserve">armi krajowej </t>
        </is>
      </c>
      <c r="G585" t="inlineStr">
        <is>
          <t>Retkinia</t>
        </is>
      </c>
      <c r="H585" t="inlineStr">
        <is>
          <t>Retkinia</t>
        </is>
      </c>
      <c r="I585" t="inlineStr">
        <is>
          <t>TAK</t>
        </is>
      </c>
      <c r="J585" t="inlineStr">
        <is>
          <t>TAK</t>
        </is>
      </c>
      <c r="K585" t="n">
        <v>510266546</v>
      </c>
      <c r="L585" t="n">
        <v>319000</v>
      </c>
      <c r="M585" t="n">
        <v>7520.03771805752</v>
      </c>
      <c r="N585" t="n">
        <v>42.42</v>
      </c>
      <c r="O585" t="inlineStr">
        <is>
          <t>2+k</t>
        </is>
      </c>
      <c r="P585" t="n">
        <v>8</v>
      </c>
      <c r="Q585" t="inlineStr">
        <is>
          <t>Nie da się zamieszkać</t>
        </is>
      </c>
    </row>
    <row r="586">
      <c r="A586" t="n">
        <v>585</v>
      </c>
      <c r="B586" s="3" t="n">
        <v>45496</v>
      </c>
      <c r="C586" s="3" t="n">
        <v>45532</v>
      </c>
      <c r="D586" t="inlineStr">
        <is>
          <t>https://www.olx.pl/d/oferta/atrakcyjna-lokalizacja-nieruchomosci-CID3-ID118Fyw.html</t>
        </is>
      </c>
      <c r="E586">
        <f>HYPERLINK("https://www.olx.pl/d/oferta/atrakcyjna-lokalizacja-nieruchomosci-CID3-ID118Fyw.html", "https://www.olx.pl/d/oferta/atrakcyjna-lokalizacja-nieruchomosci-CID3-ID118Fyw.html")</f>
        <v/>
      </c>
      <c r="F586" t="inlineStr">
        <is>
          <t>poznańska</t>
        </is>
      </c>
      <c r="G586" t="inlineStr">
        <is>
          <t>Górna</t>
        </is>
      </c>
      <c r="H586" t="inlineStr">
        <is>
          <t>Górna</t>
        </is>
      </c>
      <c r="I586" t="inlineStr">
        <is>
          <t>TAK</t>
        </is>
      </c>
      <c r="J586" t="inlineStr">
        <is>
          <t>TAK</t>
        </is>
      </c>
      <c r="K586" t="n">
        <v>501378617</v>
      </c>
      <c r="L586" t="n">
        <v>369000</v>
      </c>
      <c r="M586" t="n">
        <v>7096.153846153846</v>
      </c>
      <c r="N586" t="n">
        <v>52</v>
      </c>
      <c r="O586" t="inlineStr">
        <is>
          <t>3+k</t>
        </is>
      </c>
      <c r="P586" t="n">
        <v>3</v>
      </c>
      <c r="Q586" t="inlineStr">
        <is>
          <t>Nie da się zamieszkać</t>
        </is>
      </c>
    </row>
    <row r="587">
      <c r="A587" t="n">
        <v>586</v>
      </c>
      <c r="B587" s="3" t="n">
        <v>45496</v>
      </c>
      <c r="C587" s="3" t="n">
        <v>45532</v>
      </c>
      <c r="D587" t="inlineStr">
        <is>
          <t>https://www.olx.pl/d/oferta/m3-w-super-lokalizacji-na-dabrowie-bezposrednio-CID3-ID118QVZ.html?isPreviewActive=0&amp;sliderIndex=6</t>
        </is>
      </c>
      <c r="E587">
        <f>HYPERLINK("https://www.olx.pl/d/oferta/m3-w-super-lokalizacji-na-dabrowie-bezposrednio-CID3-ID118QVZ.html?isPreviewActive=0&amp;sliderIndex=6", "https://www.olx.pl/d/oferta/m3-w-super-lokalizacji-na-dabrowie-bezposrednio-CID3-ID118QVZ.html?isPreviewActive=0&amp;sliderIndex=6")</f>
        <v/>
      </c>
      <c r="F587" t="inlineStr">
        <is>
          <t>felińskiego</t>
        </is>
      </c>
      <c r="G587" t="inlineStr">
        <is>
          <t>Dąbrowa</t>
        </is>
      </c>
      <c r="H587" t="inlineStr">
        <is>
          <t>Dąbrowa</t>
        </is>
      </c>
      <c r="I587" t="inlineStr">
        <is>
          <t>TAK</t>
        </is>
      </c>
      <c r="J587" t="inlineStr">
        <is>
          <t>NIE</t>
        </is>
      </c>
      <c r="K587" t="n">
        <v>609547573</v>
      </c>
      <c r="L587" t="n">
        <v>269000</v>
      </c>
      <c r="M587" t="n">
        <v>7472.222222222223</v>
      </c>
      <c r="N587" t="n">
        <v>36</v>
      </c>
      <c r="O587" t="inlineStr">
        <is>
          <t>2+k</t>
        </is>
      </c>
      <c r="P587" t="n">
        <v>0</v>
      </c>
      <c r="Q587" t="inlineStr">
        <is>
          <t>Puste posprzątane</t>
        </is>
      </c>
      <c r="R587" t="inlineStr">
        <is>
          <t xml:space="preserve">prawdopodobnie ktoś zrobił posprząranego flipa i sprzedaje </t>
        </is>
      </c>
      <c r="T587" t="inlineStr">
        <is>
          <t>445</t>
        </is>
      </c>
    </row>
    <row r="588">
      <c r="A588" t="n">
        <v>587</v>
      </c>
      <c r="B588" s="3" t="n">
        <v>45496</v>
      </c>
      <c r="C588" s="3" t="n">
        <v>45532</v>
      </c>
      <c r="D588" t="inlineStr">
        <is>
          <t>https://www.olx.pl/d/oferta/sprzedam-mieszkanie-CID3-ID118FYc.html</t>
        </is>
      </c>
      <c r="E588">
        <f>HYPERLINK("https://www.olx.pl/d/oferta/sprzedam-mieszkanie-CID3-ID118FYc.html", "https://www.olx.pl/d/oferta/sprzedam-mieszkanie-CID3-ID118FYc.html")</f>
        <v/>
      </c>
      <c r="F588" t="inlineStr">
        <is>
          <t>.</t>
        </is>
      </c>
      <c r="G588" t="inlineStr">
        <is>
          <t>Teofilów</t>
        </is>
      </c>
      <c r="H588" t="inlineStr">
        <is>
          <t>Teofilów</t>
        </is>
      </c>
      <c r="I588" t="inlineStr">
        <is>
          <t>TAK</t>
        </is>
      </c>
      <c r="J588" t="inlineStr">
        <is>
          <t>NIE</t>
        </is>
      </c>
      <c r="K588" t="n">
        <v>500004963</v>
      </c>
      <c r="L588" t="n">
        <v>330000</v>
      </c>
      <c r="M588" t="n">
        <v>7173.913043478261</v>
      </c>
      <c r="N588" t="n">
        <v>46</v>
      </c>
      <c r="O588" t="inlineStr">
        <is>
          <t>2+k</t>
        </is>
      </c>
      <c r="P588" t="n">
        <v>2</v>
      </c>
      <c r="Q588" t="inlineStr">
        <is>
          <t>Nie da się zamieszkać</t>
        </is>
      </c>
      <c r="T588" t="inlineStr">
        <is>
          <t>937</t>
        </is>
      </c>
    </row>
    <row r="589">
      <c r="A589" t="n">
        <v>588</v>
      </c>
      <c r="B589" s="3" t="n">
        <v>45496</v>
      </c>
      <c r="C589" s="3" t="n">
        <v>45510</v>
      </c>
      <c r="D589" t="inlineStr">
        <is>
          <t>https://www.olx.pl/d/oferta/3-pokojowe-mieszkanie-do-remontu-retkinia-lodz-CID3-ID118KSQ.html</t>
        </is>
      </c>
      <c r="E589">
        <f>HYPERLINK("https://www.olx.pl/d/oferta/3-pokojowe-mieszkanie-do-remontu-retkinia-lodz-CID3-ID118KSQ.html", "https://www.olx.pl/d/oferta/3-pokojowe-mieszkanie-do-remontu-retkinia-lodz-CID3-ID118KSQ.html")</f>
        <v/>
      </c>
      <c r="F589" t="inlineStr">
        <is>
          <t>maratońska</t>
        </is>
      </c>
      <c r="G589" t="inlineStr">
        <is>
          <t>Retkinia</t>
        </is>
      </c>
      <c r="H589" t="inlineStr">
        <is>
          <t>Retkinia</t>
        </is>
      </c>
      <c r="I589" t="inlineStr">
        <is>
          <t>TAK</t>
        </is>
      </c>
      <c r="J589" t="inlineStr">
        <is>
          <t>NIE</t>
        </is>
      </c>
      <c r="K589" t="n">
        <v>530930022</v>
      </c>
      <c r="L589" t="n">
        <v>420000</v>
      </c>
      <c r="M589" t="n">
        <v>7929.016424391165</v>
      </c>
      <c r="N589" t="n">
        <v>52.97</v>
      </c>
      <c r="O589" t="inlineStr">
        <is>
          <t>3+k</t>
        </is>
      </c>
      <c r="P589" t="n">
        <v>3</v>
      </c>
      <c r="Q589" t="inlineStr">
        <is>
          <t>Nie da się zamieszkać</t>
        </is>
      </c>
    </row>
    <row r="590">
      <c r="A590" t="n">
        <v>589</v>
      </c>
      <c r="B590" s="3" t="n">
        <v>45496</v>
      </c>
      <c r="C590" s="3" t="n">
        <v>45506</v>
      </c>
      <c r="D590" t="inlineStr">
        <is>
          <t>https://www.otodom.pl/pl/oferta/2-pokoje-loggia-miejsca-parkingowe-radogoszcz-ID4rH0N</t>
        </is>
      </c>
      <c r="E590">
        <f>HYPERLINK("https://www.otodom.pl/pl/oferta/2-pokoje-loggia-miejsca-parkingowe-radogoszcz-ID4rH0N", "https://www.otodom.pl/pl/oferta/2-pokoje-loggia-miejsca-parkingowe-radogoszcz-ID4rH0N")</f>
        <v/>
      </c>
      <c r="F590" t="inlineStr">
        <is>
          <t>radogoszcz</t>
        </is>
      </c>
      <c r="G590" t="inlineStr">
        <is>
          <t>Bałuty</t>
        </is>
      </c>
      <c r="H590" t="inlineStr">
        <is>
          <t>Dalekie bałuty</t>
        </is>
      </c>
      <c r="I590" t="inlineStr">
        <is>
          <t>TAK</t>
        </is>
      </c>
      <c r="J590" t="inlineStr">
        <is>
          <t>TAK</t>
        </is>
      </c>
      <c r="K590" t="n">
        <v>539313300</v>
      </c>
      <c r="L590" t="n">
        <v>370000</v>
      </c>
      <c r="M590" t="n">
        <v>7307.92020541181</v>
      </c>
      <c r="N590" t="n">
        <v>50.63</v>
      </c>
      <c r="O590" t="inlineStr">
        <is>
          <t>2+k</t>
        </is>
      </c>
      <c r="P590" t="n">
        <v>1</v>
      </c>
      <c r="Q590" t="inlineStr">
        <is>
          <t>Nie da się zamieszkać</t>
        </is>
      </c>
    </row>
    <row r="591">
      <c r="A591" t="n">
        <v>590</v>
      </c>
      <c r="B591" s="3" t="n">
        <v>45496</v>
      </c>
      <c r="C591" s="3" t="n">
        <v>45506</v>
      </c>
      <c r="D591" t="inlineStr">
        <is>
          <t>https://www.otodom.pl/pl/oferta/cicha-kawalerka-z-balkonem-i-oddzielna-kuchnia-ID4rH7D.html</t>
        </is>
      </c>
      <c r="E591">
        <f>HYPERLINK("https://www.otodom.pl/pl/oferta/cicha-kawalerka-z-balkonem-i-oddzielna-kuchnia-ID4rH7D.html", "https://www.otodom.pl/pl/oferta/cicha-kawalerka-z-balkonem-i-oddzielna-kuchnia-ID4rH7D.html")</f>
        <v/>
      </c>
      <c r="F591" t="inlineStr">
        <is>
          <t>zgierska-julianowska</t>
        </is>
      </c>
      <c r="G591" t="inlineStr">
        <is>
          <t>Bałuty</t>
        </is>
      </c>
      <c r="H591" t="inlineStr">
        <is>
          <t>Bałuty</t>
        </is>
      </c>
      <c r="I591" t="inlineStr">
        <is>
          <t>TAK</t>
        </is>
      </c>
      <c r="J591" t="inlineStr">
        <is>
          <t>NIE</t>
        </is>
      </c>
      <c r="K591" t="n">
        <v>508818382</v>
      </c>
      <c r="L591" t="n">
        <v>260000</v>
      </c>
      <c r="M591" t="n">
        <v>8024.691358024692</v>
      </c>
      <c r="N591" t="n">
        <v>32.4</v>
      </c>
      <c r="O591" t="inlineStr">
        <is>
          <t>1+k</t>
        </is>
      </c>
      <c r="P591" t="n">
        <v>0</v>
      </c>
      <c r="Q591" t="inlineStr">
        <is>
          <t>Da się zamieszkać</t>
        </is>
      </c>
    </row>
    <row r="592">
      <c r="A592" t="n">
        <v>591</v>
      </c>
      <c r="B592" s="3" t="n">
        <v>45497</v>
      </c>
      <c r="D592" t="inlineStr">
        <is>
          <t>https://www.otodom.pl/pl/oferta/sprzedaz-rozkladowe-m4-radogoszcz-1-pietro-ID4rHa0</t>
        </is>
      </c>
      <c r="E592">
        <f>HYPERLINK("https://www.otodom.pl/pl/oferta/sprzedaz-rozkladowe-m4-radogoszcz-1-pietro-ID4rHa0", "https://www.otodom.pl/pl/oferta/sprzedaz-rozkladowe-m4-radogoszcz-1-pietro-ID4rHa0")</f>
        <v/>
      </c>
      <c r="F592" t="inlineStr">
        <is>
          <t>11 listopada</t>
        </is>
      </c>
      <c r="G592" t="inlineStr">
        <is>
          <t>Bałuty</t>
        </is>
      </c>
      <c r="H592" t="inlineStr">
        <is>
          <t>Dalekie bałuty</t>
        </is>
      </c>
      <c r="I592" t="inlineStr">
        <is>
          <t>NIE</t>
        </is>
      </c>
      <c r="J592" t="inlineStr">
        <is>
          <t>TAK</t>
        </is>
      </c>
      <c r="K592" t="n">
        <v>530923663</v>
      </c>
      <c r="L592" t="n">
        <v>399000</v>
      </c>
      <c r="M592" t="n">
        <v>7532.565603171607</v>
      </c>
      <c r="N592" t="n">
        <v>52.97</v>
      </c>
      <c r="O592" t="inlineStr">
        <is>
          <t>3+k</t>
        </is>
      </c>
      <c r="P592" t="n">
        <v>1</v>
      </c>
      <c r="Q592" t="inlineStr">
        <is>
          <t>Nie da się zamieszkać</t>
        </is>
      </c>
      <c r="R592" t="inlineStr">
        <is>
          <t>05.09 było 417k 20.09 było 412k</t>
        </is>
      </c>
    </row>
    <row r="593">
      <c r="A593" t="n">
        <v>592</v>
      </c>
      <c r="B593" s="3" t="n">
        <v>45497</v>
      </c>
      <c r="C593" s="3" t="n">
        <v>45532</v>
      </c>
      <c r="D593" t="inlineStr">
        <is>
          <t>https://www.olx.pl/d/oferta/mieszkanie-na-sprzedaz-lodz-baluty-powierzchnia-48-m2-ul-mackiewicza-CID3-ID118q1J.html</t>
        </is>
      </c>
      <c r="E593">
        <f>HYPERLINK("https://www.olx.pl/d/oferta/mieszkanie-na-sprzedaz-lodz-baluty-powierzchnia-48-m2-ul-mackiewicza-CID3-ID118q1J.html", "https://www.olx.pl/d/oferta/mieszkanie-na-sprzedaz-lodz-baluty-powierzchnia-48-m2-ul-mackiewicza-CID3-ID118q1J.html")</f>
        <v/>
      </c>
      <c r="F593" t="inlineStr">
        <is>
          <t>mackiewicza</t>
        </is>
      </c>
      <c r="G593" t="inlineStr">
        <is>
          <t>Bałuty</t>
        </is>
      </c>
      <c r="H593" t="inlineStr">
        <is>
          <t>Bałuty</t>
        </is>
      </c>
      <c r="I593" t="inlineStr">
        <is>
          <t>TAK</t>
        </is>
      </c>
      <c r="J593" t="inlineStr">
        <is>
          <t>TAK</t>
        </is>
      </c>
      <c r="K593" t="n">
        <v>666878795</v>
      </c>
      <c r="L593" t="n">
        <v>335000</v>
      </c>
      <c r="M593" t="n">
        <v>6979.166666666667</v>
      </c>
      <c r="N593" t="n">
        <v>48</v>
      </c>
      <c r="O593" t="inlineStr">
        <is>
          <t>2+k</t>
        </is>
      </c>
      <c r="P593" t="n">
        <v>2</v>
      </c>
      <c r="Q593" t="inlineStr">
        <is>
          <t>Nie da się zamieszkać</t>
        </is>
      </c>
    </row>
    <row r="594">
      <c r="A594" t="n">
        <v>593</v>
      </c>
      <c r="B594" s="3" t="n">
        <v>45497</v>
      </c>
      <c r="D594" t="inlineStr">
        <is>
          <t>https://www.otodom.pl/pl/oferta/3-pokojowe-mieszkanie-przy-ul-wilenskiej-ID4q5Bt.html</t>
        </is>
      </c>
      <c r="E594">
        <f>HYPERLINK("https://www.otodom.pl/pl/oferta/3-pokojowe-mieszkanie-przy-ul-wilenskiej-ID4q5Bt.html", "https://www.otodom.pl/pl/oferta/3-pokojowe-mieszkanie-przy-ul-wilenskiej-ID4q5Bt.html")</f>
        <v/>
      </c>
      <c r="F594" t="inlineStr">
        <is>
          <t>wileńska</t>
        </is>
      </c>
      <c r="G594" t="inlineStr">
        <is>
          <t>Retkinia</t>
        </is>
      </c>
      <c r="H594" t="inlineStr">
        <is>
          <t>Retkinia blisko centrum</t>
        </is>
      </c>
      <c r="I594" t="inlineStr">
        <is>
          <t>NIE</t>
        </is>
      </c>
      <c r="J594" t="inlineStr">
        <is>
          <t>TAK</t>
        </is>
      </c>
      <c r="K594" t="n">
        <v>733565200</v>
      </c>
      <c r="L594" t="n">
        <v>360000</v>
      </c>
      <c r="M594" t="n">
        <v>6844.106463878326</v>
      </c>
      <c r="N594" t="n">
        <v>52.6</v>
      </c>
      <c r="O594" t="inlineStr">
        <is>
          <t>3+k</t>
        </is>
      </c>
      <c r="P594" t="n">
        <v>0</v>
      </c>
      <c r="Q594" t="inlineStr">
        <is>
          <t>Nie da się zamieszkać</t>
        </is>
      </c>
      <c r="R594" t="inlineStr">
        <is>
          <t>11.09 nieaktualne, Grygowski, NIE POBIERAJĄ PROWIZJI OD FLIPERÓW, TomHouse</t>
        </is>
      </c>
    </row>
    <row r="595">
      <c r="A595" t="n">
        <v>594</v>
      </c>
      <c r="B595" s="3" t="n">
        <v>45497</v>
      </c>
      <c r="C595" s="3" t="n">
        <v>45510</v>
      </c>
      <c r="D595" t="inlineStr">
        <is>
          <t>https://www.otodom.pl/pl/oferta/klub-mlotka-i-farby-ID4rIaA.html</t>
        </is>
      </c>
      <c r="E595">
        <f>HYPERLINK("https://www.otodom.pl/pl/oferta/klub-mlotka-i-farby-ID4rIaA.html", "https://www.otodom.pl/pl/oferta/klub-mlotka-i-farby-ID4rIaA.html")</f>
        <v/>
      </c>
      <c r="F595" t="inlineStr">
        <is>
          <t>żabieniec</t>
        </is>
      </c>
      <c r="G595" t="inlineStr">
        <is>
          <t>Bałuty</t>
        </is>
      </c>
      <c r="H595" t="inlineStr">
        <is>
          <t>Bałuty</t>
        </is>
      </c>
      <c r="I595" t="inlineStr">
        <is>
          <t>TAK</t>
        </is>
      </c>
      <c r="J595" t="inlineStr">
        <is>
          <t>TAK</t>
        </is>
      </c>
      <c r="K595" t="n">
        <v>502891520</v>
      </c>
      <c r="L595" t="n">
        <v>293800</v>
      </c>
      <c r="M595" t="n">
        <v>6500</v>
      </c>
      <c r="N595" t="n">
        <v>45.2</v>
      </c>
      <c r="O595" t="inlineStr">
        <is>
          <t>2+k</t>
        </is>
      </c>
      <c r="P595" t="n">
        <v>0</v>
      </c>
      <c r="Q595" t="inlineStr">
        <is>
          <t>Nie da się zamieszkać</t>
        </is>
      </c>
      <c r="R595" t="inlineStr">
        <is>
          <t>03.09 wybrany numer jest niepoprawny, ogłoszenie wygasło, ale to było to Pedro Remontis, czy jakoś tak ;)</t>
        </is>
      </c>
    </row>
    <row r="596">
      <c r="A596" t="n">
        <v>595</v>
      </c>
      <c r="B596" s="3" t="n">
        <v>45497</v>
      </c>
      <c r="C596" s="3" t="n">
        <v>45506</v>
      </c>
      <c r="D596" t="inlineStr">
        <is>
          <t>https://www.otodom.pl/pl/oferta/duza-kawalerka-w-spokojnej-okolicy-do-remontu-ID4rHAm</t>
        </is>
      </c>
      <c r="E596">
        <f>HYPERLINK("https://www.otodom.pl/pl/oferta/duza-kawalerka-w-spokojnej-okolicy-do-remontu-ID4rHAm", "https://www.otodom.pl/pl/oferta/duza-kawalerka-w-spokojnej-okolicy-do-remontu-ID4rHAm")</f>
        <v/>
      </c>
      <c r="F596" t="inlineStr">
        <is>
          <t>ghandiego</t>
        </is>
      </c>
      <c r="G596" t="inlineStr">
        <is>
          <t>Polesie</t>
        </is>
      </c>
      <c r="H596" t="inlineStr">
        <is>
          <t>Polesie</t>
        </is>
      </c>
      <c r="I596" t="inlineStr">
        <is>
          <t>TAK</t>
        </is>
      </c>
      <c r="J596" t="inlineStr">
        <is>
          <t>TAK</t>
        </is>
      </c>
      <c r="K596" t="n">
        <v>511719425</v>
      </c>
      <c r="L596" t="n">
        <v>224000</v>
      </c>
      <c r="M596" t="n">
        <v>5957.446808510638</v>
      </c>
      <c r="N596" t="n">
        <v>37.6</v>
      </c>
      <c r="O596" t="inlineStr">
        <is>
          <t>2+k</t>
        </is>
      </c>
      <c r="P596" t="n">
        <v>0</v>
      </c>
      <c r="Q596" t="inlineStr">
        <is>
          <t>Nie da się zamieszkać</t>
        </is>
      </c>
    </row>
    <row r="597">
      <c r="A597" t="n">
        <v>596</v>
      </c>
      <c r="B597" s="3" t="n">
        <v>45497</v>
      </c>
      <c r="C597" s="3" t="n">
        <v>45522</v>
      </c>
      <c r="D597" t="inlineStr">
        <is>
          <t>https://nieruchomosci.gratka.pl/nieruchomosci/mieszkanie-lodz-baluty-tomasza-judyma/ob/35291091</t>
        </is>
      </c>
      <c r="E597">
        <f>HYPERLINK("https://nieruchomosci.gratka.pl/nieruchomosci/mieszkanie-lodz-baluty-tomasza-judyma/ob/35291091", "https://nieruchomosci.gratka.pl/nieruchomosci/mieszkanie-lodz-baluty-tomasza-judyma/ob/35291091")</f>
        <v/>
      </c>
      <c r="F597" t="inlineStr">
        <is>
          <t>judyma</t>
        </is>
      </c>
      <c r="G597" t="inlineStr">
        <is>
          <t>Teofilów</t>
        </is>
      </c>
      <c r="H597" t="inlineStr">
        <is>
          <t>Teofilów</t>
        </is>
      </c>
      <c r="I597" t="inlineStr">
        <is>
          <t>TAK</t>
        </is>
      </c>
      <c r="J597" t="inlineStr">
        <is>
          <t>TAK</t>
        </is>
      </c>
      <c r="K597" t="n">
        <v>881791778</v>
      </c>
      <c r="L597" t="n">
        <v>282000</v>
      </c>
      <c r="M597" t="n">
        <v>6558.139534883721</v>
      </c>
      <c r="N597" t="n">
        <v>43</v>
      </c>
      <c r="O597" t="inlineStr">
        <is>
          <t>2+k</t>
        </is>
      </c>
      <c r="P597" t="n">
        <v>4</v>
      </c>
      <c r="Q597" t="inlineStr">
        <is>
          <t>Nie da się zamieszkać</t>
        </is>
      </c>
    </row>
    <row r="598">
      <c r="A598" t="n">
        <v>597</v>
      </c>
      <c r="B598" s="3" t="n">
        <v>45497</v>
      </c>
      <c r="C598" s="3" t="n">
        <v>45532</v>
      </c>
      <c r="D598" t="inlineStr">
        <is>
          <t>https://www.krn.pl/oferta/mieszkanie-45-41m2-lodz,28659854</t>
        </is>
      </c>
      <c r="E598">
        <f>HYPERLINK("https://www.krn.pl/oferta/mieszkanie-45-41m2-lodz,28659854", "https://www.krn.pl/oferta/mieszkanie-45-41m2-lodz,28659854")</f>
        <v/>
      </c>
      <c r="F598" t="inlineStr">
        <is>
          <t>rojna</t>
        </is>
      </c>
      <c r="G598" t="inlineStr">
        <is>
          <t>Teofilów</t>
        </is>
      </c>
      <c r="H598" t="inlineStr">
        <is>
          <t>Teofilów</t>
        </is>
      </c>
      <c r="I598" t="inlineStr">
        <is>
          <t>TAK</t>
        </is>
      </c>
      <c r="J598" t="inlineStr">
        <is>
          <t>TAK</t>
        </is>
      </c>
      <c r="K598" t="n">
        <v>539313300</v>
      </c>
      <c r="L598" t="n">
        <v>325000</v>
      </c>
      <c r="M598" t="n">
        <v>7157.013873596125</v>
      </c>
      <c r="N598" t="n">
        <v>45.41</v>
      </c>
      <c r="O598" t="inlineStr">
        <is>
          <t>2+k</t>
        </is>
      </c>
      <c r="P598" t="n">
        <v>2</v>
      </c>
      <c r="Q598" t="inlineStr">
        <is>
          <t>Nie da się zamieszkać</t>
        </is>
      </c>
      <c r="R598" t="inlineStr">
        <is>
          <t>Mieszkanie ma 2 linki, jeden do goscia który ma prowizje 0 drugie metro https://www.olx.pl/d/oferta/piekny-widok-i-super-lokalizacja-prawdziwa-okazja-CID3-ID11lQd7.html 21.08 było 330k</t>
        </is>
      </c>
    </row>
    <row r="599">
      <c r="A599" t="n">
        <v>598</v>
      </c>
      <c r="B599" s="3" t="n">
        <v>45498</v>
      </c>
      <c r="C599" s="3" t="n">
        <v>45532</v>
      </c>
      <c r="D599" t="inlineStr">
        <is>
          <t>https://www.otodom.pl/pl/oferta/m-3-38m2-teofilow-2pietro-balkon-bez-prowizji-ID4rIgW.html</t>
        </is>
      </c>
      <c r="E599">
        <f>HYPERLINK("https://www.otodom.pl/pl/oferta/m-3-38m2-teofilow-2pietro-balkon-bez-prowizji-ID4rIgW.html", "https://www.otodom.pl/pl/oferta/m-3-38m2-teofilow-2pietro-balkon-bez-prowizji-ID4rIgW.html")</f>
        <v/>
      </c>
      <c r="F599" t="inlineStr">
        <is>
          <t>traktorowa</t>
        </is>
      </c>
      <c r="G599" t="inlineStr">
        <is>
          <t>Teofilów</t>
        </is>
      </c>
      <c r="H599" t="inlineStr">
        <is>
          <t>Teofilów</t>
        </is>
      </c>
      <c r="I599" t="inlineStr">
        <is>
          <t>TAK</t>
        </is>
      </c>
      <c r="J599" t="inlineStr">
        <is>
          <t>TAK</t>
        </is>
      </c>
      <c r="K599" t="n">
        <v>662844141</v>
      </c>
      <c r="L599" t="n">
        <v>268000</v>
      </c>
      <c r="M599" t="n">
        <v>7112.526539278132</v>
      </c>
      <c r="N599" t="n">
        <v>37.68</v>
      </c>
      <c r="O599" t="inlineStr">
        <is>
          <t>2+k</t>
        </is>
      </c>
      <c r="P599" t="n">
        <v>2</v>
      </c>
      <c r="Q599" t="inlineStr">
        <is>
          <t>Nie da się zamieszkać</t>
        </is>
      </c>
      <c r="R599" t="inlineStr">
        <is>
          <t>01.08. było 279k</t>
        </is>
      </c>
    </row>
    <row r="600">
      <c r="A600" t="n">
        <v>599</v>
      </c>
      <c r="B600" s="3" t="n">
        <v>45498</v>
      </c>
      <c r="C600" s="3" t="n">
        <v>45548</v>
      </c>
      <c r="D600" t="inlineStr">
        <is>
          <t>https://www.olx.pl/d/oferta/2-pokojowe-mieszkanie-45m2-balkon-CID3-ID119VuA.html?isPreviewActive=0&amp;sliderIndex=19</t>
        </is>
      </c>
      <c r="E600">
        <f>HYPERLINK("https://www.olx.pl/d/oferta/2-pokojowe-mieszkanie-45m2-balkon-CID3-ID119VuA.html?isPreviewActive=0&amp;sliderIndex=19", "https://www.olx.pl/d/oferta/2-pokojowe-mieszkanie-45m2-balkon-CID3-ID119VuA.html?isPreviewActive=0&amp;sliderIndex=19")</f>
        <v/>
      </c>
      <c r="F600" t="inlineStr">
        <is>
          <t>astronautów</t>
        </is>
      </c>
      <c r="G600" t="inlineStr">
        <is>
          <t>Górna</t>
        </is>
      </c>
      <c r="H600" t="inlineStr">
        <is>
          <t>Górna</t>
        </is>
      </c>
      <c r="I600" t="inlineStr">
        <is>
          <t>TAK</t>
        </is>
      </c>
      <c r="J600" t="inlineStr">
        <is>
          <t>TAK</t>
        </is>
      </c>
      <c r="K600" t="n">
        <v>791856388</v>
      </c>
      <c r="L600" t="n">
        <v>350000</v>
      </c>
      <c r="M600" t="n">
        <v>7658.643326039387</v>
      </c>
      <c r="N600" t="n">
        <v>45.7</v>
      </c>
      <c r="O600" t="inlineStr">
        <is>
          <t>2+k</t>
        </is>
      </c>
      <c r="P600" t="n">
        <v>4</v>
      </c>
      <c r="Q600" t="inlineStr">
        <is>
          <t>Nie da się zamieszkać</t>
        </is>
      </c>
    </row>
    <row r="601">
      <c r="A601" t="n">
        <v>600</v>
      </c>
      <c r="B601" s="3" t="n">
        <v>45498</v>
      </c>
      <c r="C601" s="3" t="n">
        <v>45532</v>
      </c>
      <c r="D601" t="inlineStr">
        <is>
          <t>https://nieruchomosci.gratka.pl/nieruchomosci/mieszkanie-lodz-baluty/ob/35304137</t>
        </is>
      </c>
      <c r="E601">
        <f>HYPERLINK("https://nieruchomosci.gratka.pl/nieruchomosci/mieszkanie-lodz-baluty/ob/35304137", "https://nieruchomosci.gratka.pl/nieruchomosci/mieszkanie-lodz-baluty/ob/35304137")</f>
        <v/>
      </c>
      <c r="F601" t="inlineStr">
        <is>
          <t>rojna</t>
        </is>
      </c>
      <c r="G601" t="inlineStr">
        <is>
          <t>Teofilów</t>
        </is>
      </c>
      <c r="H601" t="inlineStr">
        <is>
          <t>Teofilów</t>
        </is>
      </c>
      <c r="I601" t="inlineStr">
        <is>
          <t>TAK</t>
        </is>
      </c>
      <c r="J601" t="inlineStr">
        <is>
          <t>TAK</t>
        </is>
      </c>
      <c r="K601" t="n">
        <v>797542793</v>
      </c>
      <c r="L601" t="n">
        <v>325000</v>
      </c>
      <c r="M601" t="n">
        <v>7222.222222222223</v>
      </c>
      <c r="N601" t="n">
        <v>45</v>
      </c>
      <c r="O601" t="inlineStr">
        <is>
          <t>2+k</t>
        </is>
      </c>
      <c r="P601" t="n">
        <v>2</v>
      </c>
      <c r="Q601" t="inlineStr">
        <is>
          <t>Nie da się zamieszkać</t>
        </is>
      </c>
      <c r="R601" t="inlineStr">
        <is>
          <t>15.08 Było 330k  ta cena jest pod linkiem https://www.olx.pl/d/oferta/rozkladowe-2-pokoje-os-teofilow-2pietro-CID3-ID11qgNT.html</t>
        </is>
      </c>
    </row>
    <row r="602">
      <c r="A602" t="n">
        <v>601</v>
      </c>
      <c r="B602" s="3" t="n">
        <v>45499</v>
      </c>
      <c r="C602" s="3" t="n">
        <v>45522</v>
      </c>
      <c r="D602" t="inlineStr">
        <is>
          <t>https://www.domiporta.pl/nieruchomosci/sprzedam-kawalerke-lodz-baluty-aleksandrowska-27m2/155279611</t>
        </is>
      </c>
      <c r="E602">
        <f>HYPERLINK("https://www.domiporta.pl/nieruchomosci/sprzedam-kawalerke-lodz-baluty-aleksandrowska-27m2/155279611", "https://www.domiporta.pl/nieruchomosci/sprzedam-kawalerke-lodz-baluty-aleksandrowska-27m2/155279611")</f>
        <v/>
      </c>
      <c r="F602" t="inlineStr">
        <is>
          <t>Aleksandrowska</t>
        </is>
      </c>
      <c r="G602" t="inlineStr">
        <is>
          <t>Teofilów</t>
        </is>
      </c>
      <c r="H602" t="inlineStr">
        <is>
          <t>Teofilów</t>
        </is>
      </c>
      <c r="I602" t="inlineStr">
        <is>
          <t>TAK</t>
        </is>
      </c>
      <c r="J602" t="inlineStr">
        <is>
          <t>TAK</t>
        </is>
      </c>
      <c r="K602" t="n">
        <v>534039663</v>
      </c>
      <c r="L602" t="n">
        <v>219000</v>
      </c>
      <c r="M602" t="n">
        <v>8208.39580209895</v>
      </c>
      <c r="N602" t="n">
        <v>26.68</v>
      </c>
      <c r="O602" t="inlineStr">
        <is>
          <t>1+k</t>
        </is>
      </c>
      <c r="P602" t="n">
        <v>4</v>
      </c>
      <c r="Q602" t="inlineStr">
        <is>
          <t>Puste</t>
        </is>
      </c>
    </row>
    <row r="603">
      <c r="A603" t="n">
        <v>602</v>
      </c>
      <c r="B603" s="3" t="n">
        <v>45499</v>
      </c>
      <c r="D603" t="inlineStr">
        <is>
          <t>https://www.otodom.pl/pl/oferta/mieszkanie-2-pok-na-polesiu-ID4r1xg.html</t>
        </is>
      </c>
      <c r="E603">
        <f>HYPERLINK("https://www.otodom.pl/pl/oferta/mieszkanie-2-pok-na-polesiu-ID4r1xg.html", "https://www.otodom.pl/pl/oferta/mieszkanie-2-pok-na-polesiu-ID4r1xg.html")</f>
        <v/>
      </c>
      <c r="F603" t="inlineStr">
        <is>
          <t>włókniarzy</t>
        </is>
      </c>
      <c r="G603" t="inlineStr">
        <is>
          <t>Polesie</t>
        </is>
      </c>
      <c r="H603" t="inlineStr">
        <is>
          <t>Polesie</t>
        </is>
      </c>
      <c r="I603" t="inlineStr">
        <is>
          <t>NIE</t>
        </is>
      </c>
      <c r="J603" t="inlineStr">
        <is>
          <t>TAK</t>
        </is>
      </c>
      <c r="K603" t="n">
        <v>570888922</v>
      </c>
      <c r="L603" t="n">
        <v>270000</v>
      </c>
      <c r="M603" t="n">
        <v>6958.762886597939</v>
      </c>
      <c r="N603" t="n">
        <v>38.8</v>
      </c>
      <c r="O603" t="inlineStr">
        <is>
          <t>2+k</t>
        </is>
      </c>
      <c r="P603" t="n">
        <v>8</v>
      </c>
      <c r="Q603" t="inlineStr">
        <is>
          <t>Nie da się zamieszkać</t>
        </is>
      </c>
      <c r="R603" t="inlineStr">
        <is>
          <t>próba telefonu 05.09.2024 nie odbiera</t>
        </is>
      </c>
    </row>
    <row r="604">
      <c r="A604" t="n">
        <v>603</v>
      </c>
      <c r="B604" s="3" t="n">
        <v>45499</v>
      </c>
      <c r="C604" s="3" t="n">
        <v>45522</v>
      </c>
      <c r="D604" t="inlineStr">
        <is>
          <t>https://www.oferty.net/mieszkanie-na-sprzedaz-dubois-lodz-gorna-25m2-kawalerka-164000-pln-ba,1539180505</t>
        </is>
      </c>
      <c r="E604">
        <f>HYPERLINK("https://www.oferty.net/mieszkanie-na-sprzedaz-dubois-lodz-gorna-25m2-kawalerka-164000-pln-ba,1539180505", "https://www.oferty.net/mieszkanie-na-sprzedaz-dubois-lodz-gorna-25m2-kawalerka-164000-pln-ba,1539180505")</f>
        <v/>
      </c>
      <c r="F604" t="inlineStr">
        <is>
          <t>dubois</t>
        </is>
      </c>
      <c r="G604" t="inlineStr">
        <is>
          <t>Górna</t>
        </is>
      </c>
      <c r="H604" t="inlineStr">
        <is>
          <t>Daleka górna</t>
        </is>
      </c>
      <c r="I604" t="inlineStr">
        <is>
          <t>TAK</t>
        </is>
      </c>
      <c r="J604" t="inlineStr">
        <is>
          <t>TAK</t>
        </is>
      </c>
      <c r="K604" t="n">
        <v>791411081</v>
      </c>
      <c r="L604" t="n">
        <v>164000</v>
      </c>
      <c r="M604" t="n">
        <v>6560</v>
      </c>
      <c r="N604" t="n">
        <v>25</v>
      </c>
      <c r="O604" t="inlineStr">
        <is>
          <t>1+k</t>
        </is>
      </c>
      <c r="P604" t="n">
        <v>1</v>
      </c>
      <c r="Q604" t="inlineStr">
        <is>
          <t>Nie da się zamieszkać</t>
        </is>
      </c>
    </row>
    <row r="605">
      <c r="A605" t="n">
        <v>604</v>
      </c>
      <c r="B605" s="3" t="n">
        <v>45499</v>
      </c>
      <c r="C605" s="3" t="n">
        <v>45548</v>
      </c>
      <c r="D605" t="inlineStr">
        <is>
          <t>https://www.otodom.pl/pl/oferta/mieszkanie-dwa-pokoje-z-balkonem-na-julianowie-ID4rJlK.html</t>
        </is>
      </c>
      <c r="E605">
        <f>HYPERLINK("https://www.otodom.pl/pl/oferta/mieszkanie-dwa-pokoje-z-balkonem-na-julianowie-ID4rJlK.html", "https://www.otodom.pl/pl/oferta/mieszkanie-dwa-pokoje-z-balkonem-na-julianowie-ID4rJlK.html")</f>
        <v/>
      </c>
      <c r="F605" t="inlineStr">
        <is>
          <t>kanaziewicza</t>
        </is>
      </c>
      <c r="G605" t="inlineStr">
        <is>
          <t>Bałuty</t>
        </is>
      </c>
      <c r="H605" t="inlineStr">
        <is>
          <t>Bałuty</t>
        </is>
      </c>
      <c r="I605" t="inlineStr">
        <is>
          <t>TAK</t>
        </is>
      </c>
      <c r="J605" t="inlineStr">
        <is>
          <t>TAK</t>
        </is>
      </c>
      <c r="K605" t="n">
        <v>730971222</v>
      </c>
      <c r="L605" t="n">
        <v>292000</v>
      </c>
      <c r="M605" t="n">
        <v>7624.02088772846</v>
      </c>
      <c r="N605" t="n">
        <v>38.3</v>
      </c>
      <c r="O605" t="inlineStr">
        <is>
          <t>2+k</t>
        </is>
      </c>
      <c r="P605" t="n">
        <v>5</v>
      </c>
      <c r="Q605" t="inlineStr">
        <is>
          <t>Nie da się zamieszkać</t>
        </is>
      </c>
    </row>
    <row r="606">
      <c r="A606" t="n">
        <v>605</v>
      </c>
      <c r="B606" s="3" t="n">
        <v>45499</v>
      </c>
      <c r="D606" t="inlineStr">
        <is>
          <t>https://adresowo.pl/o/p5a8h8</t>
        </is>
      </c>
      <c r="E606">
        <f>HYPERLINK("https://adresowo.pl/o/p5a8h8", "https://adresowo.pl/o/p5a8h8")</f>
        <v/>
      </c>
      <c r="F606" t="inlineStr">
        <is>
          <t>zbaraska</t>
        </is>
      </c>
      <c r="G606" t="inlineStr">
        <is>
          <t>Dąbrowa</t>
        </is>
      </c>
      <c r="H606" t="inlineStr">
        <is>
          <t>Dąbrowa</t>
        </is>
      </c>
      <c r="I606" t="inlineStr">
        <is>
          <t>NIE</t>
        </is>
      </c>
      <c r="J606" t="inlineStr">
        <is>
          <t>NIE</t>
        </is>
      </c>
      <c r="L606" t="n">
        <v>376000</v>
      </c>
      <c r="M606" t="n">
        <v>8000</v>
      </c>
      <c r="N606" t="n">
        <v>47</v>
      </c>
      <c r="O606" t="inlineStr">
        <is>
          <t>3+k</t>
        </is>
      </c>
      <c r="P606" t="n">
        <v>3</v>
      </c>
      <c r="Q606" t="inlineStr">
        <is>
          <t>Nie da się zamieszkać</t>
        </is>
      </c>
    </row>
    <row r="607">
      <c r="A607" t="n">
        <v>606</v>
      </c>
      <c r="B607" s="3" t="n">
        <v>45499</v>
      </c>
      <c r="C607" s="3" t="n">
        <v>45506</v>
      </c>
      <c r="D607" t="inlineStr">
        <is>
          <t>https://www.otodom.pl/pl/oferta/m3-parter-dabrowa-ID4rJBh</t>
        </is>
      </c>
      <c r="E607">
        <f>HYPERLINK("https://www.otodom.pl/pl/oferta/m3-parter-dabrowa-ID4rJBh", "https://www.otodom.pl/pl/oferta/m3-parter-dabrowa-ID4rJBh")</f>
        <v/>
      </c>
      <c r="F607" t="inlineStr">
        <is>
          <t>śląska</t>
        </is>
      </c>
      <c r="G607" t="inlineStr">
        <is>
          <t>Dąbrowa</t>
        </is>
      </c>
      <c r="H607" t="inlineStr">
        <is>
          <t>Dąbrowa</t>
        </is>
      </c>
      <c r="I607" t="inlineStr">
        <is>
          <t>TAK</t>
        </is>
      </c>
      <c r="J607" t="inlineStr">
        <is>
          <t>TAK</t>
        </is>
      </c>
      <c r="K607" t="n">
        <v>505208905</v>
      </c>
      <c r="L607" t="n">
        <v>239000</v>
      </c>
      <c r="M607" t="n">
        <v>6496.330524599076</v>
      </c>
      <c r="N607" t="n">
        <v>36.79</v>
      </c>
      <c r="O607" t="inlineStr">
        <is>
          <t>2+k</t>
        </is>
      </c>
      <c r="P607" t="n">
        <v>0</v>
      </c>
      <c r="Q607" t="inlineStr">
        <is>
          <t>Da się zamieszkać</t>
        </is>
      </c>
    </row>
    <row r="608">
      <c r="A608" t="n">
        <v>607</v>
      </c>
      <c r="B608" s="3" t="n">
        <v>45499</v>
      </c>
      <c r="D608" t="inlineStr">
        <is>
          <t>https://www.otodom.pl/pl/oferta/kawalerka-przy-dworcu-fabrycznym-ID4rJDQ.html</t>
        </is>
      </c>
      <c r="E608">
        <f>HYPERLINK("https://www.otodom.pl/pl/oferta/kawalerka-przy-dworcu-fabrycznym-ID4rJDQ.html", "https://www.otodom.pl/pl/oferta/kawalerka-przy-dworcu-fabrycznym-ID4rJDQ.html")</f>
        <v/>
      </c>
      <c r="F608" t="inlineStr">
        <is>
          <t>tramwajowa</t>
        </is>
      </c>
      <c r="G608" t="inlineStr">
        <is>
          <t>Śródmieście</t>
        </is>
      </c>
      <c r="H608" t="inlineStr">
        <is>
          <t>Śródmieście</t>
        </is>
      </c>
      <c r="I608" t="inlineStr">
        <is>
          <t>NIE</t>
        </is>
      </c>
      <c r="J608" t="inlineStr">
        <is>
          <t>TAK</t>
        </is>
      </c>
      <c r="K608" t="n">
        <v>510266546</v>
      </c>
      <c r="L608" t="n">
        <v>270000</v>
      </c>
      <c r="M608" t="n">
        <v>8134.980415787889</v>
      </c>
      <c r="N608" t="n">
        <v>33.19</v>
      </c>
      <c r="O608" t="inlineStr">
        <is>
          <t>1+k</t>
        </is>
      </c>
      <c r="P608" t="n">
        <v>10</v>
      </c>
      <c r="Q608" t="inlineStr">
        <is>
          <t>Nie da się zamieszkać</t>
        </is>
      </c>
    </row>
    <row r="609">
      <c r="A609" t="n">
        <v>608</v>
      </c>
      <c r="B609" s="3" t="n">
        <v>45499</v>
      </c>
      <c r="D609" t="inlineStr">
        <is>
          <t>https://www.otodom.pl/pl/oferta/m4-blisko-parku-podolskiego-ID4rJIU.html</t>
        </is>
      </c>
      <c r="E609">
        <f>HYPERLINK("https://www.otodom.pl/pl/oferta/m4-blisko-parku-podolskiego-ID4rJIU.html", "https://www.otodom.pl/pl/oferta/m4-blisko-parku-podolskiego-ID4rJIU.html")</f>
        <v/>
      </c>
      <c r="F609" t="inlineStr">
        <is>
          <t>zarzew</t>
        </is>
      </c>
      <c r="G609" t="inlineStr">
        <is>
          <t>Dąbrowa</t>
        </is>
      </c>
      <c r="H609" t="inlineStr">
        <is>
          <t>Dąbrowa</t>
        </is>
      </c>
      <c r="I609" t="inlineStr">
        <is>
          <t>NIE</t>
        </is>
      </c>
      <c r="J609" t="inlineStr">
        <is>
          <t>TAK</t>
        </is>
      </c>
      <c r="K609" t="n">
        <v>690377704</v>
      </c>
      <c r="L609" t="n">
        <v>327000</v>
      </c>
      <c r="M609" t="n">
        <v>6957.446808510638</v>
      </c>
      <c r="N609" t="n">
        <v>47</v>
      </c>
      <c r="O609" t="inlineStr">
        <is>
          <t>3+k</t>
        </is>
      </c>
      <c r="P609" t="n">
        <v>3</v>
      </c>
      <c r="Q609" t="inlineStr">
        <is>
          <t>Nie da się zamieszkać</t>
        </is>
      </c>
    </row>
    <row r="610">
      <c r="A610" t="n">
        <v>609</v>
      </c>
      <c r="B610" s="3" t="n">
        <v>45499</v>
      </c>
      <c r="C610" s="3" t="n">
        <v>45532</v>
      </c>
      <c r="D610" t="inlineStr">
        <is>
          <t>https://lodz.nieruchomosci-online.pl/mieszkanie-w-bloku-mieszkalnym,do-remontu/24952119.html</t>
        </is>
      </c>
      <c r="E610">
        <f>HYPERLINK("https://lodz.nieruchomosci-online.pl/mieszkanie-w-bloku-mieszkalnym,do-remontu/24952119.html", "https://lodz.nieruchomosci-online.pl/mieszkanie-w-bloku-mieszkalnym,do-remontu/24952119.html")</f>
        <v/>
      </c>
      <c r="F610" t="inlineStr">
        <is>
          <t>norwida</t>
        </is>
      </c>
      <c r="G610" t="inlineStr">
        <is>
          <t>Retkinia</t>
        </is>
      </c>
      <c r="H610" t="inlineStr">
        <is>
          <t>Retkinia blisko centrum</t>
        </is>
      </c>
      <c r="I610" t="inlineStr">
        <is>
          <t>TAK</t>
        </is>
      </c>
      <c r="J610" t="inlineStr">
        <is>
          <t>TAK</t>
        </is>
      </c>
      <c r="K610" t="n">
        <v>537163259</v>
      </c>
      <c r="L610" t="n">
        <v>330000</v>
      </c>
      <c r="M610" t="n">
        <v>7640.657559620283</v>
      </c>
      <c r="N610" t="n">
        <v>43.19</v>
      </c>
      <c r="O610" t="inlineStr">
        <is>
          <t>2+k</t>
        </is>
      </c>
      <c r="P610" t="n">
        <v>8</v>
      </c>
      <c r="Q610" t="inlineStr">
        <is>
          <t>Nie da się zamieszkać</t>
        </is>
      </c>
      <c r="R610" t="inlineStr">
        <is>
          <t>05.08 było 330k</t>
        </is>
      </c>
    </row>
    <row r="611">
      <c r="A611" t="n">
        <v>610</v>
      </c>
      <c r="B611" s="3" t="n">
        <v>45499</v>
      </c>
      <c r="D611" t="inlineStr">
        <is>
          <t>https://www.otodom.pl/pl/oferta/m-3-45-parcelacyjna-teofilow-2-pietro-ID4s4lK</t>
        </is>
      </c>
      <c r="E611">
        <f>HYPERLINK("https://www.otodom.pl/pl/oferta/m-3-45-parcelacyjna-teofilow-2-pietro-ID4s4lK", "https://www.otodom.pl/pl/oferta/m-3-45-parcelacyjna-teofilow-2-pietro-ID4s4lK")</f>
        <v/>
      </c>
      <c r="F611" t="inlineStr">
        <is>
          <t>parcelacyjna</t>
        </is>
      </c>
      <c r="G611" t="inlineStr">
        <is>
          <t>Teofilów</t>
        </is>
      </c>
      <c r="H611" t="inlineStr">
        <is>
          <t>Teofilów</t>
        </is>
      </c>
      <c r="I611" t="inlineStr">
        <is>
          <t>NIE</t>
        </is>
      </c>
      <c r="J611" t="inlineStr">
        <is>
          <t>TAK</t>
        </is>
      </c>
      <c r="K611" t="n">
        <v>502181201</v>
      </c>
      <c r="L611" t="n">
        <v>310000</v>
      </c>
      <c r="M611" t="n">
        <v>6888.888888888889</v>
      </c>
      <c r="N611" t="n">
        <v>45</v>
      </c>
      <c r="O611" t="inlineStr">
        <is>
          <t>2+k</t>
        </is>
      </c>
      <c r="P611" t="n">
        <v>2</v>
      </c>
      <c r="Q611" t="inlineStr">
        <is>
          <t>Nie da się zamieszkać</t>
        </is>
      </c>
      <c r="R611" t="inlineStr">
        <is>
          <t xml:space="preserve">https://www.morizon.pl/oferta/sprzedaz-mieszkanie-lodz-baluty-parcelacyjna-46m2-mzn2044289388 - prawdopodobnie link do osoby prywatnej  20.08.2024 było 340  19.09 było 325k </t>
        </is>
      </c>
    </row>
    <row r="612">
      <c r="A612" t="n">
        <v>611</v>
      </c>
      <c r="B612" s="3" t="n">
        <v>45499</v>
      </c>
      <c r="C612" s="3" t="n">
        <v>45532</v>
      </c>
      <c r="D612" t="inlineStr">
        <is>
          <t>https://www.olx.pl/d/oferta/wygodne-m3-do-aranzacji-dabrowa-loggia-CID3-ID10GxLy.html</t>
        </is>
      </c>
      <c r="E612">
        <f>HYPERLINK("https://www.olx.pl/d/oferta/wygodne-m3-do-aranzacji-dabrowa-loggia-CID3-ID10GxLy.html", "https://www.olx.pl/d/oferta/wygodne-m3-do-aranzacji-dabrowa-loggia-CID3-ID10GxLy.html")</f>
        <v/>
      </c>
      <c r="F612" t="inlineStr">
        <is>
          <t>.</t>
        </is>
      </c>
      <c r="G612" t="inlineStr">
        <is>
          <t>Dąbrowa</t>
        </is>
      </c>
      <c r="H612" t="inlineStr">
        <is>
          <t>Dąbrowa</t>
        </is>
      </c>
      <c r="I612" t="inlineStr">
        <is>
          <t>TAK</t>
        </is>
      </c>
      <c r="J612" t="inlineStr">
        <is>
          <t>TAK</t>
        </is>
      </c>
      <c r="K612" t="n">
        <v>780097861</v>
      </c>
      <c r="L612" t="n">
        <v>312000</v>
      </c>
      <c r="M612" t="n">
        <v>6500</v>
      </c>
      <c r="N612" t="n">
        <v>48</v>
      </c>
      <c r="O612" t="inlineStr">
        <is>
          <t>2+k</t>
        </is>
      </c>
      <c r="P612" t="n">
        <v>0</v>
      </c>
      <c r="Q612" t="inlineStr">
        <is>
          <t>Nie da się zamieszkać</t>
        </is>
      </c>
    </row>
    <row r="613">
      <c r="A613" t="n">
        <v>612</v>
      </c>
      <c r="B613" s="3" t="n">
        <v>45499</v>
      </c>
      <c r="C613" s="3" t="n">
        <v>45532</v>
      </c>
      <c r="D613" t="inlineStr">
        <is>
          <t>https://www.olx.pl/d/oferta/m3-m4-z-dwoma-balkonami-obok-makro-CID3-IDZnmxp.html</t>
        </is>
      </c>
      <c r="E613">
        <f>HYPERLINK("https://www.olx.pl/d/oferta/m3-m4-z-dwoma-balkonami-obok-makro-CID3-IDZnmxp.html", "https://www.olx.pl/d/oferta/m3-m4-z-dwoma-balkonami-obok-makro-CID3-IDZnmxp.html")</f>
        <v/>
      </c>
      <c r="F613" t="inlineStr">
        <is>
          <t>.</t>
        </is>
      </c>
      <c r="G613" t="inlineStr">
        <is>
          <t>Polesie</t>
        </is>
      </c>
      <c r="H613" t="inlineStr">
        <is>
          <t>Polesie</t>
        </is>
      </c>
      <c r="I613" t="inlineStr">
        <is>
          <t>TAK</t>
        </is>
      </c>
      <c r="J613" t="inlineStr">
        <is>
          <t>TAK</t>
        </is>
      </c>
      <c r="K613" t="n">
        <v>510266546</v>
      </c>
      <c r="L613" t="n">
        <v>370000</v>
      </c>
      <c r="M613" t="n">
        <v>6851.851851851852</v>
      </c>
      <c r="N613" t="n">
        <v>54</v>
      </c>
      <c r="O613" t="inlineStr">
        <is>
          <t>2+k</t>
        </is>
      </c>
      <c r="P613" t="n">
        <v>1</v>
      </c>
      <c r="Q613" t="inlineStr">
        <is>
          <t>Nie da się zamieszkać</t>
        </is>
      </c>
      <c r="R613" t="inlineStr">
        <is>
          <t xml:space="preserve">podobno da się zrobić m3 </t>
        </is>
      </c>
    </row>
    <row r="614">
      <c r="A614" t="n">
        <v>613</v>
      </c>
      <c r="B614" s="3" t="n">
        <v>45499</v>
      </c>
      <c r="C614" s="3" t="n">
        <v>45522</v>
      </c>
      <c r="D614" t="inlineStr">
        <is>
          <t>https://www.otodom.pl/pl/oferta/trzypokojowe-47-m2-i-pietro-balkon-ul-tatrzanska-ID4rK27.html</t>
        </is>
      </c>
      <c r="E614">
        <f>HYPERLINK("https://www.otodom.pl/pl/oferta/trzypokojowe-47-m2-i-pietro-balkon-ul-tatrzanska-ID4rK27.html", "https://www.otodom.pl/pl/oferta/trzypokojowe-47-m2-i-pietro-balkon-ul-tatrzanska-ID4rK27.html")</f>
        <v/>
      </c>
      <c r="F614" t="inlineStr">
        <is>
          <t>tatrzańska</t>
        </is>
      </c>
      <c r="G614" t="inlineStr">
        <is>
          <t>Dąbrowa</t>
        </is>
      </c>
      <c r="H614" t="inlineStr">
        <is>
          <t>Dąbrowa</t>
        </is>
      </c>
      <c r="I614" t="inlineStr">
        <is>
          <t>TAK</t>
        </is>
      </c>
      <c r="J614" t="inlineStr">
        <is>
          <t>TAK</t>
        </is>
      </c>
      <c r="K614" t="n">
        <v>730020051</v>
      </c>
      <c r="L614" t="n">
        <v>325000</v>
      </c>
      <c r="M614" t="n">
        <v>6882.676831850911</v>
      </c>
      <c r="N614" t="n">
        <v>47.22</v>
      </c>
      <c r="O614" t="inlineStr">
        <is>
          <t>2+k</t>
        </is>
      </c>
      <c r="P614" t="n">
        <v>1</v>
      </c>
      <c r="Q614" t="inlineStr">
        <is>
          <t>Puste posprzątane</t>
        </is>
      </c>
      <c r="R614" t="inlineStr">
        <is>
          <t xml:space="preserve">Zobaczone na zywo 05.08 (bardzo fajnie zrobione) </t>
        </is>
      </c>
    </row>
    <row r="615">
      <c r="A615" t="n">
        <v>614</v>
      </c>
      <c r="B615" s="3" t="n">
        <v>45500</v>
      </c>
      <c r="D615" t="inlineStr">
        <is>
          <t>https://nieruchomosci.gratka.pl/nieruchomosci/mieszkanie-lodz-baluty/ob/36548895</t>
        </is>
      </c>
      <c r="E615">
        <f>HYPERLINK("https://nieruchomosci.gratka.pl/nieruchomosci/mieszkanie-lodz-baluty/ob/36548895", "https://nieruchomosci.gratka.pl/nieruchomosci/mieszkanie-lodz-baluty/ob/36548895")</f>
        <v/>
      </c>
      <c r="F615" t="inlineStr">
        <is>
          <t>wielkopolska</t>
        </is>
      </c>
      <c r="G615" t="inlineStr">
        <is>
          <t>Teofilów</t>
        </is>
      </c>
      <c r="H615" t="inlineStr">
        <is>
          <t>Teofilów</t>
        </is>
      </c>
      <c r="I615" t="inlineStr">
        <is>
          <t>NIE</t>
        </is>
      </c>
      <c r="J615" t="inlineStr">
        <is>
          <t>TAK</t>
        </is>
      </c>
      <c r="K615" t="n">
        <v>732811276</v>
      </c>
      <c r="L615" t="n">
        <v>315000</v>
      </c>
      <c r="M615" t="n">
        <v>7000</v>
      </c>
      <c r="N615" t="n">
        <v>45</v>
      </c>
      <c r="O615" t="inlineStr">
        <is>
          <t>2+k</t>
        </is>
      </c>
      <c r="P615" t="n">
        <v>2</v>
      </c>
      <c r="Q615" t="inlineStr">
        <is>
          <t>Nie da się zamieszkać</t>
        </is>
      </c>
      <c r="R615" t="inlineStr">
        <is>
          <t>https://adresowo.pl/o/y0x4x7 - prawdopodobnie numer do własciciela</t>
        </is>
      </c>
      <c r="T615" t="inlineStr">
        <is>
          <t>933</t>
        </is>
      </c>
    </row>
    <row r="616">
      <c r="A616" t="n">
        <v>615</v>
      </c>
      <c r="B616" s="3" t="n">
        <v>45500</v>
      </c>
      <c r="C616" s="3" t="n">
        <v>45532</v>
      </c>
      <c r="D616" t="inlineStr">
        <is>
          <t>https://www.olx.pl/d/oferta/bardzo-ustawane-2-pokoje-z-balkonem-1sze-pietro-do-remontu-CID3-ID11bvc1.html</t>
        </is>
      </c>
      <c r="E616">
        <f>HYPERLINK("https://www.olx.pl/d/oferta/bardzo-ustawane-2-pokoje-z-balkonem-1sze-pietro-do-remontu-CID3-ID11bvc1.html", "https://www.olx.pl/d/oferta/bardzo-ustawane-2-pokoje-z-balkonem-1sze-pietro-do-remontu-CID3-ID11bvc1.html")</f>
        <v/>
      </c>
      <c r="F616" t="inlineStr">
        <is>
          <t>mokra</t>
        </is>
      </c>
      <c r="G616" t="inlineStr">
        <is>
          <t>Bałuty</t>
        </is>
      </c>
      <c r="H616" t="inlineStr">
        <is>
          <t>Bałuty blisko centrum</t>
        </is>
      </c>
      <c r="I616" t="inlineStr">
        <is>
          <t>TAK</t>
        </is>
      </c>
      <c r="J616" t="inlineStr">
        <is>
          <t>NIE</t>
        </is>
      </c>
      <c r="K616" t="n">
        <v>606709946</v>
      </c>
      <c r="L616" t="n">
        <v>259000</v>
      </c>
      <c r="M616" t="n">
        <v>7573.099415204678</v>
      </c>
      <c r="N616" t="n">
        <v>34.2</v>
      </c>
      <c r="O616" t="inlineStr">
        <is>
          <t>2+k</t>
        </is>
      </c>
      <c r="P616" t="n">
        <v>1</v>
      </c>
      <c r="Q616" t="inlineStr">
        <is>
          <t>Nie da się zamieszkać</t>
        </is>
      </c>
    </row>
    <row r="617">
      <c r="A617" t="n">
        <v>616</v>
      </c>
      <c r="B617" s="3" t="n">
        <v>45501</v>
      </c>
      <c r="C617" s="3" t="n">
        <v>45532</v>
      </c>
      <c r="D617" t="inlineStr">
        <is>
          <t>https://www.olx.pl/d/oferta/sprzedam-m2-pokoj-z-oddzielna-kuchnia-lodz-dabrowa-CID3-IDYGwU7.html?isPreviewActive=0&amp;sliderIndex=6</t>
        </is>
      </c>
      <c r="E617">
        <f>HYPERLINK("https://www.olx.pl/d/oferta/sprzedam-m2-pokoj-z-oddzielna-kuchnia-lodz-dabrowa-CID3-IDYGwU7.html?isPreviewActive=0&amp;sliderIndex=6", "https://www.olx.pl/d/oferta/sprzedam-m2-pokoj-z-oddzielna-kuchnia-lodz-dabrowa-CID3-IDYGwU7.html?isPreviewActive=0&amp;sliderIndex=6")</f>
        <v/>
      </c>
      <c r="F617" t="inlineStr">
        <is>
          <t>.</t>
        </is>
      </c>
      <c r="G617" t="inlineStr">
        <is>
          <t>Dąbrowa</t>
        </is>
      </c>
      <c r="H617" t="inlineStr">
        <is>
          <t>Dąbrowa</t>
        </is>
      </c>
      <c r="I617" t="inlineStr">
        <is>
          <t>TAK</t>
        </is>
      </c>
      <c r="J617" t="inlineStr">
        <is>
          <t>NIE</t>
        </is>
      </c>
      <c r="K617" t="n">
        <v>662048845</v>
      </c>
      <c r="L617" t="n">
        <v>220000</v>
      </c>
      <c r="M617" t="n">
        <v>7719.298245614035</v>
      </c>
      <c r="N617" t="n">
        <v>28.5</v>
      </c>
      <c r="O617" t="inlineStr">
        <is>
          <t>1+k</t>
        </is>
      </c>
      <c r="P617" t="n">
        <v>1</v>
      </c>
      <c r="Q617" t="inlineStr">
        <is>
          <t>Nie da się zamieszkać</t>
        </is>
      </c>
    </row>
    <row r="618">
      <c r="A618" t="n">
        <v>617</v>
      </c>
      <c r="B618" s="3" t="n">
        <v>45501</v>
      </c>
      <c r="C618" s="3" t="n">
        <v>45506</v>
      </c>
      <c r="D618" t="inlineStr">
        <is>
          <t>https://www.olx.pl/d/oferta/mieszkanie-37m2-teofilow-2-pokoje-do-remontu-CID3-ID11cL24.html</t>
        </is>
      </c>
      <c r="E618">
        <f>HYPERLINK("https://www.olx.pl/d/oferta/mieszkanie-37m2-teofilow-2-pokoje-do-remontu-CID3-ID11cL24.html", "https://www.olx.pl/d/oferta/mieszkanie-37m2-teofilow-2-pokoje-do-remontu-CID3-ID11cL24.html")</f>
        <v/>
      </c>
      <c r="F618" t="inlineStr">
        <is>
          <t>plantowa</t>
        </is>
      </c>
      <c r="G618" t="inlineStr">
        <is>
          <t>Teofilów</t>
        </is>
      </c>
      <c r="H618" t="inlineStr">
        <is>
          <t>Teofilów</t>
        </is>
      </c>
      <c r="I618" t="inlineStr">
        <is>
          <t>TAK</t>
        </is>
      </c>
      <c r="J618" t="inlineStr">
        <is>
          <t>NIE</t>
        </is>
      </c>
      <c r="K618" t="n">
        <v>669721981</v>
      </c>
      <c r="L618" t="n">
        <v>260000</v>
      </c>
      <c r="M618" t="n">
        <v>7027.027027027027</v>
      </c>
      <c r="N618" t="n">
        <v>37</v>
      </c>
      <c r="O618" t="inlineStr">
        <is>
          <t>2+k</t>
        </is>
      </c>
      <c r="P618" t="n">
        <v>2</v>
      </c>
      <c r="Q618" t="inlineStr">
        <is>
          <t>Nie da się zamieszkać</t>
        </is>
      </c>
    </row>
    <row r="619">
      <c r="A619" t="n">
        <v>618</v>
      </c>
      <c r="B619" s="3" t="n">
        <v>45501</v>
      </c>
      <c r="D619" t="inlineStr">
        <is>
          <t>https://adresowo.pl/o/n4m7h0</t>
        </is>
      </c>
      <c r="E619">
        <f>HYPERLINK("https://adresowo.pl/o/n4m7h0", "https://adresowo.pl/o/n4m7h0")</f>
        <v/>
      </c>
      <c r="F619" t="inlineStr">
        <is>
          <t>gładka</t>
        </is>
      </c>
      <c r="G619" t="inlineStr">
        <is>
          <t>Górna</t>
        </is>
      </c>
      <c r="H619" t="inlineStr">
        <is>
          <t>Daleka górna</t>
        </is>
      </c>
      <c r="I619" t="inlineStr">
        <is>
          <t>NIE</t>
        </is>
      </c>
      <c r="J619" t="inlineStr">
        <is>
          <t>NIE</t>
        </is>
      </c>
      <c r="L619" t="n">
        <v>285000</v>
      </c>
      <c r="M619" t="n">
        <v>8142.857142857143</v>
      </c>
      <c r="N619" t="n">
        <v>35</v>
      </c>
      <c r="O619" t="inlineStr">
        <is>
          <t>2+k</t>
        </is>
      </c>
      <c r="P619" t="n">
        <v>2</v>
      </c>
      <c r="Q619" t="inlineStr">
        <is>
          <t>Nie da się zamieszkać</t>
        </is>
      </c>
    </row>
    <row r="620">
      <c r="A620" t="n">
        <v>619</v>
      </c>
      <c r="B620" s="3" t="n">
        <v>45501</v>
      </c>
      <c r="C620" s="3" t="n">
        <v>45532</v>
      </c>
      <c r="D620" t="inlineStr">
        <is>
          <t>https://www.olx.pl/d/oferta/sprzedam-mieszkanie-32-m-CID3-ID11cKAD.html</t>
        </is>
      </c>
      <c r="E620">
        <f>HYPERLINK("https://www.olx.pl/d/oferta/sprzedam-mieszkanie-32-m-CID3-ID11cKAD.html", "https://www.olx.pl/d/oferta/sprzedam-mieszkanie-32-m-CID3-ID11cKAD.html")</f>
        <v/>
      </c>
      <c r="F620" t="inlineStr">
        <is>
          <t>paderewskiego</t>
        </is>
      </c>
      <c r="G620" t="inlineStr">
        <is>
          <t>Górna</t>
        </is>
      </c>
      <c r="H620" t="inlineStr">
        <is>
          <t>Górna</t>
        </is>
      </c>
      <c r="I620" t="inlineStr">
        <is>
          <t>TAK</t>
        </is>
      </c>
      <c r="J620" t="inlineStr">
        <is>
          <t>NIE</t>
        </is>
      </c>
      <c r="K620" t="n">
        <v>502652335</v>
      </c>
      <c r="L620" t="n">
        <v>250000</v>
      </c>
      <c r="M620" t="n">
        <v>7790.58896852602</v>
      </c>
      <c r="N620" t="n">
        <v>32.09</v>
      </c>
      <c r="O620" t="inlineStr">
        <is>
          <t>2+k</t>
        </is>
      </c>
      <c r="P620" t="n">
        <v>4</v>
      </c>
      <c r="Q620" t="inlineStr">
        <is>
          <t>Da się zamieszkać</t>
        </is>
      </c>
    </row>
    <row r="621">
      <c r="A621" t="n">
        <v>620</v>
      </c>
      <c r="B621" s="3" t="n">
        <v>45501</v>
      </c>
      <c r="C621" s="3" t="n">
        <v>45522</v>
      </c>
      <c r="D621" t="inlineStr">
        <is>
          <t>https://www.olx.pl/d/oferta/mieszkanie-z-dwoma-balkonami-CID3-ID11cQpU.html?isPreviewActive=0&amp;sliderIndex=4</t>
        </is>
      </c>
      <c r="E621">
        <f>HYPERLINK("https://www.olx.pl/d/oferta/mieszkanie-z-dwoma-balkonami-CID3-ID11cQpU.html?isPreviewActive=0&amp;sliderIndex=4", "https://www.olx.pl/d/oferta/mieszkanie-z-dwoma-balkonami-CID3-ID11cQpU.html?isPreviewActive=0&amp;sliderIndex=4")</f>
        <v/>
      </c>
      <c r="F621" t="inlineStr">
        <is>
          <t>długosza</t>
        </is>
      </c>
      <c r="G621" t="inlineStr">
        <is>
          <t>Polesie</t>
        </is>
      </c>
      <c r="H621" t="inlineStr">
        <is>
          <t>Polesie</t>
        </is>
      </c>
      <c r="I621" t="inlineStr">
        <is>
          <t>TAK</t>
        </is>
      </c>
      <c r="J621" t="inlineStr">
        <is>
          <t>NIE</t>
        </is>
      </c>
      <c r="K621" t="n">
        <v>508534651</v>
      </c>
      <c r="L621" t="n">
        <v>399000</v>
      </c>
      <c r="M621" t="n">
        <v>7749.077490774907</v>
      </c>
      <c r="N621" t="n">
        <v>51.49</v>
      </c>
      <c r="O621" t="inlineStr">
        <is>
          <t>2+k</t>
        </is>
      </c>
      <c r="P621" t="n">
        <v>2</v>
      </c>
      <c r="Q621" t="inlineStr">
        <is>
          <t>Nie da się zamieszkać</t>
        </is>
      </c>
    </row>
    <row r="622">
      <c r="A622" t="n">
        <v>621</v>
      </c>
      <c r="B622" s="3" t="n">
        <v>45501</v>
      </c>
      <c r="C622" s="3" t="n">
        <v>45532</v>
      </c>
      <c r="D622" t="inlineStr">
        <is>
          <t>https://www.olx.pl/d/oferta/2-pokoje-3-aranzacje-park-politechnika-bez-prowizji-CID3-ID11cUNO.html</t>
        </is>
      </c>
      <c r="E622">
        <f>HYPERLINK("https://www.olx.pl/d/oferta/2-pokoje-3-aranzacje-park-politechnika-bez-prowizji-CID3-ID11cUNO.html", "https://www.olx.pl/d/oferta/2-pokoje-3-aranzacje-park-politechnika-bez-prowizji-CID3-ID11cUNO.html")</f>
        <v/>
      </c>
      <c r="F622" t="inlineStr">
        <is>
          <t>piasta</t>
        </is>
      </c>
      <c r="G622" t="inlineStr">
        <is>
          <t>Górna</t>
        </is>
      </c>
      <c r="H622" t="inlineStr">
        <is>
          <t>Górna blisko centrum</t>
        </is>
      </c>
      <c r="I622" t="inlineStr">
        <is>
          <t>TAK</t>
        </is>
      </c>
      <c r="J622" t="inlineStr">
        <is>
          <t>NIE</t>
        </is>
      </c>
      <c r="K622" t="n">
        <v>603404362</v>
      </c>
      <c r="L622" t="n">
        <v>269000</v>
      </c>
      <c r="M622" t="n">
        <v>7078.947368421052</v>
      </c>
      <c r="N622" t="n">
        <v>38</v>
      </c>
      <c r="O622" t="inlineStr">
        <is>
          <t>2+k</t>
        </is>
      </c>
      <c r="P622" t="n">
        <v>0</v>
      </c>
      <c r="Q622" t="inlineStr">
        <is>
          <t>Puste posprzątane i odświeżone</t>
        </is>
      </c>
      <c r="R622" t="inlineStr">
        <is>
          <t>22.08 było 279k</t>
        </is>
      </c>
    </row>
    <row r="623">
      <c r="A623" t="n">
        <v>622</v>
      </c>
      <c r="B623" s="3" t="n">
        <v>45501</v>
      </c>
      <c r="C623" s="3" t="n">
        <v>45532</v>
      </c>
      <c r="D623" t="inlineStr">
        <is>
          <t>https://www.olx.pl/d/oferta/sprzedam-mieszkanie-m3-2-pietro-teofilow-lodz-ul-rojna-CID3-ID118TXQ.html</t>
        </is>
      </c>
      <c r="E623">
        <f>HYPERLINK("https://www.olx.pl/d/oferta/sprzedam-mieszkanie-m3-2-pietro-teofilow-lodz-ul-rojna-CID3-ID118TXQ.html", "https://www.olx.pl/d/oferta/sprzedam-mieszkanie-m3-2-pietro-teofilow-lodz-ul-rojna-CID3-ID118TXQ.html")</f>
        <v/>
      </c>
      <c r="F623" t="inlineStr">
        <is>
          <t>rojna</t>
        </is>
      </c>
      <c r="G623" t="inlineStr">
        <is>
          <t>Teofilów</t>
        </is>
      </c>
      <c r="H623" t="inlineStr">
        <is>
          <t>Teofilów</t>
        </is>
      </c>
      <c r="I623" t="inlineStr">
        <is>
          <t>TAK</t>
        </is>
      </c>
      <c r="J623" t="inlineStr">
        <is>
          <t>NIE</t>
        </is>
      </c>
      <c r="K623" t="n">
        <v>601269043</v>
      </c>
      <c r="L623" t="n">
        <v>279000</v>
      </c>
      <c r="M623" t="n">
        <v>7540.540540540541</v>
      </c>
      <c r="N623" t="n">
        <v>37</v>
      </c>
      <c r="O623" t="inlineStr">
        <is>
          <t>2+k</t>
        </is>
      </c>
      <c r="P623" t="n">
        <v>2</v>
      </c>
      <c r="Q623" t="inlineStr">
        <is>
          <t>Puste posprzątane</t>
        </is>
      </c>
    </row>
    <row r="624">
      <c r="A624" t="n">
        <v>623</v>
      </c>
      <c r="B624" s="3" t="n">
        <v>45501</v>
      </c>
      <c r="C624" s="3" t="n">
        <v>45522</v>
      </c>
      <c r="D624" t="inlineStr">
        <is>
          <t>https://www.otodom.pl/pl/oferta/sprzedam-3-pok-mieszkanie-z-balkonem-55-41-m2-ID4rxzP.html</t>
        </is>
      </c>
      <c r="E624">
        <f>HYPERLINK("https://www.otodom.pl/pl/oferta/sprzedam-3-pok-mieszkanie-z-balkonem-55-41-m2-ID4rxzP.html", "https://www.otodom.pl/pl/oferta/sprzedam-3-pok-mieszkanie-z-balkonem-55-41-m2-ID4rxzP.html")</f>
        <v/>
      </c>
      <c r="F624" t="inlineStr">
        <is>
          <t>paderewskiego</t>
        </is>
      </c>
      <c r="G624" t="inlineStr">
        <is>
          <t>Górna</t>
        </is>
      </c>
      <c r="H624" t="inlineStr">
        <is>
          <t>Górna</t>
        </is>
      </c>
      <c r="I624" t="inlineStr">
        <is>
          <t>TAK</t>
        </is>
      </c>
      <c r="J624" t="inlineStr">
        <is>
          <t>TAK</t>
        </is>
      </c>
      <c r="K624" t="n">
        <v>509061078</v>
      </c>
      <c r="L624" t="n">
        <v>398000</v>
      </c>
      <c r="M624" t="n">
        <v>7182.818985742646</v>
      </c>
      <c r="N624" t="n">
        <v>55.41</v>
      </c>
      <c r="O624" t="inlineStr">
        <is>
          <t>2+k</t>
        </is>
      </c>
      <c r="P624" t="n">
        <v>2</v>
      </c>
      <c r="Q624" t="inlineStr">
        <is>
          <t>Puste posprzątane</t>
        </is>
      </c>
    </row>
    <row r="625">
      <c r="A625" t="n">
        <v>624</v>
      </c>
      <c r="B625" s="3" t="n">
        <v>45501</v>
      </c>
      <c r="D625" t="inlineStr">
        <is>
          <t>https://nieruchomosci.gratka.pl/nieruchomosci/mieszkanie-lodz-baluty-eliasza-chaima-majzela/ob/35327753</t>
        </is>
      </c>
      <c r="E625">
        <f>HYPERLINK("https://nieruchomosci.gratka.pl/nieruchomosci/mieszkanie-lodz-baluty-eliasza-chaima-majzela/ob/35327753", "https://nieruchomosci.gratka.pl/nieruchomosci/mieszkanie-lodz-baluty-eliasza-chaima-majzela/ob/35327753")</f>
        <v/>
      </c>
      <c r="F625" t="inlineStr">
        <is>
          <t>majzela</t>
        </is>
      </c>
      <c r="G625" t="inlineStr">
        <is>
          <t>Bałuty</t>
        </is>
      </c>
      <c r="H625" t="inlineStr">
        <is>
          <t>Bałuty blisko centrum</t>
        </is>
      </c>
      <c r="I625" t="inlineStr">
        <is>
          <t>NIE</t>
        </is>
      </c>
      <c r="J625" t="inlineStr">
        <is>
          <t>TAK</t>
        </is>
      </c>
      <c r="K625" t="n">
        <v>609737015</v>
      </c>
      <c r="L625" t="n">
        <v>249000</v>
      </c>
      <c r="M625" t="n">
        <v>7678.075855689177</v>
      </c>
      <c r="N625" t="n">
        <v>32.43</v>
      </c>
      <c r="O625" t="inlineStr">
        <is>
          <t>2+k</t>
        </is>
      </c>
      <c r="P625" t="n">
        <v>2</v>
      </c>
      <c r="Q625" t="inlineStr">
        <is>
          <t>Nie da się zamieszkać</t>
        </is>
      </c>
    </row>
    <row r="626">
      <c r="A626" t="n">
        <v>625</v>
      </c>
      <c r="B626" s="3" t="n">
        <v>45501</v>
      </c>
      <c r="C626" s="3" t="n">
        <v>45511</v>
      </c>
      <c r="D626" t="inlineStr">
        <is>
          <t>https://www.olx.pl/d/oferta/2-pokoje-rozklad-balkon-40-89m-3-pietro-CID3-ID11dcX2.html</t>
        </is>
      </c>
      <c r="E626">
        <f>HYPERLINK("https://www.olx.pl/d/oferta/2-pokoje-rozklad-balkon-40-89m-3-pietro-CID3-ID11dcX2.html", "https://www.olx.pl/d/oferta/2-pokoje-rozklad-balkon-40-89m-3-pietro-CID3-ID11dcX2.html")</f>
        <v/>
      </c>
      <c r="F626" t="inlineStr">
        <is>
          <t>Konspiracyjnego Wojska Polskiego</t>
        </is>
      </c>
      <c r="G626" t="inlineStr">
        <is>
          <t>Dąbrowa</t>
        </is>
      </c>
      <c r="H626" t="inlineStr">
        <is>
          <t>Dąbrowa</t>
        </is>
      </c>
      <c r="I626" t="inlineStr">
        <is>
          <t>TAK</t>
        </is>
      </c>
      <c r="J626" t="inlineStr">
        <is>
          <t>NIE</t>
        </is>
      </c>
      <c r="K626" t="n">
        <v>515043710</v>
      </c>
      <c r="L626" t="n">
        <v>290000</v>
      </c>
      <c r="M626" t="n">
        <v>7092.198581560284</v>
      </c>
      <c r="N626" t="n">
        <v>40.89</v>
      </c>
      <c r="O626" t="inlineStr">
        <is>
          <t>2+k</t>
        </is>
      </c>
      <c r="P626" t="n">
        <v>3</v>
      </c>
      <c r="Q626" t="inlineStr">
        <is>
          <t>Puste posprzątane</t>
        </is>
      </c>
      <c r="R626" t="inlineStr">
        <is>
          <t xml:space="preserve">07.08 telefon- nieaktualne </t>
        </is>
      </c>
    </row>
    <row r="627">
      <c r="A627" t="n">
        <v>626</v>
      </c>
      <c r="B627" s="3" t="n">
        <v>45501</v>
      </c>
      <c r="C627" s="3" t="n">
        <v>45532</v>
      </c>
      <c r="D627" t="inlineStr">
        <is>
          <t>https://www.olx.pl/d/oferta/3-pokojowe-mieszkanie-10-min-od-centrum-CID3-ID11dhac.html</t>
        </is>
      </c>
      <c r="E627">
        <f>HYPERLINK("https://www.olx.pl/d/oferta/3-pokojowe-mieszkanie-10-min-od-centrum-CID3-ID11dhac.html", "https://www.olx.pl/d/oferta/3-pokojowe-mieszkanie-10-min-od-centrum-CID3-ID11dhac.html")</f>
        <v/>
      </c>
      <c r="F627" t="inlineStr">
        <is>
          <t>Szpital Jonshera</t>
        </is>
      </c>
      <c r="G627" t="inlineStr">
        <is>
          <t>Górna</t>
        </is>
      </c>
      <c r="H627" t="inlineStr">
        <is>
          <t>Górna blisko centrum</t>
        </is>
      </c>
      <c r="I627" t="inlineStr">
        <is>
          <t>TAK</t>
        </is>
      </c>
      <c r="J627" t="inlineStr">
        <is>
          <t>TAK</t>
        </is>
      </c>
      <c r="K627" t="n">
        <v>793369887</v>
      </c>
      <c r="L627" t="n">
        <v>338000</v>
      </c>
      <c r="M627" t="n">
        <v>6897.959183673469</v>
      </c>
      <c r="N627" t="n">
        <v>49</v>
      </c>
      <c r="O627" t="inlineStr">
        <is>
          <t>3+k</t>
        </is>
      </c>
      <c r="P627" t="n">
        <v>0</v>
      </c>
      <c r="Q627" t="inlineStr">
        <is>
          <t>Nie da się zamieszkać</t>
        </is>
      </c>
    </row>
    <row r="628">
      <c r="A628" t="n">
        <v>627</v>
      </c>
      <c r="B628" s="3" t="n">
        <v>45502</v>
      </c>
      <c r="D628" t="inlineStr">
        <is>
          <t>https://www.olx.pl/d/oferta/rozkladowe-m4-do-wlasnej-aranzacji-CID3-ID11dZOM.html</t>
        </is>
      </c>
      <c r="E628">
        <f>HYPERLINK("https://www.olx.pl/d/oferta/rozkladowe-m4-do-wlasnej-aranzacji-CID3-ID11dZOM.html", "https://www.olx.pl/d/oferta/rozkladowe-m4-do-wlasnej-aranzacji-CID3-ID11dZOM.html")</f>
        <v/>
      </c>
      <c r="F628" t="inlineStr">
        <is>
          <t>pułaskiego</t>
        </is>
      </c>
      <c r="G628" t="inlineStr">
        <is>
          <t>Teofilów</t>
        </is>
      </c>
      <c r="H628" t="inlineStr">
        <is>
          <t>Teofilów</t>
        </is>
      </c>
      <c r="I628" t="inlineStr">
        <is>
          <t>NIE</t>
        </is>
      </c>
      <c r="J628" t="inlineStr">
        <is>
          <t>TAK</t>
        </is>
      </c>
      <c r="K628" t="n">
        <v>784993561</v>
      </c>
      <c r="L628" t="n">
        <v>393000</v>
      </c>
      <c r="M628" t="n">
        <v>6894.736842105263</v>
      </c>
      <c r="N628" t="n">
        <v>57</v>
      </c>
      <c r="O628" t="inlineStr">
        <is>
          <t>3+k</t>
        </is>
      </c>
      <c r="P628" t="n">
        <v>7</v>
      </c>
      <c r="Q628" t="inlineStr">
        <is>
          <t>Nie da się zamieszkać</t>
        </is>
      </c>
    </row>
    <row r="629">
      <c r="A629" t="n">
        <v>628</v>
      </c>
      <c r="B629" s="3" t="n">
        <v>45502</v>
      </c>
      <c r="C629" s="3" t="n">
        <v>45522</v>
      </c>
      <c r="D629" t="inlineStr">
        <is>
          <t>https://www.domiporta.pl/nieruchomosci/sprzedam-mieszkanie-dwupokojowe-lodz-srodmiescie-45m2/155285091</t>
        </is>
      </c>
      <c r="E629">
        <f>HYPERLINK("https://www.domiporta.pl/nieruchomosci/sprzedam-mieszkanie-dwupokojowe-lodz-srodmiescie-45m2/155285091", "https://www.domiporta.pl/nieruchomosci/sprzedam-mieszkanie-dwupokojowe-lodz-srodmiescie-45m2/155285091")</f>
        <v/>
      </c>
      <c r="F629" t="inlineStr">
        <is>
          <t>piłsudksiego</t>
        </is>
      </c>
      <c r="G629" t="inlineStr">
        <is>
          <t>Śródmieście</t>
        </is>
      </c>
      <c r="H629" t="inlineStr">
        <is>
          <t>Śródmieście</t>
        </is>
      </c>
      <c r="I629" t="inlineStr">
        <is>
          <t>TAK</t>
        </is>
      </c>
      <c r="J629" t="inlineStr">
        <is>
          <t>TAK</t>
        </is>
      </c>
      <c r="K629" t="n">
        <v>512722056</v>
      </c>
      <c r="L629" t="n">
        <v>289000</v>
      </c>
      <c r="M629" t="n">
        <v>6453.774006252791</v>
      </c>
      <c r="N629" t="n">
        <v>44.78</v>
      </c>
      <c r="O629" t="inlineStr">
        <is>
          <t>2+k</t>
        </is>
      </c>
      <c r="P629" t="n">
        <v>8</v>
      </c>
      <c r="Q629" t="inlineStr">
        <is>
          <t>Nie da się zamieszkać</t>
        </is>
      </c>
    </row>
    <row r="630">
      <c r="A630" t="n">
        <v>629</v>
      </c>
      <c r="B630" s="3" t="n">
        <v>45502</v>
      </c>
      <c r="D630" t="inlineStr">
        <is>
          <t>https://www.okolica.pl/offer/show/33885-S-BUSI765/formular</t>
        </is>
      </c>
      <c r="E630">
        <f>HYPERLINK("https://www.okolica.pl/offer/show/33885-S-BUSI765/formular", "https://www.okolica.pl/offer/show/33885-S-BUSI765/formular")</f>
        <v/>
      </c>
      <c r="F630" t="inlineStr">
        <is>
          <t>łowicka</t>
        </is>
      </c>
      <c r="G630" t="inlineStr">
        <is>
          <t>Górna</t>
        </is>
      </c>
      <c r="H630" t="inlineStr">
        <is>
          <t>Górna blisko centrum</t>
        </is>
      </c>
      <c r="I630" t="inlineStr">
        <is>
          <t>NIE</t>
        </is>
      </c>
      <c r="J630" t="inlineStr">
        <is>
          <t>TAK</t>
        </is>
      </c>
      <c r="K630" t="n">
        <v>883376134</v>
      </c>
      <c r="L630" t="n">
        <v>359000</v>
      </c>
      <c r="M630" t="n">
        <v>6970.873786407767</v>
      </c>
      <c r="N630" t="n">
        <v>51.5</v>
      </c>
      <c r="O630" t="inlineStr">
        <is>
          <t>2+k</t>
        </is>
      </c>
      <c r="P630" t="n">
        <v>4</v>
      </c>
      <c r="Q630" t="inlineStr">
        <is>
          <t>Nie da się zamieszkać</t>
        </is>
      </c>
    </row>
    <row r="631">
      <c r="A631" t="n">
        <v>630</v>
      </c>
      <c r="B631" s="3" t="n">
        <v>45502</v>
      </c>
      <c r="C631" s="3" t="n">
        <v>45510</v>
      </c>
      <c r="D631" t="inlineStr">
        <is>
          <t>https://www.otodom.pl/pl/oferta/mieszkanie-dwupokojowe-przy-parku-nad-jasieniem-ID4rjFw.html</t>
        </is>
      </c>
      <c r="E631">
        <f>HYPERLINK("https://www.otodom.pl/pl/oferta/mieszkanie-dwupokojowe-przy-parku-nad-jasieniem-ID4rjFw.html", "https://www.otodom.pl/pl/oferta/mieszkanie-dwupokojowe-przy-parku-nad-jasieniem-ID4rjFw.html")</f>
        <v/>
      </c>
      <c r="F631" t="inlineStr">
        <is>
          <t>park nad jasieniem</t>
        </is>
      </c>
      <c r="G631" t="inlineStr">
        <is>
          <t>Widzew</t>
        </is>
      </c>
      <c r="H631" t="inlineStr">
        <is>
          <t>Widzew blisko centrum</t>
        </is>
      </c>
      <c r="I631" t="inlineStr">
        <is>
          <t>TAK</t>
        </is>
      </c>
      <c r="J631" t="inlineStr">
        <is>
          <t>NIE</t>
        </is>
      </c>
      <c r="K631" t="n">
        <v>506287617</v>
      </c>
      <c r="L631" t="n">
        <v>430000</v>
      </c>
      <c r="M631" t="n">
        <v>7466.574057996179</v>
      </c>
      <c r="N631" t="n">
        <v>57.59</v>
      </c>
      <c r="O631" t="inlineStr">
        <is>
          <t>2+k</t>
        </is>
      </c>
      <c r="P631" t="n">
        <v>2</v>
      </c>
      <c r="Q631" t="inlineStr">
        <is>
          <t>Nie da się zamieszkać</t>
        </is>
      </c>
    </row>
    <row r="632">
      <c r="A632" t="n">
        <v>631</v>
      </c>
      <c r="B632" s="3" t="n">
        <v>45502</v>
      </c>
      <c r="D632" t="inlineStr">
        <is>
          <t>https://adresowo.pl/o/c4a1z0</t>
        </is>
      </c>
      <c r="E632">
        <f>HYPERLINK("https://adresowo.pl/o/c4a1z0", "https://adresowo.pl/o/c4a1z0")</f>
        <v/>
      </c>
      <c r="F632" t="inlineStr">
        <is>
          <t>karolew</t>
        </is>
      </c>
      <c r="G632" t="inlineStr">
        <is>
          <t>Polesie</t>
        </is>
      </c>
      <c r="H632" t="inlineStr">
        <is>
          <t>Polesie</t>
        </is>
      </c>
      <c r="I632" t="inlineStr">
        <is>
          <t>NIE</t>
        </is>
      </c>
      <c r="J632" t="inlineStr">
        <is>
          <t>TAK</t>
        </is>
      </c>
      <c r="L632" t="n">
        <v>269000</v>
      </c>
      <c r="M632" t="n">
        <v>7078.947368421052</v>
      </c>
      <c r="N632" t="n">
        <v>38</v>
      </c>
      <c r="O632" t="inlineStr">
        <is>
          <t>1+k</t>
        </is>
      </c>
      <c r="P632" t="inlineStr">
        <is>
          <t>4!</t>
        </is>
      </c>
      <c r="Q632" t="inlineStr">
        <is>
          <t>Nie da się zamieszkać</t>
        </is>
      </c>
      <c r="R632" t="inlineStr">
        <is>
          <t>podobno da się zrobić m3  było nieaktywne od 06.08 wrociło 13.09</t>
        </is>
      </c>
    </row>
    <row r="633">
      <c r="A633" t="n">
        <v>632</v>
      </c>
      <c r="B633" s="3" t="n">
        <v>45503</v>
      </c>
      <c r="C633" s="3" t="n">
        <v>45532</v>
      </c>
      <c r="D633" t="inlineStr">
        <is>
          <t>https://www.otodom.pl/pl/oferta/przestronne-m2-z-balkonem-10p-blisko-centrum-ID4rML6.html</t>
        </is>
      </c>
      <c r="E633">
        <f>HYPERLINK("https://www.otodom.pl/pl/oferta/przestronne-m2-z-balkonem-10p-blisko-centrum-ID4rML6.html", "https://www.otodom.pl/pl/oferta/przestronne-m2-z-balkonem-10p-blisko-centrum-ID4rML6.html")</f>
        <v/>
      </c>
      <c r="F633" t="inlineStr">
        <is>
          <t>łąkowa</t>
        </is>
      </c>
      <c r="G633" t="inlineStr">
        <is>
          <t>Polesie</t>
        </is>
      </c>
      <c r="H633" t="inlineStr">
        <is>
          <t>Polesie</t>
        </is>
      </c>
      <c r="I633" t="inlineStr">
        <is>
          <t>TAK</t>
        </is>
      </c>
      <c r="J633" t="inlineStr">
        <is>
          <t>TAK</t>
        </is>
      </c>
      <c r="K633" t="n">
        <v>505208905</v>
      </c>
      <c r="L633" t="n">
        <v>249000</v>
      </c>
      <c r="M633" t="n">
        <v>7652.120467117395</v>
      </c>
      <c r="N633" t="n">
        <v>32.54</v>
      </c>
      <c r="O633" t="inlineStr">
        <is>
          <t>1+k</t>
        </is>
      </c>
      <c r="P633" t="n">
        <v>10</v>
      </c>
      <c r="Q633" t="inlineStr">
        <is>
          <t>Nie da się zamieszkać</t>
        </is>
      </c>
    </row>
    <row r="634">
      <c r="A634" t="n">
        <v>633</v>
      </c>
      <c r="B634" s="3" t="n">
        <v>45503</v>
      </c>
      <c r="D634" t="inlineStr">
        <is>
          <t>https://www.olx.pl/d/oferta/mieszkanie-2-pokoje-45mkw-rozkladowe-traktorowa-wysoki-parter-CID3-ID11feW5.html</t>
        </is>
      </c>
      <c r="E634">
        <f>HYPERLINK("https://www.olx.pl/d/oferta/mieszkanie-2-pokoje-45mkw-rozkladowe-traktorowa-wysoki-parter-CID3-ID11feW5.html", "https://www.olx.pl/d/oferta/mieszkanie-2-pokoje-45mkw-rozkladowe-traktorowa-wysoki-parter-CID3-ID11feW5.html")</f>
        <v/>
      </c>
      <c r="F634" t="inlineStr">
        <is>
          <t>traktorowa</t>
        </is>
      </c>
      <c r="G634" t="inlineStr">
        <is>
          <t>Teofilów</t>
        </is>
      </c>
      <c r="H634" t="inlineStr">
        <is>
          <t>Teofilów</t>
        </is>
      </c>
      <c r="I634" t="inlineStr">
        <is>
          <t>NIE</t>
        </is>
      </c>
      <c r="J634" t="inlineStr">
        <is>
          <t>TAK</t>
        </is>
      </c>
      <c r="K634" t="n">
        <v>690142201</v>
      </c>
      <c r="L634" t="n">
        <v>289000</v>
      </c>
      <c r="M634" t="n">
        <v>6422.222222222223</v>
      </c>
      <c r="N634" t="n">
        <v>45</v>
      </c>
      <c r="O634" t="inlineStr">
        <is>
          <t>2+k</t>
        </is>
      </c>
      <c r="P634" t="n">
        <v>0</v>
      </c>
      <c r="Q634" t="inlineStr">
        <is>
          <t>Nie da się zamieszkać</t>
        </is>
      </c>
      <c r="R634" t="inlineStr">
        <is>
          <t>to nie dubel 13.09 było 298k</t>
        </is>
      </c>
      <c r="T634" t="inlineStr">
        <is>
          <t>581</t>
        </is>
      </c>
    </row>
    <row r="635">
      <c r="A635" t="n">
        <v>634</v>
      </c>
      <c r="B635" s="3" t="n">
        <v>45503</v>
      </c>
      <c r="D635" t="inlineStr">
        <is>
          <t>https://nieruchomosci.gratka.pl/nieruchomosci/mieszkanie-lodz-gorna-leczycka/ob/35343475</t>
        </is>
      </c>
      <c r="E635">
        <f>HYPERLINK("https://nieruchomosci.gratka.pl/nieruchomosci/mieszkanie-lodz-gorna-leczycka/ob/35343475", "https://nieruchomosci.gratka.pl/nieruchomosci/mieszkanie-lodz-gorna-leczycka/ob/35343475")</f>
        <v/>
      </c>
      <c r="F635" t="inlineStr">
        <is>
          <t>łeczycka</t>
        </is>
      </c>
      <c r="G635" t="inlineStr">
        <is>
          <t>Górna</t>
        </is>
      </c>
      <c r="H635" t="inlineStr">
        <is>
          <t>Górna</t>
        </is>
      </c>
      <c r="I635" t="inlineStr">
        <is>
          <t>NIE</t>
        </is>
      </c>
      <c r="J635" t="inlineStr">
        <is>
          <t>TAK</t>
        </is>
      </c>
      <c r="K635" t="n">
        <v>530195255</v>
      </c>
      <c r="L635" t="n">
        <v>330000</v>
      </c>
      <c r="M635" t="n">
        <v>7021.276595744681</v>
      </c>
      <c r="N635" t="n">
        <v>47</v>
      </c>
      <c r="O635" t="inlineStr">
        <is>
          <t>2+k</t>
        </is>
      </c>
      <c r="P635" t="n">
        <v>3</v>
      </c>
      <c r="Q635" t="inlineStr">
        <is>
          <t>Nie da się zamieszkać</t>
        </is>
      </c>
    </row>
    <row r="636">
      <c r="A636" t="n">
        <v>635</v>
      </c>
      <c r="B636" s="3" t="n">
        <v>45503</v>
      </c>
      <c r="C636" s="3" t="n">
        <v>45511</v>
      </c>
      <c r="D636" t="inlineStr">
        <is>
          <t>https://www.otodom.pl/pl/oferta/sprzedam-m2-dwupokojowe-lodz-ID4rNgy</t>
        </is>
      </c>
      <c r="E636">
        <f>HYPERLINK("https://www.otodom.pl/pl/oferta/sprzedam-m2-dwupokojowe-lodz-ID4rNgy", "https://www.otodom.pl/pl/oferta/sprzedam-m2-dwupokojowe-lodz-ID4rNgy")</f>
        <v/>
      </c>
      <c r="F636" t="inlineStr">
        <is>
          <t>narciarska</t>
        </is>
      </c>
      <c r="G636" t="inlineStr">
        <is>
          <t>Retkinia</t>
        </is>
      </c>
      <c r="H636" t="inlineStr">
        <is>
          <t>Retkinia blisko centrum</t>
        </is>
      </c>
      <c r="I636" t="inlineStr">
        <is>
          <t>TAK</t>
        </is>
      </c>
      <c r="J636" t="inlineStr">
        <is>
          <t>TAK</t>
        </is>
      </c>
      <c r="K636" t="n">
        <v>660861711</v>
      </c>
      <c r="L636" t="n">
        <v>300000</v>
      </c>
      <c r="M636" t="n">
        <v>6979.990693345742</v>
      </c>
      <c r="N636" t="n">
        <v>42.98</v>
      </c>
      <c r="O636" t="inlineStr">
        <is>
          <t>2+k</t>
        </is>
      </c>
      <c r="P636" t="n">
        <v>6</v>
      </c>
      <c r="Q636" t="inlineStr">
        <is>
          <t>Puste posprzątane</t>
        </is>
      </c>
      <c r="R636" t="inlineStr">
        <is>
          <t xml:space="preserve">07.08 telefon- nieaktualne </t>
        </is>
      </c>
    </row>
    <row r="637">
      <c r="A637" t="n">
        <v>636</v>
      </c>
      <c r="B637" s="3" t="n">
        <v>45503</v>
      </c>
      <c r="C637" s="3" t="n">
        <v>45510</v>
      </c>
      <c r="D637" t="inlineStr">
        <is>
          <t>https://www.olx.pl/d/oferta/sprzedam-m3-42-42m2-11go-listopada-bezposrednio-CID3-ID11fjPS.html?isPreviewActive=0&amp;sliderIndex=0</t>
        </is>
      </c>
      <c r="E637">
        <f>HYPERLINK("https://www.olx.pl/d/oferta/sprzedam-m3-42-42m2-11go-listopada-bezposrednio-CID3-ID11fjPS.html?isPreviewActive=0&amp;sliderIndex=0", "https://www.olx.pl/d/oferta/sprzedam-m3-42-42m2-11go-listopada-bezposrednio-CID3-ID11fjPS.html?isPreviewActive=0&amp;sliderIndex=0")</f>
        <v/>
      </c>
      <c r="F637" t="inlineStr">
        <is>
          <t>11 listopada</t>
        </is>
      </c>
      <c r="G637" t="inlineStr">
        <is>
          <t>Bałuty</t>
        </is>
      </c>
      <c r="H637" t="inlineStr">
        <is>
          <t>Dalekie bałuty</t>
        </is>
      </c>
      <c r="I637" t="inlineStr">
        <is>
          <t>TAK</t>
        </is>
      </c>
      <c r="J637" t="inlineStr">
        <is>
          <t>NIE</t>
        </is>
      </c>
      <c r="K637" t="n">
        <v>605347436</v>
      </c>
      <c r="L637" t="n">
        <v>300000</v>
      </c>
      <c r="M637" t="n">
        <v>7142.857142857143</v>
      </c>
      <c r="N637" t="n">
        <v>42</v>
      </c>
      <c r="O637" t="inlineStr">
        <is>
          <t>2+k</t>
        </is>
      </c>
      <c r="P637" t="n">
        <v>4</v>
      </c>
      <c r="Q637" t="inlineStr">
        <is>
          <t>Puste</t>
        </is>
      </c>
    </row>
    <row r="638">
      <c r="A638" t="n">
        <v>637</v>
      </c>
      <c r="B638" s="3" t="n">
        <v>45503</v>
      </c>
      <c r="D638" t="inlineStr">
        <is>
          <t>https://www.otodom.pl/pl/oferta/ul-rajdowa-5-3-pokoje-55-mkw-ID4rNIZ.html</t>
        </is>
      </c>
      <c r="E638">
        <f>HYPERLINK("https://www.otodom.pl/pl/oferta/ul-rajdowa-5-3-pokoje-55-mkw-ID4rNIZ.html", "https://www.otodom.pl/pl/oferta/ul-rajdowa-5-3-pokoje-55-mkw-ID4rNIZ.html")</f>
        <v/>
      </c>
      <c r="F638" t="inlineStr">
        <is>
          <t>rajdowa</t>
        </is>
      </c>
      <c r="G638" t="inlineStr">
        <is>
          <t>Retkinia</t>
        </is>
      </c>
      <c r="H638" t="inlineStr">
        <is>
          <t>Retkinia blisko centrum</t>
        </is>
      </c>
      <c r="I638" t="inlineStr">
        <is>
          <t>NIE</t>
        </is>
      </c>
      <c r="J638" t="inlineStr">
        <is>
          <t>TAK</t>
        </is>
      </c>
      <c r="K638" t="n">
        <v>732850888</v>
      </c>
      <c r="L638" t="n">
        <v>389000</v>
      </c>
      <c r="M638" t="n">
        <v>7480.76923076923</v>
      </c>
      <c r="N638" t="n">
        <v>52</v>
      </c>
      <c r="O638" t="inlineStr">
        <is>
          <t>2+k</t>
        </is>
      </c>
      <c r="P638" t="n">
        <v>1</v>
      </c>
      <c r="Q638" t="inlineStr">
        <is>
          <t>Puste posprzątane</t>
        </is>
      </c>
    </row>
    <row r="639">
      <c r="A639" t="n">
        <v>638</v>
      </c>
      <c r="B639" s="3" t="n">
        <v>45503</v>
      </c>
      <c r="D639" t="inlineStr">
        <is>
          <t>https://www.otodom.pl/pl/oferta/m3-przy-parku-podolskim-lodz-ul-tatrzanska-ID4rNHC.html</t>
        </is>
      </c>
      <c r="E639">
        <f>HYPERLINK("https://www.otodom.pl/pl/oferta/m3-przy-parku-podolskim-lodz-ul-tatrzanska-ID4rNHC.html", "https://www.otodom.pl/pl/oferta/m3-przy-parku-podolskim-lodz-ul-tatrzanska-ID4rNHC.html")</f>
        <v/>
      </c>
      <c r="F639" t="inlineStr">
        <is>
          <t>tatrzańska</t>
        </is>
      </c>
      <c r="G639" t="inlineStr">
        <is>
          <t>Dąbrowa</t>
        </is>
      </c>
      <c r="H639" t="inlineStr">
        <is>
          <t>Dąbrowa</t>
        </is>
      </c>
      <c r="I639" t="inlineStr">
        <is>
          <t>NIE</t>
        </is>
      </c>
      <c r="J639" t="inlineStr">
        <is>
          <t>TAK</t>
        </is>
      </c>
      <c r="K639" t="n">
        <v>536466663</v>
      </c>
      <c r="L639" t="n">
        <v>280000</v>
      </c>
      <c r="M639" t="n">
        <v>6204.298692665632</v>
      </c>
      <c r="N639" t="n">
        <v>45.13</v>
      </c>
      <c r="O639" t="inlineStr">
        <is>
          <t>2+k</t>
        </is>
      </c>
      <c r="P639" t="n">
        <v>4</v>
      </c>
      <c r="Q639" t="inlineStr">
        <is>
          <t>Nie da się zamieszkać</t>
        </is>
      </c>
      <c r="T639" t="inlineStr">
        <is>
          <t>258</t>
        </is>
      </c>
    </row>
    <row r="640">
      <c r="A640" t="n">
        <v>639</v>
      </c>
      <c r="B640" s="3" t="n">
        <v>45503</v>
      </c>
      <c r="C640" s="3" t="n">
        <v>45510</v>
      </c>
      <c r="D640" t="inlineStr">
        <is>
          <t>https://www.olx.pl/d/oferta/mieszkanie-m4-retkinia-CID3-ID11fzlU.html?isPreviewActive=0&amp;sliderIndex=7</t>
        </is>
      </c>
      <c r="E640">
        <f>HYPERLINK("https://www.olx.pl/d/oferta/mieszkanie-m4-retkinia-CID3-ID11fzlU.html?isPreviewActive=0&amp;sliderIndex=7", "https://www.olx.pl/d/oferta/mieszkanie-m4-retkinia-CID3-ID11fzlU.html?isPreviewActive=0&amp;sliderIndex=7")</f>
        <v/>
      </c>
      <c r="F640" t="inlineStr">
        <is>
          <t xml:space="preserve">armi krajowej </t>
        </is>
      </c>
      <c r="G640" t="inlineStr">
        <is>
          <t>Retkinia</t>
        </is>
      </c>
      <c r="H640" t="inlineStr">
        <is>
          <t>Retkinia</t>
        </is>
      </c>
      <c r="I640" t="inlineStr">
        <is>
          <t>TAK</t>
        </is>
      </c>
      <c r="J640" t="inlineStr">
        <is>
          <t>NIE</t>
        </is>
      </c>
      <c r="K640" t="n">
        <v>790566058</v>
      </c>
      <c r="L640" t="n">
        <v>410000</v>
      </c>
      <c r="M640" t="n">
        <v>7592.592592592592</v>
      </c>
      <c r="N640" t="n">
        <v>54</v>
      </c>
      <c r="O640" t="inlineStr">
        <is>
          <t>3+k</t>
        </is>
      </c>
      <c r="P640" t="n">
        <v>9</v>
      </c>
      <c r="Q640" t="inlineStr">
        <is>
          <t>Nie da się zamieszkać</t>
        </is>
      </c>
    </row>
    <row r="641">
      <c r="A641" t="n">
        <v>640</v>
      </c>
      <c r="B641" s="3" t="n">
        <v>45504</v>
      </c>
      <c r="C641" s="3" t="n">
        <v>45510</v>
      </c>
      <c r="D641" t="inlineStr">
        <is>
          <t>https://www.olx.pl/d/oferta/2-pokoje-os-mireckiego-CID3-ID11fNzJ.html</t>
        </is>
      </c>
      <c r="E641">
        <f>HYPERLINK("https://www.olx.pl/d/oferta/2-pokoje-os-mireckiego-CID3-ID11fNzJ.html", "https://www.olx.pl/d/oferta/2-pokoje-os-mireckiego-CID3-ID11fNzJ.html")</f>
        <v/>
      </c>
      <c r="F641" t="inlineStr">
        <is>
          <t>mireckiego</t>
        </is>
      </c>
      <c r="G641" t="inlineStr">
        <is>
          <t>Polesie</t>
        </is>
      </c>
      <c r="H641" t="inlineStr">
        <is>
          <t>Polesie</t>
        </is>
      </c>
      <c r="I641" t="inlineStr">
        <is>
          <t>TAK</t>
        </is>
      </c>
      <c r="J641" t="inlineStr">
        <is>
          <t>TAK</t>
        </is>
      </c>
      <c r="K641" t="n">
        <v>500844148</v>
      </c>
      <c r="L641" t="n">
        <v>250000</v>
      </c>
      <c r="M641" t="n">
        <v>7521.058965102286</v>
      </c>
      <c r="N641" t="n">
        <v>33.24</v>
      </c>
      <c r="O641" t="inlineStr">
        <is>
          <t>2+k</t>
        </is>
      </c>
      <c r="P641" t="n">
        <v>2</v>
      </c>
      <c r="Q641" t="inlineStr">
        <is>
          <t>Nie da się zamieszkać</t>
        </is>
      </c>
    </row>
    <row r="642">
      <c r="A642" t="n">
        <v>641</v>
      </c>
      <c r="B642" s="3" t="n">
        <v>45504</v>
      </c>
      <c r="C642" s="3" t="n">
        <v>45522</v>
      </c>
      <c r="D642" t="inlineStr">
        <is>
          <t>https://www.olx.pl/d/oferta/lodz-extra-oferta-CID3-ID112sE0.html</t>
        </is>
      </c>
      <c r="E642">
        <f>HYPERLINK("https://www.olx.pl/d/oferta/lodz-extra-oferta-CID3-ID112sE0.html", "https://www.olx.pl/d/oferta/lodz-extra-oferta-CID3-ID112sE0.html")</f>
        <v/>
      </c>
      <c r="F642" t="inlineStr">
        <is>
          <t>judyma</t>
        </is>
      </c>
      <c r="G642" t="inlineStr">
        <is>
          <t>Teofilów</t>
        </is>
      </c>
      <c r="H642" t="inlineStr">
        <is>
          <t>Daleki Teofilów</t>
        </is>
      </c>
      <c r="I642" t="inlineStr">
        <is>
          <t>TAK</t>
        </is>
      </c>
      <c r="J642" t="inlineStr">
        <is>
          <t>TAK</t>
        </is>
      </c>
      <c r="K642" t="n">
        <v>533530600</v>
      </c>
      <c r="L642" t="n">
        <v>339000</v>
      </c>
      <c r="M642" t="n">
        <v>7566.964285714286</v>
      </c>
      <c r="N642" t="n">
        <v>44.8</v>
      </c>
      <c r="O642" t="inlineStr">
        <is>
          <t>2+k</t>
        </is>
      </c>
      <c r="P642" t="n">
        <v>2</v>
      </c>
      <c r="Q642" t="inlineStr">
        <is>
          <t>Da się zamieszkać</t>
        </is>
      </c>
    </row>
    <row r="643">
      <c r="A643" t="n">
        <v>642</v>
      </c>
      <c r="B643" s="3" t="n">
        <v>45504</v>
      </c>
      <c r="C643" s="3" t="n">
        <v>45506</v>
      </c>
      <c r="D643" t="inlineStr">
        <is>
          <t>https://www.otodom.pl/pl/oferta/2-pokojowe-mieszkanie-i-36m2-i-polesie-i-ID4rO7H.html</t>
        </is>
      </c>
      <c r="E643">
        <f>HYPERLINK("https://www.otodom.pl/pl/oferta/2-pokojowe-mieszkanie-i-36m2-i-polesie-i-ID4rO7H.html", "https://www.otodom.pl/pl/oferta/2-pokojowe-mieszkanie-i-36m2-i-polesie-i-ID4rO7H.html")</f>
        <v/>
      </c>
      <c r="F643" t="inlineStr">
        <is>
          <t>karolew</t>
        </is>
      </c>
      <c r="G643" t="inlineStr">
        <is>
          <t>Polesie</t>
        </is>
      </c>
      <c r="H643" t="inlineStr">
        <is>
          <t>Polesie</t>
        </is>
      </c>
      <c r="I643" t="inlineStr">
        <is>
          <t>TAK</t>
        </is>
      </c>
      <c r="J643" t="inlineStr">
        <is>
          <t>TAK</t>
        </is>
      </c>
      <c r="K643" t="n">
        <v>604281702</v>
      </c>
      <c r="L643" t="n">
        <v>265000</v>
      </c>
      <c r="M643" t="n">
        <v>7260.273972602739</v>
      </c>
      <c r="N643" t="n">
        <v>36.5</v>
      </c>
      <c r="O643" t="inlineStr">
        <is>
          <t>2+k</t>
        </is>
      </c>
      <c r="P643" t="n">
        <v>0</v>
      </c>
      <c r="Q643" t="inlineStr">
        <is>
          <t>Nie da się zamieszkać</t>
        </is>
      </c>
    </row>
    <row r="644">
      <c r="A644" t="n">
        <v>643</v>
      </c>
      <c r="B644" s="3" t="n">
        <v>45504</v>
      </c>
      <c r="C644" s="3" t="n">
        <v>45510</v>
      </c>
      <c r="D644" t="inlineStr">
        <is>
          <t>https://nieruchomosci.gratka.pl/nieruchomosci/mieszkanie-lodz-widzew/ob/35353661</t>
        </is>
      </c>
      <c r="E644">
        <f>HYPERLINK("https://nieruchomosci.gratka.pl/nieruchomosci/mieszkanie-lodz-widzew/ob/35353661", "https://nieruchomosci.gratka.pl/nieruchomosci/mieszkanie-lodz-widzew/ob/35353661")</f>
        <v/>
      </c>
      <c r="F644" t="inlineStr">
        <is>
          <t>granitowa</t>
        </is>
      </c>
      <c r="G644" t="inlineStr">
        <is>
          <t>Górna</t>
        </is>
      </c>
      <c r="H644" t="inlineStr">
        <is>
          <t>Górna</t>
        </is>
      </c>
      <c r="I644" t="inlineStr">
        <is>
          <t>TAK</t>
        </is>
      </c>
      <c r="J644" t="inlineStr">
        <is>
          <t>TAK</t>
        </is>
      </c>
      <c r="K644" t="n">
        <v>537163259</v>
      </c>
      <c r="L644" t="n">
        <v>395000</v>
      </c>
      <c r="M644" t="n">
        <v>7719.366816494039</v>
      </c>
      <c r="N644" t="n">
        <v>51.17</v>
      </c>
      <c r="O644" t="inlineStr">
        <is>
          <t>2+k</t>
        </is>
      </c>
      <c r="P644" t="n">
        <v>2</v>
      </c>
      <c r="Q644" t="inlineStr">
        <is>
          <t>Nie da się zamieszkać</t>
        </is>
      </c>
    </row>
    <row r="645">
      <c r="A645" t="n">
        <v>644</v>
      </c>
      <c r="B645" s="3" t="n">
        <v>45504</v>
      </c>
      <c r="C645" s="3" t="n">
        <v>45510</v>
      </c>
      <c r="D645" t="inlineStr">
        <is>
          <t>https://www.olx.pl/d/oferta/m-3-retkinia-polnoc-CID3-ID10nCxn.html?isPreviewActive=0&amp;sliderIndex=11</t>
        </is>
      </c>
      <c r="E645">
        <f>HYPERLINK("https://www.olx.pl/d/oferta/m-3-retkinia-polnoc-CID3-ID10nCxn.html?isPreviewActive=0&amp;sliderIndex=11", "https://www.olx.pl/d/oferta/m-3-retkinia-polnoc-CID3-ID10nCxn.html?isPreviewActive=0&amp;sliderIndex=11")</f>
        <v/>
      </c>
      <c r="F645" t="inlineStr">
        <is>
          <t xml:space="preserve">armi krajowej </t>
        </is>
      </c>
      <c r="G645" t="inlineStr">
        <is>
          <t>Retkinia</t>
        </is>
      </c>
      <c r="H645" t="inlineStr">
        <is>
          <t>Retkinia</t>
        </is>
      </c>
      <c r="I645" t="inlineStr">
        <is>
          <t>TAK</t>
        </is>
      </c>
      <c r="J645" t="inlineStr">
        <is>
          <t>TAK</t>
        </is>
      </c>
      <c r="K645" t="n">
        <v>883120230</v>
      </c>
      <c r="L645" t="n">
        <v>319000</v>
      </c>
      <c r="M645" t="n">
        <v>7520.03771805752</v>
      </c>
      <c r="N645" t="n">
        <v>42.42</v>
      </c>
      <c r="O645" t="inlineStr">
        <is>
          <t>2+k</t>
        </is>
      </c>
      <c r="P645" t="n">
        <v>0</v>
      </c>
      <c r="Q645" t="inlineStr">
        <is>
          <t>Nie da się zamieszkać</t>
        </is>
      </c>
    </row>
    <row r="646">
      <c r="A646" t="n">
        <v>645</v>
      </c>
      <c r="B646" s="3" t="n">
        <v>45504</v>
      </c>
      <c r="C646" s="3" t="n">
        <v>45548</v>
      </c>
      <c r="D646" t="inlineStr">
        <is>
          <t>https://nieruchomosci.gratka.pl/nieruchomosci/mieszkanie-lodz-baluty/ob/35378979</t>
        </is>
      </c>
      <c r="E646">
        <f>HYPERLINK("https://nieruchomosci.gratka.pl/nieruchomosci/mieszkanie-lodz-baluty/ob/35378979", "https://nieruchomosci.gratka.pl/nieruchomosci/mieszkanie-lodz-baluty/ob/35378979")</f>
        <v/>
      </c>
      <c r="F646" t="inlineStr">
        <is>
          <t>pasjonistów</t>
        </is>
      </c>
      <c r="G646" t="inlineStr">
        <is>
          <t>Teofilów</t>
        </is>
      </c>
      <c r="H646" t="inlineStr">
        <is>
          <t>Teofilów</t>
        </is>
      </c>
      <c r="I646" t="inlineStr">
        <is>
          <t>TAK</t>
        </is>
      </c>
      <c r="J646" t="inlineStr">
        <is>
          <t>TAK</t>
        </is>
      </c>
      <c r="K646" t="n">
        <v>578007757</v>
      </c>
      <c r="L646" t="n">
        <v>365000</v>
      </c>
      <c r="M646" t="n">
        <v>6943.123454441697</v>
      </c>
      <c r="N646" t="n">
        <v>52.57</v>
      </c>
      <c r="O646" t="inlineStr">
        <is>
          <t>3+k</t>
        </is>
      </c>
      <c r="P646" t="n">
        <v>0</v>
      </c>
      <c r="Q646" t="inlineStr">
        <is>
          <t>Puste posprzątane</t>
        </is>
      </c>
    </row>
    <row r="647">
      <c r="A647" t="n">
        <v>646</v>
      </c>
      <c r="B647" s="3" t="n">
        <v>45505</v>
      </c>
      <c r="C647" s="3" t="n">
        <v>45522</v>
      </c>
      <c r="D647" t="inlineStr">
        <is>
          <t>https://www.domiporta.pl/nieruchomosci/sprzedam-mieszkanie-dwupokojowe-lodz-baluty-rojna-37m2/155290322</t>
        </is>
      </c>
      <c r="E647">
        <f>HYPERLINK("https://www.domiporta.pl/nieruchomosci/sprzedam-mieszkanie-dwupokojowe-lodz-baluty-rojna-37m2/155290322", "https://www.domiporta.pl/nieruchomosci/sprzedam-mieszkanie-dwupokojowe-lodz-baluty-rojna-37m2/155290322")</f>
        <v/>
      </c>
      <c r="F647" t="inlineStr">
        <is>
          <t>rojna</t>
        </is>
      </c>
      <c r="G647" t="inlineStr">
        <is>
          <t>Teofilów</t>
        </is>
      </c>
      <c r="H647" t="inlineStr">
        <is>
          <t>Teofilów</t>
        </is>
      </c>
      <c r="I647" t="inlineStr">
        <is>
          <t>TAK</t>
        </is>
      </c>
      <c r="J647" t="inlineStr">
        <is>
          <t>TAK</t>
        </is>
      </c>
      <c r="K647" t="n">
        <v>534039663</v>
      </c>
      <c r="L647" t="n">
        <v>265000</v>
      </c>
      <c r="M647" t="n">
        <v>7085.561497326204</v>
      </c>
      <c r="N647" t="n">
        <v>37.4</v>
      </c>
      <c r="O647" t="inlineStr">
        <is>
          <t>2+k</t>
        </is>
      </c>
      <c r="P647" t="n">
        <v>3</v>
      </c>
      <c r="Q647" t="inlineStr">
        <is>
          <t>Nie da się zamieszkać</t>
        </is>
      </c>
    </row>
    <row r="648">
      <c r="A648" t="n">
        <v>647</v>
      </c>
      <c r="B648" s="3" t="n">
        <v>45505</v>
      </c>
      <c r="C648" s="3" t="n">
        <v>45510</v>
      </c>
      <c r="D648" t="inlineStr">
        <is>
          <t>https://nieruchomosci.gratka.pl/nieruchomosci/mieszkanie-lodz-baluty-traktorowa/ob/35412553</t>
        </is>
      </c>
      <c r="E648">
        <f>HYPERLINK("https://nieruchomosci.gratka.pl/nieruchomosci/mieszkanie-lodz-baluty-traktorowa/ob/35412553", "https://nieruchomosci.gratka.pl/nieruchomosci/mieszkanie-lodz-baluty-traktorowa/ob/35412553")</f>
        <v/>
      </c>
      <c r="F648" t="inlineStr">
        <is>
          <t>traktorowa</t>
        </is>
      </c>
      <c r="G648" t="inlineStr">
        <is>
          <t>Teofilów</t>
        </is>
      </c>
      <c r="H648" t="inlineStr">
        <is>
          <t>Teofilów</t>
        </is>
      </c>
      <c r="I648" t="inlineStr">
        <is>
          <t>TAK</t>
        </is>
      </c>
      <c r="J648" t="inlineStr">
        <is>
          <t>TAK</t>
        </is>
      </c>
      <c r="K648" t="n">
        <v>726228239</v>
      </c>
      <c r="L648" t="n">
        <v>219000</v>
      </c>
      <c r="M648" t="n">
        <v>8111.111111111111</v>
      </c>
      <c r="N648" t="n">
        <v>27</v>
      </c>
      <c r="O648" t="inlineStr">
        <is>
          <t>1+k</t>
        </is>
      </c>
      <c r="P648" t="n">
        <v>1</v>
      </c>
      <c r="Q648" t="inlineStr">
        <is>
          <t>Nie da się zamieszkać</t>
        </is>
      </c>
    </row>
    <row r="649">
      <c r="A649" t="n">
        <v>648</v>
      </c>
      <c r="B649" s="3" t="n">
        <v>45505</v>
      </c>
      <c r="D649" t="inlineStr">
        <is>
          <t>https://www.otodom.pl/pl/oferta/3-pokojowe-mieszkanie-przy-parku-podolskim-ID4rP6h.html</t>
        </is>
      </c>
      <c r="E649">
        <f>HYPERLINK("https://www.otodom.pl/pl/oferta/3-pokojowe-mieszkanie-przy-parku-podolskim-ID4rP6h.html", "https://www.otodom.pl/pl/oferta/3-pokojowe-mieszkanie-przy-parku-podolskim-ID4rP6h.html")</f>
        <v/>
      </c>
      <c r="F649" t="inlineStr">
        <is>
          <t>park podolskiego</t>
        </is>
      </c>
      <c r="G649" t="inlineStr">
        <is>
          <t>Dąbrowa</t>
        </is>
      </c>
      <c r="H649" t="inlineStr">
        <is>
          <t>Dąbrowa</t>
        </is>
      </c>
      <c r="I649" t="inlineStr">
        <is>
          <t>NIE</t>
        </is>
      </c>
      <c r="J649" t="inlineStr">
        <is>
          <t>TAK</t>
        </is>
      </c>
      <c r="K649" t="n">
        <v>695738465</v>
      </c>
      <c r="L649" t="n">
        <v>329000</v>
      </c>
      <c r="M649" t="n">
        <v>6970.338983050847</v>
      </c>
      <c r="N649" t="n">
        <v>47.2</v>
      </c>
      <c r="O649" t="inlineStr">
        <is>
          <t>3+k</t>
        </is>
      </c>
      <c r="P649" t="n">
        <v>3</v>
      </c>
      <c r="Q649" t="inlineStr">
        <is>
          <t>Nie da się zamieszkać</t>
        </is>
      </c>
    </row>
    <row r="650">
      <c r="A650" t="n">
        <v>649</v>
      </c>
      <c r="B650" s="3" t="n">
        <v>45505</v>
      </c>
      <c r="D650" t="inlineStr">
        <is>
          <t>https://www.otodom.pl/pl/oferta/super-rozkladowe-m4-z-duzym-balkonem-ID4rP97</t>
        </is>
      </c>
      <c r="E650">
        <f>HYPERLINK("https://www.otodom.pl/pl/oferta/super-rozkladowe-m4-z-duzym-balkonem-ID4rP97", "https://www.otodom.pl/pl/oferta/super-rozkladowe-m4-z-duzym-balkonem-ID4rP97")</f>
        <v/>
      </c>
      <c r="F650" t="inlineStr">
        <is>
          <t>.</t>
        </is>
      </c>
      <c r="G650" t="inlineStr">
        <is>
          <t>Retkinia</t>
        </is>
      </c>
      <c r="H650" t="inlineStr">
        <is>
          <t>Retkinia</t>
        </is>
      </c>
      <c r="I650" t="inlineStr">
        <is>
          <t>NIE</t>
        </is>
      </c>
      <c r="J650" t="inlineStr">
        <is>
          <t>TAK</t>
        </is>
      </c>
      <c r="K650" t="n">
        <v>500068999</v>
      </c>
      <c r="L650" t="n">
        <v>420000</v>
      </c>
      <c r="M650" t="n">
        <v>7956.052282629286</v>
      </c>
      <c r="N650" t="n">
        <v>52.79</v>
      </c>
      <c r="O650" t="inlineStr">
        <is>
          <t>3+k</t>
        </is>
      </c>
      <c r="P650" t="n">
        <v>2</v>
      </c>
      <c r="Q650" t="inlineStr">
        <is>
          <t>Nie da się zamieszkać</t>
        </is>
      </c>
    </row>
    <row r="651">
      <c r="A651" t="n">
        <v>650</v>
      </c>
      <c r="B651" s="3" t="n">
        <v>45505</v>
      </c>
      <c r="C651" s="3" t="n">
        <v>45522</v>
      </c>
      <c r="D651" t="inlineStr">
        <is>
          <t>https://www.olx.pl/d/oferta/m2-retkinia-230-tys-CID3-ID10QEnG.html</t>
        </is>
      </c>
      <c r="E651">
        <f>HYPERLINK("https://www.olx.pl/d/oferta/m2-retkinia-230-tys-CID3-ID10QEnG.html", "https://www.olx.pl/d/oferta/m2-retkinia-230-tys-CID3-ID10QEnG.html")</f>
        <v/>
      </c>
      <c r="F651" t="inlineStr">
        <is>
          <t>przełajowa</t>
        </is>
      </c>
      <c r="G651" t="inlineStr">
        <is>
          <t>Retkinia</t>
        </is>
      </c>
      <c r="H651" t="inlineStr">
        <is>
          <t>Retkinia</t>
        </is>
      </c>
      <c r="I651" t="inlineStr">
        <is>
          <t>TAK</t>
        </is>
      </c>
      <c r="J651" t="inlineStr">
        <is>
          <t>NIE</t>
        </is>
      </c>
      <c r="K651" t="n">
        <v>607137367</v>
      </c>
      <c r="L651" t="n">
        <v>230000</v>
      </c>
      <c r="M651" t="n">
        <v>7419.354838709677</v>
      </c>
      <c r="N651" t="n">
        <v>31</v>
      </c>
      <c r="O651" t="inlineStr">
        <is>
          <t>1+k</t>
        </is>
      </c>
      <c r="P651" t="n">
        <v>3</v>
      </c>
      <c r="Q651" t="inlineStr">
        <is>
          <t>Nie da się zamieszkać</t>
        </is>
      </c>
    </row>
    <row r="652">
      <c r="A652" t="n">
        <v>651</v>
      </c>
      <c r="B652" s="3" t="n">
        <v>45505</v>
      </c>
      <c r="C652" s="3" t="n">
        <v>45522</v>
      </c>
      <c r="D652" t="inlineStr">
        <is>
          <t>https://www.otodom.pl/pl/oferta/okazja-2-balkony-m4-ul-rajska-baluty-cegla-ID4rPhv.html</t>
        </is>
      </c>
      <c r="E652">
        <f>HYPERLINK("https://www.otodom.pl/pl/oferta/okazja-2-balkony-m4-ul-rajska-baluty-cegla-ID4rPhv.html", "https://www.otodom.pl/pl/oferta/okazja-2-balkony-m4-ul-rajska-baluty-cegla-ID4rPhv.html")</f>
        <v/>
      </c>
      <c r="F652" t="inlineStr">
        <is>
          <t>rajska</t>
        </is>
      </c>
      <c r="G652" t="inlineStr">
        <is>
          <t>Bałuty</t>
        </is>
      </c>
      <c r="H652" t="inlineStr">
        <is>
          <t>Bałuty</t>
        </is>
      </c>
      <c r="I652" t="inlineStr">
        <is>
          <t>TAK</t>
        </is>
      </c>
      <c r="J652" t="inlineStr">
        <is>
          <t>TAK</t>
        </is>
      </c>
      <c r="K652" t="n">
        <v>730965608</v>
      </c>
      <c r="L652" t="n">
        <v>385000</v>
      </c>
      <c r="M652" t="n">
        <v>6637.931034482759</v>
      </c>
      <c r="N652" t="n">
        <v>58</v>
      </c>
      <c r="O652" t="inlineStr">
        <is>
          <t>3+k</t>
        </is>
      </c>
      <c r="P652" t="n">
        <v>0</v>
      </c>
      <c r="Q652" t="inlineStr">
        <is>
          <t>Nie da się zamieszkać</t>
        </is>
      </c>
    </row>
    <row r="653">
      <c r="A653" t="n">
        <v>652</v>
      </c>
      <c r="B653" s="3" t="n">
        <v>45506</v>
      </c>
      <c r="D653" t="inlineStr">
        <is>
          <t>https://www.otodom.pl/pl/oferta/rozkladowe-m3-na-teofilowie-ID4qUUU.html</t>
        </is>
      </c>
      <c r="E653">
        <f>HYPERLINK("https://www.otodom.pl/pl/oferta/rozkladowe-m3-na-teofilowie-ID4qUUU.html", "https://www.otodom.pl/pl/oferta/rozkladowe-m3-na-teofilowie-ID4qUUU.html")</f>
        <v/>
      </c>
      <c r="F653" t="inlineStr">
        <is>
          <t>.</t>
        </is>
      </c>
      <c r="G653" t="inlineStr">
        <is>
          <t>Teofilów</t>
        </is>
      </c>
      <c r="H653" t="inlineStr">
        <is>
          <t>Teofilów</t>
        </is>
      </c>
      <c r="I653" t="inlineStr">
        <is>
          <t>NIE</t>
        </is>
      </c>
      <c r="J653" t="inlineStr">
        <is>
          <t>TAK</t>
        </is>
      </c>
      <c r="K653" t="n">
        <v>510266546</v>
      </c>
      <c r="L653" t="n">
        <v>295000</v>
      </c>
      <c r="M653" t="n">
        <v>6536.671836915577</v>
      </c>
      <c r="N653" t="n">
        <v>45.13</v>
      </c>
      <c r="O653" t="inlineStr">
        <is>
          <t>2+k</t>
        </is>
      </c>
      <c r="P653" t="n">
        <v>3</v>
      </c>
      <c r="Q653" t="inlineStr">
        <is>
          <t>Nie da się zamieszkać</t>
        </is>
      </c>
      <c r="R653" t="inlineStr">
        <is>
          <t>zdzwonione 23.08.2024, a cenę ofertową 295 klient kredytowy kupuje, przedzwonić potwierdzić w przyszłości czy poszło. Było nieaktywne od 28.08 wrociło 13.09</t>
        </is>
      </c>
    </row>
    <row r="654">
      <c r="A654" t="n">
        <v>653</v>
      </c>
      <c r="B654" s="3" t="n">
        <v>45506</v>
      </c>
      <c r="D654" t="inlineStr">
        <is>
          <t>https://www.otodom.pl/pl/oferta/przytulne-m3-z-balkonem-teofilow-ID4raMh.html</t>
        </is>
      </c>
      <c r="E654">
        <f>HYPERLINK("https://www.otodom.pl/pl/oferta/przytulne-m3-z-balkonem-teofilow-ID4raMh.html", "https://www.otodom.pl/pl/oferta/przytulne-m3-z-balkonem-teofilow-ID4raMh.html")</f>
        <v/>
      </c>
      <c r="F654" t="inlineStr">
        <is>
          <t>żabieniec</t>
        </is>
      </c>
      <c r="G654" t="inlineStr">
        <is>
          <t>Teofilów</t>
        </is>
      </c>
      <c r="H654" t="inlineStr">
        <is>
          <t>Teofilów</t>
        </is>
      </c>
      <c r="I654" t="inlineStr">
        <is>
          <t>NIE</t>
        </is>
      </c>
      <c r="J654" t="inlineStr">
        <is>
          <t>TAK</t>
        </is>
      </c>
      <c r="K654" t="n">
        <v>780097861</v>
      </c>
      <c r="L654" t="n">
        <v>274000</v>
      </c>
      <c r="M654" t="n">
        <v>7405.405405405405</v>
      </c>
      <c r="N654" t="n">
        <v>37</v>
      </c>
      <c r="O654" t="inlineStr">
        <is>
          <t>2+k</t>
        </is>
      </c>
      <c r="P654" t="n">
        <v>1</v>
      </c>
      <c r="Q654" t="inlineStr">
        <is>
          <t>Da się zamieszkać</t>
        </is>
      </c>
    </row>
    <row r="655">
      <c r="A655" t="n">
        <v>654</v>
      </c>
      <c r="B655" s="3" t="n">
        <v>45506</v>
      </c>
      <c r="D655" t="inlineStr">
        <is>
          <t>https://www.otodom.pl/pl/oferta/przestronne-m3-niedaleko-politechniki-ID4qjQy.html</t>
        </is>
      </c>
      <c r="E655">
        <f>HYPERLINK("https://www.otodom.pl/pl/oferta/przestronne-m3-niedaleko-politechniki-ID4qjQy.html", "https://www.otodom.pl/pl/oferta/przestronne-m3-niedaleko-politechniki-ID4qjQy.html")</f>
        <v/>
      </c>
      <c r="F655" t="inlineStr">
        <is>
          <t>nowe rokicie</t>
        </is>
      </c>
      <c r="G655" t="inlineStr">
        <is>
          <t>Górna</t>
        </is>
      </c>
      <c r="H655" t="inlineStr">
        <is>
          <t>Górna</t>
        </is>
      </c>
      <c r="I655" t="inlineStr">
        <is>
          <t>NIE</t>
        </is>
      </c>
      <c r="J655" t="inlineStr">
        <is>
          <t>TAK</t>
        </is>
      </c>
      <c r="K655" t="n">
        <v>690377704</v>
      </c>
      <c r="L655" t="n">
        <v>369000</v>
      </c>
      <c r="M655" t="n">
        <v>7530.612244897959</v>
      </c>
      <c r="N655" t="n">
        <v>49</v>
      </c>
      <c r="O655" t="inlineStr">
        <is>
          <t>2+k</t>
        </is>
      </c>
      <c r="P655" t="n">
        <v>3</v>
      </c>
      <c r="Q655" t="inlineStr">
        <is>
          <t>Nie da się zamieszkać</t>
        </is>
      </c>
    </row>
    <row r="656">
      <c r="A656" t="n">
        <v>655</v>
      </c>
      <c r="B656" s="3" t="n">
        <v>45506</v>
      </c>
      <c r="D656" t="inlineStr">
        <is>
          <t>https://gratka.pl/nieruchomosci/m-3-wysoki-parter-duzy-balkon-loggia-baluty-julianow-ul-lagiewnicka/oi/36934605</t>
        </is>
      </c>
      <c r="E656">
        <f>HYPERLINK("https://gratka.pl/nieruchomosci/m-3-wysoki-parter-duzy-balkon-loggia-baluty-julianow-ul-lagiewnicka/oi/36934605", "https://gratka.pl/nieruchomosci/m-3-wysoki-parter-duzy-balkon-loggia-baluty-julianow-ul-lagiewnicka/oi/36934605")</f>
        <v/>
      </c>
      <c r="F656" t="inlineStr">
        <is>
          <t>łagiewnicka</t>
        </is>
      </c>
      <c r="G656" t="inlineStr">
        <is>
          <t>Bałuty</t>
        </is>
      </c>
      <c r="H656" t="inlineStr">
        <is>
          <t>Bałuty</t>
        </is>
      </c>
      <c r="I656" t="inlineStr">
        <is>
          <t>NIE</t>
        </is>
      </c>
      <c r="J656" t="inlineStr">
        <is>
          <t>TAK</t>
        </is>
      </c>
      <c r="K656" t="n">
        <v>881229067</v>
      </c>
      <c r="L656" t="n">
        <v>319900</v>
      </c>
      <c r="M656" t="n">
        <v>6806.382978723404</v>
      </c>
      <c r="N656" t="n">
        <v>47</v>
      </c>
      <c r="O656" t="inlineStr">
        <is>
          <t>2+k</t>
        </is>
      </c>
      <c r="P656" t="n">
        <v>0</v>
      </c>
      <c r="Q656" t="inlineStr">
        <is>
          <t>Nie da się zamieszkać</t>
        </is>
      </c>
    </row>
    <row r="657">
      <c r="A657" t="n">
        <v>656</v>
      </c>
      <c r="B657" s="3" t="n">
        <v>45506</v>
      </c>
      <c r="C657" s="3" t="n">
        <v>45522</v>
      </c>
      <c r="D657" t="inlineStr">
        <is>
          <t>https://www.olx.pl/d/oferta/widzew-2-pokoje-parter-CID3-ID11h01P.html</t>
        </is>
      </c>
      <c r="E657">
        <f>HYPERLINK("https://www.olx.pl/d/oferta/widzew-2-pokoje-parter-CID3-ID11h01P.html", "https://www.olx.pl/d/oferta/widzew-2-pokoje-parter-CID3-ID11h01P.html")</f>
        <v/>
      </c>
      <c r="F657" t="inlineStr">
        <is>
          <t>węgierska</t>
        </is>
      </c>
      <c r="G657" t="inlineStr">
        <is>
          <t>Widzew</t>
        </is>
      </c>
      <c r="H657" t="inlineStr">
        <is>
          <t>Widzew</t>
        </is>
      </c>
      <c r="I657" t="inlineStr">
        <is>
          <t>TAK</t>
        </is>
      </c>
      <c r="J657" t="inlineStr">
        <is>
          <t>TAK</t>
        </is>
      </c>
      <c r="K657" t="n">
        <v>517827480</v>
      </c>
      <c r="L657" t="n">
        <v>345000</v>
      </c>
      <c r="M657" t="n">
        <v>7738.896366083446</v>
      </c>
      <c r="N657" t="n">
        <v>44.58</v>
      </c>
      <c r="O657" t="inlineStr">
        <is>
          <t>2+k</t>
        </is>
      </c>
      <c r="P657" t="n">
        <v>0</v>
      </c>
      <c r="Q657" t="inlineStr">
        <is>
          <t>Puste</t>
        </is>
      </c>
    </row>
    <row r="658">
      <c r="A658" t="n">
        <v>657</v>
      </c>
      <c r="B658" s="3" t="n">
        <v>45506</v>
      </c>
      <c r="D658" t="inlineStr">
        <is>
          <t>https://www.otodom.pl/pl/oferta/przytulne-mieszkanie-z-potencjalem-z-loggia-ID4r8XG.html</t>
        </is>
      </c>
      <c r="E658">
        <f>HYPERLINK("https://www.otodom.pl/pl/oferta/przytulne-mieszkanie-z-potencjalem-z-loggia-ID4r8XG.html", "https://www.otodom.pl/pl/oferta/przytulne-mieszkanie-z-potencjalem-z-loggia-ID4r8XG.html")</f>
        <v/>
      </c>
      <c r="F658" t="inlineStr">
        <is>
          <t>piasta</t>
        </is>
      </c>
      <c r="G658" t="inlineStr">
        <is>
          <t>Górna</t>
        </is>
      </c>
      <c r="H658" t="inlineStr">
        <is>
          <t>Górna</t>
        </is>
      </c>
      <c r="I658" t="inlineStr">
        <is>
          <t>NIE</t>
        </is>
      </c>
      <c r="J658" t="inlineStr">
        <is>
          <t>TAK</t>
        </is>
      </c>
      <c r="K658" t="n">
        <v>579523584</v>
      </c>
      <c r="L658" t="n">
        <v>329500</v>
      </c>
      <c r="M658" t="n">
        <v>6864.583333333333</v>
      </c>
      <c r="N658" t="n">
        <v>48</v>
      </c>
      <c r="O658" t="inlineStr">
        <is>
          <t>2+k</t>
        </is>
      </c>
      <c r="P658" t="n">
        <v>0</v>
      </c>
      <c r="Q658" t="inlineStr">
        <is>
          <t>Nie da się zamieszkać</t>
        </is>
      </c>
      <c r="T658" t="inlineStr">
        <is>
          <t>354</t>
        </is>
      </c>
    </row>
    <row r="659">
      <c r="A659" t="n">
        <v>658</v>
      </c>
      <c r="B659" s="3" t="n">
        <v>45506</v>
      </c>
      <c r="D659" t="inlineStr">
        <is>
          <t>https://adresowo.pl/o/p5w0w7</t>
        </is>
      </c>
      <c r="E659">
        <f>HYPERLINK("https://adresowo.pl/o/p5w0w7", "https://adresowo.pl/o/p5w0w7")</f>
        <v/>
      </c>
      <c r="F659" t="inlineStr">
        <is>
          <t>plantowa</t>
        </is>
      </c>
      <c r="G659" t="inlineStr">
        <is>
          <t>Teofilów</t>
        </is>
      </c>
      <c r="H659" t="inlineStr">
        <is>
          <t>Teofilów</t>
        </is>
      </c>
      <c r="I659" t="inlineStr">
        <is>
          <t>NIE</t>
        </is>
      </c>
      <c r="J659" t="inlineStr">
        <is>
          <t>NIE</t>
        </is>
      </c>
      <c r="L659" t="n">
        <v>325000</v>
      </c>
      <c r="M659" t="n">
        <v>7222.222222222223</v>
      </c>
      <c r="N659" t="n">
        <v>45</v>
      </c>
      <c r="O659" t="inlineStr">
        <is>
          <t>2+k</t>
        </is>
      </c>
      <c r="P659" t="n">
        <v>1</v>
      </c>
      <c r="Q659" t="inlineStr">
        <is>
          <t>Nie da się zamieszkać</t>
        </is>
      </c>
    </row>
    <row r="660">
      <c r="A660" t="n">
        <v>659</v>
      </c>
      <c r="B660" s="3" t="n">
        <v>45506</v>
      </c>
      <c r="C660" s="3" t="n">
        <v>45510</v>
      </c>
      <c r="D660" t="inlineStr">
        <is>
          <t>https://www.otodom.pl/pl/oferta/rozkladowe-3-pokojowe-z-balkonem-i-komorka-ID4rR1d</t>
        </is>
      </c>
      <c r="E660">
        <f>HYPERLINK("https://www.otodom.pl/pl/oferta/rozkladowe-3-pokojowe-z-balkonem-i-komorka-ID4rR1d", "https://www.otodom.pl/pl/oferta/rozkladowe-3-pokojowe-z-balkonem-i-komorka-ID4rR1d")</f>
        <v/>
      </c>
      <c r="F660" t="inlineStr">
        <is>
          <t>bratysławska</t>
        </is>
      </c>
      <c r="G660" t="inlineStr">
        <is>
          <t>Retkinia</t>
        </is>
      </c>
      <c r="H660" t="inlineStr">
        <is>
          <t>Retkinia blisko centrum</t>
        </is>
      </c>
      <c r="I660" t="inlineStr">
        <is>
          <t>TAK</t>
        </is>
      </c>
      <c r="J660" t="inlineStr">
        <is>
          <t>TAK</t>
        </is>
      </c>
      <c r="K660" t="n">
        <v>881791772</v>
      </c>
      <c r="L660" t="n">
        <v>370000</v>
      </c>
      <c r="M660" t="n">
        <v>6985.085897677931</v>
      </c>
      <c r="N660" t="n">
        <v>52.97</v>
      </c>
      <c r="O660" t="inlineStr">
        <is>
          <t>3+k</t>
        </is>
      </c>
      <c r="P660" t="n">
        <v>3</v>
      </c>
      <c r="Q660" t="inlineStr">
        <is>
          <t>Nie da się zamieszkać</t>
        </is>
      </c>
    </row>
    <row r="661">
      <c r="A661" t="n">
        <v>660</v>
      </c>
      <c r="B661" s="3" t="n">
        <v>45507</v>
      </c>
      <c r="D661" t="inlineStr">
        <is>
          <t>https://szybko.pl/o/na-sprzedaz/lokal-mieszkalny+mieszkanie/Łódź+Polesie/oferta-15441867</t>
        </is>
      </c>
      <c r="E661">
        <f>HYPERLINK("https://szybko.pl/o/na-sprzedaz/lokal-mieszkalny+mieszkanie/Łódź+Polesie/oferta-15441867", "https://szybko.pl/o/na-sprzedaz/lokal-mieszkalny+mieszkanie/Łódź+Polesie/oferta-15441867")</f>
        <v/>
      </c>
      <c r="F661" t="inlineStr">
        <is>
          <t>.</t>
        </is>
      </c>
      <c r="G661" t="inlineStr">
        <is>
          <t>Retkinia</t>
        </is>
      </c>
      <c r="H661" t="inlineStr">
        <is>
          <t>Retkinia</t>
        </is>
      </c>
      <c r="I661" t="inlineStr">
        <is>
          <t>NIE</t>
        </is>
      </c>
      <c r="J661" t="inlineStr">
        <is>
          <t>TAK</t>
        </is>
      </c>
      <c r="K661" t="n">
        <v>604615001</v>
      </c>
      <c r="L661" t="n">
        <v>212000</v>
      </c>
      <c r="M661" t="n">
        <v>7851.851851851852</v>
      </c>
      <c r="N661" t="n">
        <v>27</v>
      </c>
      <c r="O661" t="inlineStr">
        <is>
          <t>1+k</t>
        </is>
      </c>
      <c r="P661" t="n">
        <v>3</v>
      </c>
      <c r="Q661" t="inlineStr">
        <is>
          <t>Nie da się zamieszkać</t>
        </is>
      </c>
    </row>
    <row r="662">
      <c r="A662" t="n">
        <v>661</v>
      </c>
      <c r="B662" s="3" t="n">
        <v>45507</v>
      </c>
      <c r="D662" t="inlineStr">
        <is>
          <t>https://www.otodom.pl/pl/oferta/m3-teofilow-z-balkonem-ID4rRd1.html</t>
        </is>
      </c>
      <c r="E662">
        <f>HYPERLINK("https://www.otodom.pl/pl/oferta/m3-teofilow-z-balkonem-ID4rRd1.html", "https://www.otodom.pl/pl/oferta/m3-teofilow-z-balkonem-ID4rRd1.html")</f>
        <v/>
      </c>
      <c r="F662" t="inlineStr">
        <is>
          <t>lniana</t>
        </is>
      </c>
      <c r="G662" t="inlineStr">
        <is>
          <t>Teofilów</t>
        </is>
      </c>
      <c r="H662" t="inlineStr">
        <is>
          <t>Teofilów</t>
        </is>
      </c>
      <c r="I662" t="inlineStr">
        <is>
          <t>NIE</t>
        </is>
      </c>
      <c r="J662" t="inlineStr">
        <is>
          <t>TAK</t>
        </is>
      </c>
      <c r="K662" t="n">
        <v>797542793</v>
      </c>
      <c r="L662" t="n">
        <v>300000</v>
      </c>
      <c r="M662" t="n">
        <v>8187.772925764192</v>
      </c>
      <c r="N662" t="n">
        <v>36.64</v>
      </c>
      <c r="O662" t="inlineStr">
        <is>
          <t>2+k</t>
        </is>
      </c>
      <c r="P662" t="n">
        <v>3</v>
      </c>
      <c r="Q662" t="inlineStr">
        <is>
          <t>Nie da się zamieszkać</t>
        </is>
      </c>
    </row>
    <row r="663">
      <c r="A663" t="n">
        <v>662</v>
      </c>
      <c r="B663" s="3" t="n">
        <v>45507</v>
      </c>
      <c r="C663" s="3" t="n">
        <v>45510</v>
      </c>
      <c r="D663" t="inlineStr">
        <is>
          <t>https://www.otodom.pl/pl/oferta/m4-z-balkonem-ip-blok-przy-ul-kosmonautow-ID4rReA.html</t>
        </is>
      </c>
      <c r="E663">
        <f>HYPERLINK("https://www.otodom.pl/pl/oferta/m4-z-balkonem-ip-blok-przy-ul-kosmonautow-ID4rReA.html", "https://www.otodom.pl/pl/oferta/m4-z-balkonem-ip-blok-przy-ul-kosmonautow-ID4rReA.html")</f>
        <v/>
      </c>
      <c r="F663" t="inlineStr">
        <is>
          <t>kosmonautów</t>
        </is>
      </c>
      <c r="G663" t="inlineStr">
        <is>
          <t>Górna</t>
        </is>
      </c>
      <c r="H663" t="inlineStr">
        <is>
          <t>Górna</t>
        </is>
      </c>
      <c r="I663" t="inlineStr">
        <is>
          <t>TAK</t>
        </is>
      </c>
      <c r="J663" t="inlineStr">
        <is>
          <t>TAK</t>
        </is>
      </c>
      <c r="K663" t="n">
        <v>505208905</v>
      </c>
      <c r="L663" t="n">
        <v>295000</v>
      </c>
      <c r="M663" t="n">
        <v>6424.216027874564</v>
      </c>
      <c r="N663" t="n">
        <v>45.92</v>
      </c>
      <c r="O663" t="inlineStr">
        <is>
          <t>2+k</t>
        </is>
      </c>
      <c r="P663" t="n">
        <v>1</v>
      </c>
      <c r="Q663" t="inlineStr">
        <is>
          <t>Nie da się zamieszkać</t>
        </is>
      </c>
      <c r="R663" t="inlineStr">
        <is>
          <t>* sprzedawane z wizualizacją mieszkania po remoncie, 280k, ale okna do wymiany... 2,2% prowizja - nikt nie mieszka, hipoteka umowma na rzecz UMŁ, miesiąc-dwa, odrębna własność</t>
        </is>
      </c>
    </row>
    <row r="664">
      <c r="A664" t="n">
        <v>663</v>
      </c>
      <c r="B664" s="3" t="n">
        <v>45507</v>
      </c>
      <c r="D664" t="inlineStr">
        <is>
          <t>https://nieruchomosci.gratka.pl/nieruchomosci/mieszkanie-lodz-widzew-czajkowskiego/ob/36184169</t>
        </is>
      </c>
      <c r="E664">
        <f>HYPERLINK("https://nieruchomosci.gratka.pl/nieruchomosci/mieszkanie-lodz-widzew-czajkowskiego/ob/36184169", "https://nieruchomosci.gratka.pl/nieruchomosci/mieszkanie-lodz-widzew-czajkowskiego/ob/36184169")</f>
        <v/>
      </c>
      <c r="F664" t="inlineStr">
        <is>
          <t>czajkowskiego</t>
        </is>
      </c>
      <c r="G664" t="inlineStr">
        <is>
          <t>Widzew</t>
        </is>
      </c>
      <c r="H664" t="inlineStr">
        <is>
          <t>Widzew</t>
        </is>
      </c>
      <c r="I664" t="inlineStr">
        <is>
          <t>NIE</t>
        </is>
      </c>
      <c r="J664" t="inlineStr">
        <is>
          <t>TAK</t>
        </is>
      </c>
      <c r="K664" t="n">
        <v>883541184</v>
      </c>
      <c r="L664" t="n">
        <v>395000</v>
      </c>
      <c r="M664" t="n">
        <v>6638.655462184874</v>
      </c>
      <c r="N664" t="n">
        <v>59.5</v>
      </c>
      <c r="O664" t="inlineStr">
        <is>
          <t>3+k</t>
        </is>
      </c>
      <c r="P664" t="n">
        <v>2</v>
      </c>
      <c r="Q664" t="inlineStr">
        <is>
          <t>Nie da się zamieszkać</t>
        </is>
      </c>
      <c r="R664" t="inlineStr">
        <is>
          <t>20.08 było 447k 03.09. było 425k</t>
        </is>
      </c>
    </row>
    <row r="665">
      <c r="A665" t="n">
        <v>664</v>
      </c>
      <c r="B665" s="3" t="n">
        <v>45507</v>
      </c>
      <c r="D665" t="inlineStr">
        <is>
          <t>https://www.otodom.pl/pl/oferta/przytulne-rozkladowe-mieszkanie-na-balutach-ID4rRxz.html</t>
        </is>
      </c>
      <c r="E665">
        <f>HYPERLINK("https://www.otodom.pl/pl/oferta/przytulne-rozkladowe-mieszkanie-na-balutach-ID4rRxz.html", "https://www.otodom.pl/pl/oferta/przytulne-rozkladowe-mieszkanie-na-balutach-ID4rRxz.html")</f>
        <v/>
      </c>
      <c r="F665" t="inlineStr">
        <is>
          <t>obrońców westerplatte</t>
        </is>
      </c>
      <c r="G665" t="inlineStr">
        <is>
          <t>Bałuty</t>
        </is>
      </c>
      <c r="H665" t="inlineStr">
        <is>
          <t>Bałuty blisko centrum</t>
        </is>
      </c>
      <c r="I665" t="inlineStr">
        <is>
          <t>NIE</t>
        </is>
      </c>
      <c r="J665" t="inlineStr">
        <is>
          <t>TAK</t>
        </is>
      </c>
      <c r="K665" t="n">
        <v>733317925</v>
      </c>
      <c r="L665" t="n">
        <v>269000</v>
      </c>
      <c r="M665" t="n">
        <v>7877.013177159591</v>
      </c>
      <c r="N665" t="n">
        <v>34.15</v>
      </c>
      <c r="O665" t="inlineStr">
        <is>
          <t>1+k</t>
        </is>
      </c>
      <c r="P665" t="n">
        <v>2</v>
      </c>
      <c r="Q665" t="inlineStr">
        <is>
          <t>Nie da się zamieszkać</t>
        </is>
      </c>
    </row>
    <row r="666">
      <c r="A666" t="n">
        <v>665</v>
      </c>
      <c r="B666" s="3" t="n">
        <v>45508</v>
      </c>
      <c r="C666" s="3" t="n">
        <v>45522</v>
      </c>
      <c r="D666" t="inlineStr">
        <is>
          <t>https://www.olx.pl/d/oferta/mieszkanie-m-3-42-42m2-9-pietro-wyszynskiego-retkinia-CID3-ID11iVZn.html</t>
        </is>
      </c>
      <c r="E666">
        <f>HYPERLINK("https://www.olx.pl/d/oferta/mieszkanie-m-3-42-42m2-9-pietro-wyszynskiego-retkinia-CID3-ID11iVZn.html", "https://www.olx.pl/d/oferta/mieszkanie-m-3-42-42m2-9-pietro-wyszynskiego-retkinia-CID3-ID11iVZn.html")</f>
        <v/>
      </c>
      <c r="F666" t="inlineStr">
        <is>
          <t>wyszyńskiego</t>
        </is>
      </c>
      <c r="G666" t="inlineStr">
        <is>
          <t>Retkinia</t>
        </is>
      </c>
      <c r="H666" t="inlineStr">
        <is>
          <t>Retkinia</t>
        </is>
      </c>
      <c r="I666" t="inlineStr">
        <is>
          <t>TAK</t>
        </is>
      </c>
      <c r="J666" t="inlineStr">
        <is>
          <t>NIE</t>
        </is>
      </c>
      <c r="K666" t="n">
        <v>603756835</v>
      </c>
      <c r="L666" t="n">
        <v>330000</v>
      </c>
      <c r="M666" t="n">
        <v>7779.349363507779</v>
      </c>
      <c r="N666" t="n">
        <v>42.42</v>
      </c>
      <c r="O666" t="inlineStr">
        <is>
          <t>2+k</t>
        </is>
      </c>
      <c r="P666" t="n">
        <v>9</v>
      </c>
      <c r="Q666" t="inlineStr">
        <is>
          <t>Nie da się zamieszkać</t>
        </is>
      </c>
    </row>
    <row r="667">
      <c r="A667" t="n">
        <v>666</v>
      </c>
      <c r="B667" s="3" t="n">
        <v>45508</v>
      </c>
      <c r="C667" s="3" t="n">
        <v>45522</v>
      </c>
      <c r="D667" t="inlineStr">
        <is>
          <t>https://www.olx.pl/d/oferta/2-pokoje-na-przeciwko-zdrowia-2-pierto-CID3-ID11jbfy.html</t>
        </is>
      </c>
      <c r="E667">
        <f>HYPERLINK("https://www.olx.pl/d/oferta/2-pokoje-na-przeciwko-zdrowia-2-pierto-CID3-ID11jbfy.html", "https://www.olx.pl/d/oferta/2-pokoje-na-przeciwko-zdrowia-2-pierto-CID3-ID11jbfy.html")</f>
        <v/>
      </c>
      <c r="F667" t="inlineStr">
        <is>
          <t>park zdrowie</t>
        </is>
      </c>
      <c r="G667" t="inlineStr">
        <is>
          <t>Retkinia</t>
        </is>
      </c>
      <c r="H667" t="inlineStr">
        <is>
          <t>Retkinia blisko centrum</t>
        </is>
      </c>
      <c r="I667" t="inlineStr">
        <is>
          <t>TAK</t>
        </is>
      </c>
      <c r="J667" t="inlineStr">
        <is>
          <t>TAK</t>
        </is>
      </c>
      <c r="K667" t="n">
        <v>500513962</v>
      </c>
      <c r="L667" t="n">
        <v>250000</v>
      </c>
      <c r="M667" t="n">
        <v>7521.058965102286</v>
      </c>
      <c r="N667" t="n">
        <v>33.24</v>
      </c>
      <c r="O667" t="inlineStr">
        <is>
          <t>2+k</t>
        </is>
      </c>
      <c r="P667" t="n">
        <v>2</v>
      </c>
      <c r="Q667" t="inlineStr">
        <is>
          <t>Nie da się zamieszkać</t>
        </is>
      </c>
    </row>
    <row r="668">
      <c r="A668" t="n">
        <v>667</v>
      </c>
      <c r="B668" s="3" t="n">
        <v>45508</v>
      </c>
      <c r="C668" s="3" t="n">
        <v>45522</v>
      </c>
      <c r="D668" t="inlineStr">
        <is>
          <t>https://nieruchomosci.gratka.pl/nieruchomosci/mieszkanie-lodz-gorna-poli-gojawiczynskiej/oi/36216427</t>
        </is>
      </c>
      <c r="E668">
        <f>HYPERLINK("https://nieruchomosci.gratka.pl/nieruchomosci/mieszkanie-lodz-gorna-poli-gojawiczynskiej/oi/36216427", "https://nieruchomosci.gratka.pl/nieruchomosci/mieszkanie-lodz-gorna-poli-gojawiczynskiej/oi/36216427")</f>
        <v/>
      </c>
      <c r="F668" t="inlineStr">
        <is>
          <t>gojawiczyńska</t>
        </is>
      </c>
      <c r="G668" t="inlineStr">
        <is>
          <t>Dąbrowa</t>
        </is>
      </c>
      <c r="H668" t="inlineStr">
        <is>
          <t>Dąbrowa</t>
        </is>
      </c>
      <c r="I668" t="inlineStr">
        <is>
          <t>TAK</t>
        </is>
      </c>
      <c r="J668" t="inlineStr">
        <is>
          <t>TAK</t>
        </is>
      </c>
      <c r="K668" t="n">
        <v>604549298</v>
      </c>
      <c r="L668" t="n">
        <v>244000</v>
      </c>
      <c r="M668" t="n">
        <v>6594.594594594595</v>
      </c>
      <c r="N668" t="n">
        <v>37</v>
      </c>
      <c r="O668" t="inlineStr">
        <is>
          <t>2+k</t>
        </is>
      </c>
      <c r="P668" t="n">
        <v>1</v>
      </c>
      <c r="Q668" t="inlineStr">
        <is>
          <t>Nie da się zamieszkać</t>
        </is>
      </c>
    </row>
    <row r="669">
      <c r="A669" t="n">
        <v>668</v>
      </c>
      <c r="B669" s="3" t="n">
        <v>45508</v>
      </c>
      <c r="C669" s="3" t="n">
        <v>45522</v>
      </c>
      <c r="D669" t="inlineStr">
        <is>
          <t>https://www.olx.pl/d/oferta/mieszkanie-radogoszcz-zachod-okazja-cenowa-CID3-ID11jINc.html</t>
        </is>
      </c>
      <c r="E669">
        <f>HYPERLINK("https://www.olx.pl/d/oferta/mieszkanie-radogoszcz-zachod-okazja-cenowa-CID3-ID11jINc.html", "https://www.olx.pl/d/oferta/mieszkanie-radogoszcz-zachod-okazja-cenowa-CID3-ID11jINc.html")</f>
        <v/>
      </c>
      <c r="F669" t="inlineStr">
        <is>
          <t>radogoszcz zachód</t>
        </is>
      </c>
      <c r="G669" t="inlineStr">
        <is>
          <t>Bałuty</t>
        </is>
      </c>
      <c r="H669" t="inlineStr">
        <is>
          <t>Dalekie bałuty</t>
        </is>
      </c>
      <c r="I669" t="inlineStr">
        <is>
          <t>TAK</t>
        </is>
      </c>
      <c r="J669" t="inlineStr">
        <is>
          <t>TAK</t>
        </is>
      </c>
      <c r="K669" t="n">
        <v>535415815</v>
      </c>
      <c r="L669" t="n">
        <v>280000</v>
      </c>
      <c r="M669" t="n">
        <v>5600</v>
      </c>
      <c r="N669" t="n">
        <v>50</v>
      </c>
      <c r="O669" t="inlineStr">
        <is>
          <t>2+k</t>
        </is>
      </c>
      <c r="P669" t="n">
        <v>9</v>
      </c>
      <c r="Q669" t="inlineStr">
        <is>
          <t>Nie da się zamieszkać</t>
        </is>
      </c>
    </row>
    <row r="670">
      <c r="A670" t="n">
        <v>669</v>
      </c>
      <c r="B670" s="3" t="n">
        <v>45508</v>
      </c>
      <c r="C670" s="3" t="n">
        <v>45522</v>
      </c>
      <c r="D670" t="inlineStr">
        <is>
          <t>https://www.otodom.pl/pl/oferta/rozkladowe-mieszkanie-do-remontu-ID4rS56.html</t>
        </is>
      </c>
      <c r="E670">
        <f>HYPERLINK("https://www.otodom.pl/pl/oferta/rozkladowe-mieszkanie-do-remontu-ID4rS56.html", "https://www.otodom.pl/pl/oferta/rozkladowe-mieszkanie-do-remontu-ID4rS56.html")</f>
        <v/>
      </c>
      <c r="F670" t="inlineStr">
        <is>
          <t>marysińska</t>
        </is>
      </c>
      <c r="G670" t="inlineStr">
        <is>
          <t>Bałuty</t>
        </is>
      </c>
      <c r="H670" t="inlineStr">
        <is>
          <t>Bałuty</t>
        </is>
      </c>
      <c r="I670" t="inlineStr">
        <is>
          <t>TAK</t>
        </is>
      </c>
      <c r="J670" t="inlineStr">
        <is>
          <t>TAK</t>
        </is>
      </c>
      <c r="K670" t="n">
        <v>509711608</v>
      </c>
      <c r="L670" t="n">
        <v>250000</v>
      </c>
      <c r="M670" t="n">
        <v>6578.947368421052</v>
      </c>
      <c r="N670" t="n">
        <v>38</v>
      </c>
      <c r="O670" t="inlineStr">
        <is>
          <t>2+k</t>
        </is>
      </c>
      <c r="P670" t="n">
        <v>5</v>
      </c>
      <c r="Q670" t="inlineStr">
        <is>
          <t>Nie da się zamieszkać</t>
        </is>
      </c>
    </row>
    <row r="671">
      <c r="A671" t="n">
        <v>670</v>
      </c>
      <c r="B671" s="3" t="n">
        <v>45509</v>
      </c>
      <c r="D671" t="inlineStr">
        <is>
          <t>https://www.otodom.pl/pl/oferta/m3-karolew-blisko-politechnika-lodzka-balkon-ID4rS7m</t>
        </is>
      </c>
      <c r="E671">
        <f>HYPERLINK("https://www.otodom.pl/pl/oferta/m3-karolew-blisko-politechnika-lodzka-balkon-ID4rS7m", "https://www.otodom.pl/pl/oferta/m3-karolew-blisko-politechnika-lodzka-balkon-ID4rS7m")</f>
        <v/>
      </c>
      <c r="F671" t="inlineStr">
        <is>
          <t>wróblewskiego</t>
        </is>
      </c>
      <c r="G671" t="inlineStr">
        <is>
          <t>Retkinia</t>
        </is>
      </c>
      <c r="H671" t="inlineStr">
        <is>
          <t>Retkinia blisko centrum</t>
        </is>
      </c>
      <c r="I671" t="inlineStr">
        <is>
          <t>NIE</t>
        </is>
      </c>
      <c r="J671" t="inlineStr">
        <is>
          <t>TAK</t>
        </is>
      </c>
      <c r="K671" t="n">
        <v>600036906</v>
      </c>
      <c r="L671" t="n">
        <v>289000</v>
      </c>
      <c r="M671" t="n">
        <v>7605.263157894737</v>
      </c>
      <c r="N671" t="n">
        <v>38</v>
      </c>
      <c r="O671" t="inlineStr">
        <is>
          <t>2+k</t>
        </is>
      </c>
      <c r="P671" t="n">
        <v>0</v>
      </c>
      <c r="Q671" t="inlineStr">
        <is>
          <t>Nie da się zamieszkać</t>
        </is>
      </c>
    </row>
    <row r="672">
      <c r="A672" t="n">
        <v>671</v>
      </c>
      <c r="B672" s="3" t="n">
        <v>45509</v>
      </c>
      <c r="D672" t="inlineStr">
        <is>
          <t>https://adresowo.pl/o/v8h5m7</t>
        </is>
      </c>
      <c r="E672">
        <f>HYPERLINK("https://adresowo.pl/o/v8h5m7", "https://adresowo.pl/o/v8h5m7")</f>
        <v/>
      </c>
      <c r="F672" t="inlineStr">
        <is>
          <t>broniewskiego</t>
        </is>
      </c>
      <c r="G672" t="inlineStr">
        <is>
          <t>Górna</t>
        </is>
      </c>
      <c r="H672" t="inlineStr">
        <is>
          <t>Górna</t>
        </is>
      </c>
      <c r="I672" t="inlineStr">
        <is>
          <t>NIE</t>
        </is>
      </c>
      <c r="J672" t="inlineStr">
        <is>
          <t>NIE</t>
        </is>
      </c>
      <c r="L672" t="n">
        <v>390000</v>
      </c>
      <c r="M672" t="n">
        <v>7090.909090909091</v>
      </c>
      <c r="N672" t="n">
        <v>55</v>
      </c>
      <c r="O672" t="inlineStr">
        <is>
          <t>2+k</t>
        </is>
      </c>
      <c r="P672" t="n">
        <v>0</v>
      </c>
      <c r="Q672" t="inlineStr">
        <is>
          <t>Nie da się zamieszkać</t>
        </is>
      </c>
    </row>
    <row r="673">
      <c r="A673" t="n">
        <v>672</v>
      </c>
      <c r="B673" s="3" t="n">
        <v>45509</v>
      </c>
      <c r="C673" s="3" t="n">
        <v>45510</v>
      </c>
      <c r="D673" t="inlineStr">
        <is>
          <t>https://www.olx.pl/d/oferta/inwestycyjnie-rozklad-balkon-cegla-CID3-ID11k4Tr.html</t>
        </is>
      </c>
      <c r="E673">
        <f>HYPERLINK("https://www.olx.pl/d/oferta/inwestycyjnie-rozklad-balkon-cegla-CID3-ID11k4Tr.html", "https://www.olx.pl/d/oferta/inwestycyjnie-rozklad-balkon-cegla-CID3-ID11k4Tr.html")</f>
        <v/>
      </c>
      <c r="F673" t="inlineStr">
        <is>
          <t>rybna</t>
        </is>
      </c>
      <c r="G673" t="inlineStr">
        <is>
          <t>Bałuty</t>
        </is>
      </c>
      <c r="H673" t="inlineStr">
        <is>
          <t>Bałuty blisko centrum</t>
        </is>
      </c>
      <c r="I673" t="inlineStr">
        <is>
          <t>TAK</t>
        </is>
      </c>
      <c r="J673" t="inlineStr">
        <is>
          <t>NIE</t>
        </is>
      </c>
      <c r="K673" t="n">
        <v>691861164</v>
      </c>
      <c r="L673" t="n">
        <v>343000</v>
      </c>
      <c r="M673" t="n">
        <v>6236.363636363636</v>
      </c>
      <c r="N673" t="n">
        <v>55</v>
      </c>
      <c r="O673" t="inlineStr">
        <is>
          <t>2+k</t>
        </is>
      </c>
      <c r="P673" t="n">
        <v>4</v>
      </c>
      <c r="Q673" t="inlineStr">
        <is>
          <t>Nie da się zamieszkać</t>
        </is>
      </c>
    </row>
    <row r="674">
      <c r="A674" t="n">
        <v>673</v>
      </c>
      <c r="B674" s="3" t="n">
        <v>45509</v>
      </c>
      <c r="D674" t="inlineStr">
        <is>
          <t>https://www.otodom.pl/pl/oferta/jasne-2-pokojebalkonrozkladowe2-pietro-ID4rSoD.html</t>
        </is>
      </c>
      <c r="E674">
        <f>HYPERLINK("https://www.otodom.pl/pl/oferta/jasne-2-pokojebalkonrozkladowe2-pietro-ID4rSoD.html", "https://www.otodom.pl/pl/oferta/jasne-2-pokojebalkonrozkladowe2-pietro-ID4rSoD.html")</f>
        <v/>
      </c>
      <c r="F674" t="inlineStr">
        <is>
          <t>wrześnieńska</t>
        </is>
      </c>
      <c r="G674" t="inlineStr">
        <is>
          <t>Bałuty</t>
        </is>
      </c>
      <c r="H674" t="inlineStr">
        <is>
          <t>Bałuty blisko centrum</t>
        </is>
      </c>
      <c r="I674" t="inlineStr">
        <is>
          <t>NIE</t>
        </is>
      </c>
      <c r="J674" t="inlineStr">
        <is>
          <t>TAK</t>
        </is>
      </c>
      <c r="K674" t="n">
        <v>730808986</v>
      </c>
      <c r="L674" t="n">
        <v>320000</v>
      </c>
      <c r="M674" t="n">
        <v>7090.627077332151</v>
      </c>
      <c r="N674" t="n">
        <v>45.13</v>
      </c>
      <c r="O674" t="inlineStr">
        <is>
          <t>2+k</t>
        </is>
      </c>
      <c r="P674" t="n">
        <v>2</v>
      </c>
      <c r="Q674" t="inlineStr">
        <is>
          <t>Nie da się zamieszkać</t>
        </is>
      </c>
    </row>
    <row r="675">
      <c r="A675" t="n">
        <v>674</v>
      </c>
      <c r="B675" s="3" t="n">
        <v>45509</v>
      </c>
      <c r="C675" s="3" t="n">
        <v>45510</v>
      </c>
      <c r="D675" t="inlineStr">
        <is>
          <t>https://www.otodom.pl/pl/oferta/przestronna-kawalerka-na-sprzedaz-ID4rSpq</t>
        </is>
      </c>
      <c r="E675">
        <f>HYPERLINK("https://www.otodom.pl/pl/oferta/przestronna-kawalerka-na-sprzedaz-ID4rSpq", "https://www.otodom.pl/pl/oferta/przestronna-kawalerka-na-sprzedaz-ID4rSpq")</f>
        <v/>
      </c>
      <c r="F675" t="inlineStr">
        <is>
          <t>uniwersytecka</t>
        </is>
      </c>
      <c r="G675" t="inlineStr">
        <is>
          <t>Śródmieście</t>
        </is>
      </c>
      <c r="H675" t="inlineStr">
        <is>
          <t>Śródmieście</t>
        </is>
      </c>
      <c r="I675" t="inlineStr">
        <is>
          <t>TAK</t>
        </is>
      </c>
      <c r="J675" t="inlineStr">
        <is>
          <t>TAK</t>
        </is>
      </c>
      <c r="K675" t="n">
        <v>574459500</v>
      </c>
      <c r="L675" t="n">
        <v>270000</v>
      </c>
      <c r="M675" t="n">
        <v>7012.987012987013</v>
      </c>
      <c r="N675" t="n">
        <v>38.5</v>
      </c>
      <c r="O675" t="inlineStr">
        <is>
          <t>1+k</t>
        </is>
      </c>
      <c r="P675" t="n">
        <v>4</v>
      </c>
      <c r="Q675" t="inlineStr">
        <is>
          <t>Nie da się zamieszkać</t>
        </is>
      </c>
    </row>
    <row r="676">
      <c r="A676" t="n">
        <v>675</v>
      </c>
      <c r="B676" s="3" t="n">
        <v>45509</v>
      </c>
      <c r="D676" t="inlineStr">
        <is>
          <t>https://www.otodom.pl/pl/oferta/1-pietro-balkon-do-remontu-widzew-ul-bartoka-ID4rSHA</t>
        </is>
      </c>
      <c r="E676">
        <f>HYPERLINK("https://www.otodom.pl/pl/oferta/1-pietro-balkon-do-remontu-widzew-ul-bartoka-ID4rSHA", "https://www.otodom.pl/pl/oferta/1-pietro-balkon-do-remontu-widzew-ul-bartoka-ID4rSHA")</f>
        <v/>
      </c>
      <c r="F676" t="inlineStr">
        <is>
          <t>bartoka</t>
        </is>
      </c>
      <c r="G676" t="inlineStr">
        <is>
          <t>Widzew</t>
        </is>
      </c>
      <c r="H676" t="inlineStr">
        <is>
          <t>Widzew</t>
        </is>
      </c>
      <c r="I676" t="inlineStr">
        <is>
          <t>NIE</t>
        </is>
      </c>
      <c r="J676" t="inlineStr">
        <is>
          <t>TAK</t>
        </is>
      </c>
      <c r="K676" t="n">
        <v>500380137</v>
      </c>
      <c r="L676" t="n">
        <v>345000</v>
      </c>
      <c r="M676" t="n">
        <v>7752.808988764045</v>
      </c>
      <c r="N676" t="n">
        <v>44.5</v>
      </c>
      <c r="O676" t="inlineStr">
        <is>
          <t>2+k</t>
        </is>
      </c>
      <c r="P676" t="n">
        <v>1</v>
      </c>
      <c r="Q676" t="inlineStr">
        <is>
          <t>Nie da się zamieszkać</t>
        </is>
      </c>
    </row>
    <row r="677">
      <c r="A677" t="n">
        <v>676</v>
      </c>
      <c r="B677" s="3" t="n">
        <v>45509</v>
      </c>
      <c r="D677" t="inlineStr">
        <is>
          <t>https://domy.pl/mieszkanie/lodz-baluty-tomasza_judyma-2-pokoje-279000-pln-45m2-sfa/dol1741419386</t>
        </is>
      </c>
      <c r="E677">
        <f>HYPERLINK("https://domy.pl/mieszkanie/lodz-baluty-tomasza_judyma-2-pokoje-279000-pln-45m2-sfa/dol1741419386", "https://domy.pl/mieszkanie/lodz-baluty-tomasza_judyma-2-pokoje-279000-pln-45m2-sfa/dol1741419386")</f>
        <v/>
      </c>
      <c r="F677" t="inlineStr">
        <is>
          <t>judyma</t>
        </is>
      </c>
      <c r="G677" t="inlineStr">
        <is>
          <t>Teofilów</t>
        </is>
      </c>
      <c r="H677" t="inlineStr">
        <is>
          <t>Teofilów</t>
        </is>
      </c>
      <c r="I677" t="inlineStr">
        <is>
          <t>NIE</t>
        </is>
      </c>
      <c r="J677" t="inlineStr">
        <is>
          <t>TAK</t>
        </is>
      </c>
      <c r="K677" t="n">
        <v>881229067</v>
      </c>
      <c r="L677" t="n">
        <v>279000</v>
      </c>
      <c r="M677" t="n">
        <v>6200</v>
      </c>
      <c r="N677" t="n">
        <v>45</v>
      </c>
      <c r="O677" t="inlineStr">
        <is>
          <t>2+k</t>
        </is>
      </c>
      <c r="P677" t="n">
        <v>0</v>
      </c>
      <c r="Q677" t="inlineStr">
        <is>
          <t>Nie da się zamieszkać</t>
        </is>
      </c>
      <c r="R677" t="inlineStr">
        <is>
          <t>03.09 było 294k 13.09 było 289k</t>
        </is>
      </c>
    </row>
    <row r="678">
      <c r="A678" t="n">
        <v>677</v>
      </c>
      <c r="B678" s="3" t="n">
        <v>45509</v>
      </c>
      <c r="D678" t="inlineStr">
        <is>
          <t>https://nieruchomosci.gratka.pl/nieruchomosci/mieszkanie-lodz-baluty-wawelska/ob/36320795</t>
        </is>
      </c>
      <c r="E678">
        <f>HYPERLINK("https://nieruchomosci.gratka.pl/nieruchomosci/mieszkanie-lodz-baluty-wawelska/ob/36320795", "https://nieruchomosci.gratka.pl/nieruchomosci/mieszkanie-lodz-baluty-wawelska/ob/36320795")</f>
        <v/>
      </c>
      <c r="F678" t="inlineStr">
        <is>
          <t>wawelska</t>
        </is>
      </c>
      <c r="G678" t="inlineStr">
        <is>
          <t>Bałuty</t>
        </is>
      </c>
      <c r="H678" t="inlineStr">
        <is>
          <t>Bałuty</t>
        </is>
      </c>
      <c r="I678" t="inlineStr">
        <is>
          <t>NIE</t>
        </is>
      </c>
      <c r="J678" t="inlineStr">
        <is>
          <t>TAK</t>
        </is>
      </c>
      <c r="K678" t="n">
        <v>609252555</v>
      </c>
      <c r="L678" t="n">
        <v>260000</v>
      </c>
      <c r="M678" t="n">
        <v>7761.194029850746</v>
      </c>
      <c r="N678" t="n">
        <v>33.5</v>
      </c>
      <c r="O678" t="inlineStr">
        <is>
          <t>2+k</t>
        </is>
      </c>
      <c r="P678" t="n">
        <v>3</v>
      </c>
      <c r="Q678" t="inlineStr">
        <is>
          <t>Puste</t>
        </is>
      </c>
      <c r="R678" t="inlineStr">
        <is>
          <t>07.08 było 265</t>
        </is>
      </c>
    </row>
    <row r="679">
      <c r="A679" t="n">
        <v>678</v>
      </c>
      <c r="B679" s="3" t="n">
        <v>45509</v>
      </c>
      <c r="C679" s="3" t="n">
        <v>45522</v>
      </c>
      <c r="D679" t="inlineStr">
        <is>
          <t>https://www.domiporta.pl/nieruchomosci/sprzedam-mieszkanie-trzypokojowe-lodz-gorna-47m2/155298824</t>
        </is>
      </c>
      <c r="E679">
        <f>HYPERLINK("https://www.domiporta.pl/nieruchomosci/sprzedam-mieszkanie-trzypokojowe-lodz-gorna-47m2/155298824", "https://www.domiporta.pl/nieruchomosci/sprzedam-mieszkanie-trzypokojowe-lodz-gorna-47m2/155298824")</f>
        <v/>
      </c>
      <c r="F679" t="inlineStr">
        <is>
          <t>broniewskiego</t>
        </is>
      </c>
      <c r="G679" t="inlineStr">
        <is>
          <t>Górna</t>
        </is>
      </c>
      <c r="H679" t="inlineStr">
        <is>
          <t>Górna</t>
        </is>
      </c>
      <c r="I679" t="inlineStr">
        <is>
          <t>TAK</t>
        </is>
      </c>
      <c r="J679" t="inlineStr">
        <is>
          <t>TAK</t>
        </is>
      </c>
      <c r="K679" t="n">
        <v>539340700</v>
      </c>
      <c r="L679" t="n">
        <v>329000</v>
      </c>
      <c r="M679" t="n">
        <v>7000</v>
      </c>
      <c r="N679" t="n">
        <v>47</v>
      </c>
      <c r="O679" t="inlineStr">
        <is>
          <t>2+k</t>
        </is>
      </c>
      <c r="P679" t="n">
        <v>2</v>
      </c>
      <c r="Q679" t="inlineStr">
        <is>
          <t>Nie da się zamieszkać</t>
        </is>
      </c>
    </row>
    <row r="680">
      <c r="A680" t="n">
        <v>679</v>
      </c>
      <c r="B680" s="3" t="n">
        <v>45509</v>
      </c>
      <c r="C680" s="3" t="n">
        <v>45532</v>
      </c>
      <c r="D680" t="inlineStr">
        <is>
          <t>https://www.google.pl/maps/place/Czarnieckiego,+90-001+Łódź/@51.7869969,19.4346685,12.78z/data=!4m6!3m5!1s0x471bcae5eb141261:0x8d6e9dc6ef16180a!8m2!3d51.7931998!4d19.4616516!16s%2Fg%2F1txy120f?entry=ttu</t>
        </is>
      </c>
      <c r="E680">
        <f>HYPERLINK("https://www.google.pl/maps/place/Czarnieckiego,+90-001+Łódź/@51.7869969,19.4346685,12.78z/data=!4m6!3m5!1s0x471bcae5eb141261:0x8d6e9dc6ef16180a!8m2!3d51.7931998!4d19.4616516!16s%2Fg%2F1txy120f?entry=ttu", "https://www.google.pl/maps/place/Czarnieckiego,+90-001+Łódź/@51.7869969,19.4346685,12.78z/data=!4m6!3m5!1s0x471bcae5eb141261:0x8d6e9dc6ef16180a!8m2!3d51.7931998!4d19.4616516!16s%2Fg%2F1txy120f?entry=ttu")</f>
        <v/>
      </c>
      <c r="F680" t="inlineStr">
        <is>
          <t>czarnieckiego</t>
        </is>
      </c>
      <c r="G680" t="inlineStr">
        <is>
          <t>Bałuty</t>
        </is>
      </c>
      <c r="H680" t="inlineStr">
        <is>
          <t>Bałuty</t>
        </is>
      </c>
      <c r="I680" t="inlineStr">
        <is>
          <t>TAK</t>
        </is>
      </c>
      <c r="J680" t="inlineStr">
        <is>
          <t>NIE</t>
        </is>
      </c>
      <c r="K680" t="n">
        <v>600825002</v>
      </c>
      <c r="L680" t="n">
        <v>420000</v>
      </c>
      <c r="M680" t="n">
        <v>7368.421052631579</v>
      </c>
      <c r="N680" t="n">
        <v>57</v>
      </c>
      <c r="O680" t="inlineStr">
        <is>
          <t>2+k</t>
        </is>
      </c>
      <c r="P680" t="n">
        <v>5</v>
      </c>
      <c r="Q680" t="inlineStr">
        <is>
          <t>Nie da się zamieszkać</t>
        </is>
      </c>
    </row>
    <row r="681">
      <c r="A681" t="n">
        <v>680</v>
      </c>
      <c r="B681" s="3" t="n">
        <v>45509</v>
      </c>
      <c r="D681" t="inlineStr">
        <is>
          <t>https://www.otodom.pl/pl/oferta/2-pokojowe-mieszkanie-przy-ul-dedeciusa-ID4rT61.html</t>
        </is>
      </c>
      <c r="E681">
        <f>HYPERLINK("https://www.otodom.pl/pl/oferta/2-pokojowe-mieszkanie-przy-ul-dedeciusa-ID4rT61.html", "https://www.otodom.pl/pl/oferta/2-pokojowe-mieszkanie-przy-ul-dedeciusa-ID4rT61.html")</f>
        <v/>
      </c>
      <c r="F681" t="inlineStr">
        <is>
          <t>dedeciusa</t>
        </is>
      </c>
      <c r="G681" t="inlineStr">
        <is>
          <t>Dąbrowa</t>
        </is>
      </c>
      <c r="H681" t="inlineStr">
        <is>
          <t>Dąbrowa</t>
        </is>
      </c>
      <c r="I681" t="inlineStr">
        <is>
          <t>NIE</t>
        </is>
      </c>
      <c r="J681" t="inlineStr">
        <is>
          <t>TAK</t>
        </is>
      </c>
      <c r="K681" t="n">
        <v>502266722</v>
      </c>
      <c r="L681" t="n">
        <v>269000</v>
      </c>
      <c r="M681" t="n">
        <v>6968.911917098445</v>
      </c>
      <c r="N681" t="n">
        <v>38.6</v>
      </c>
      <c r="O681" t="inlineStr">
        <is>
          <t>2+k</t>
        </is>
      </c>
      <c r="P681" t="n">
        <v>1</v>
      </c>
      <c r="Q681" t="inlineStr">
        <is>
          <t>Nie da się zamieszkać</t>
        </is>
      </c>
    </row>
    <row r="682">
      <c r="A682" t="n">
        <v>681</v>
      </c>
      <c r="B682" s="3" t="n">
        <v>45509</v>
      </c>
      <c r="C682" s="3" t="n">
        <v>45510</v>
      </c>
      <c r="D682" t="inlineStr">
        <is>
          <t>https://www.otodom.pl/pl/oferta/3-pokoje-na-dabrowie-z-balkonem-blisko-rynek-ID4rT7N.html</t>
        </is>
      </c>
      <c r="E682">
        <f>HYPERLINK("https://www.otodom.pl/pl/oferta/3-pokoje-na-dabrowie-z-balkonem-blisko-rynek-ID4rT7N.html", "https://www.otodom.pl/pl/oferta/3-pokoje-na-dabrowie-z-balkonem-blisko-rynek-ID4rT7N.html")</f>
        <v/>
      </c>
      <c r="F682" t="inlineStr">
        <is>
          <t>felińskiego</t>
        </is>
      </c>
      <c r="G682" t="inlineStr">
        <is>
          <t>Dąbrowa</t>
        </is>
      </c>
      <c r="H682" t="inlineStr">
        <is>
          <t>Dąbrowa</t>
        </is>
      </c>
      <c r="I682" t="inlineStr">
        <is>
          <t>TAK</t>
        </is>
      </c>
      <c r="J682" t="inlineStr">
        <is>
          <t>NIE</t>
        </is>
      </c>
      <c r="K682" t="n">
        <v>514146431</v>
      </c>
      <c r="L682" t="n">
        <v>319000</v>
      </c>
      <c r="M682" t="n">
        <v>6787.234042553191</v>
      </c>
      <c r="N682" t="n">
        <v>47</v>
      </c>
      <c r="O682" t="inlineStr">
        <is>
          <t>2+k</t>
        </is>
      </c>
      <c r="P682" t="n">
        <v>7</v>
      </c>
      <c r="Q682" t="inlineStr">
        <is>
          <t>Nie da się zamieszkać</t>
        </is>
      </c>
      <c r="T682" t="inlineStr">
        <is>
          <t>375</t>
        </is>
      </c>
    </row>
    <row r="683">
      <c r="A683" t="n">
        <v>682</v>
      </c>
      <c r="B683" s="3" t="n">
        <v>45509</v>
      </c>
      <c r="C683" s="3" t="n">
        <v>45510</v>
      </c>
      <c r="D683" t="inlineStr">
        <is>
          <t>https://www.otodom.pl/pl/oferta/mieszkanie-do-wlasnej-aranzacji-ul-kraszewskiego-ID4rJkm.html</t>
        </is>
      </c>
      <c r="E683">
        <f>HYPERLINK("https://www.otodom.pl/pl/oferta/mieszkanie-do-wlasnej-aranzacji-ul-kraszewskiego-ID4rJkm.html", "https://www.otodom.pl/pl/oferta/mieszkanie-do-wlasnej-aranzacji-ul-kraszewskiego-ID4rJkm.html")</f>
        <v/>
      </c>
      <c r="F683" t="inlineStr">
        <is>
          <t>kraszewskiego</t>
        </is>
      </c>
      <c r="G683" t="inlineStr">
        <is>
          <t>Górna</t>
        </is>
      </c>
      <c r="H683" t="inlineStr">
        <is>
          <t>Górna</t>
        </is>
      </c>
      <c r="I683" t="inlineStr">
        <is>
          <t>TAK</t>
        </is>
      </c>
      <c r="J683" t="inlineStr">
        <is>
          <t>TAK</t>
        </is>
      </c>
      <c r="K683" t="n">
        <v>668792385</v>
      </c>
      <c r="L683" t="n">
        <v>195000</v>
      </c>
      <c r="M683" t="n">
        <v>7246.376811594203</v>
      </c>
      <c r="N683" t="n">
        <v>26.91</v>
      </c>
      <c r="O683" t="inlineStr">
        <is>
          <t>2+k</t>
        </is>
      </c>
      <c r="P683" t="n">
        <v>3</v>
      </c>
      <c r="Q683" t="inlineStr">
        <is>
          <t>Nie da się zamieszkać</t>
        </is>
      </c>
    </row>
    <row r="684">
      <c r="A684" t="n">
        <v>683</v>
      </c>
      <c r="B684" s="3" t="n">
        <v>45509</v>
      </c>
      <c r="D684" t="inlineStr">
        <is>
          <t>https://www.olx.pl/d/oferta/mieszkanie-m3-lodz-retkinia-polnoc-ul-wyszynskiego-42m2-CID3-ID11kPvW.html?isPreviewActive=0&amp;sliderIndex=6</t>
        </is>
      </c>
      <c r="E684">
        <f>HYPERLINK("https://www.olx.pl/d/oferta/mieszkanie-m3-lodz-retkinia-polnoc-ul-wyszynskiego-42m2-CID3-ID11kPvW.html?isPreviewActive=0&amp;sliderIndex=6", "https://www.olx.pl/d/oferta/mieszkanie-m3-lodz-retkinia-polnoc-ul-wyszynskiego-42m2-CID3-ID11kPvW.html?isPreviewActive=0&amp;sliderIndex=6")</f>
        <v/>
      </c>
      <c r="F684" t="inlineStr">
        <is>
          <t>wyszyńskiego</t>
        </is>
      </c>
      <c r="G684" t="inlineStr">
        <is>
          <t>Retkinia</t>
        </is>
      </c>
      <c r="H684" t="inlineStr">
        <is>
          <t>Retkinia</t>
        </is>
      </c>
      <c r="I684" t="inlineStr">
        <is>
          <t>NIE</t>
        </is>
      </c>
      <c r="J684" t="inlineStr">
        <is>
          <t>TAK</t>
        </is>
      </c>
      <c r="K684" t="n">
        <v>603903103</v>
      </c>
      <c r="L684" t="n">
        <v>340000</v>
      </c>
      <c r="M684" t="n">
        <v>8015.087223008015</v>
      </c>
      <c r="N684" t="n">
        <v>42.42</v>
      </c>
      <c r="O684" t="inlineStr">
        <is>
          <t>2+k</t>
        </is>
      </c>
      <c r="P684" t="n">
        <v>8</v>
      </c>
      <c r="Q684" t="inlineStr">
        <is>
          <t>Nie da się zamieszkać</t>
        </is>
      </c>
    </row>
    <row r="685">
      <c r="A685" t="n">
        <v>684</v>
      </c>
      <c r="B685" s="3" t="n">
        <v>45510</v>
      </c>
      <c r="C685" s="3" t="n">
        <v>45510</v>
      </c>
      <c r="D685" t="inlineStr">
        <is>
          <t>https://www.otodom.pl/pl/oferta/m3-dabrowa-rozklad-balkon-ID4rTlw.html</t>
        </is>
      </c>
      <c r="E685">
        <f>HYPERLINK("https://www.otodom.pl/pl/oferta/m3-dabrowa-rozklad-balkon-ID4rTlw.html", "https://www.otodom.pl/pl/oferta/m3-dabrowa-rozklad-balkon-ID4rTlw.html")</f>
        <v/>
      </c>
      <c r="F685" t="inlineStr">
        <is>
          <t>rydla</t>
        </is>
      </c>
      <c r="G685" t="inlineStr">
        <is>
          <t>Dąbrowa</t>
        </is>
      </c>
      <c r="H685" t="inlineStr">
        <is>
          <t>Dąbrowa</t>
        </is>
      </c>
      <c r="I685" t="inlineStr">
        <is>
          <t>TAK</t>
        </is>
      </c>
      <c r="J685" t="inlineStr">
        <is>
          <t>TAK</t>
        </is>
      </c>
      <c r="K685" t="n">
        <v>516716153</v>
      </c>
      <c r="L685" t="n">
        <v>269000</v>
      </c>
      <c r="M685" t="n">
        <v>6725</v>
      </c>
      <c r="N685" t="n">
        <v>40</v>
      </c>
      <c r="O685" t="inlineStr">
        <is>
          <t>2+k</t>
        </is>
      </c>
      <c r="P685" t="n">
        <v>4</v>
      </c>
      <c r="Q685" t="inlineStr">
        <is>
          <t>Nie da się zamieszkać</t>
        </is>
      </c>
    </row>
    <row r="686">
      <c r="A686" t="n">
        <v>685</v>
      </c>
      <c r="B686" s="3" t="n">
        <v>45510</v>
      </c>
      <c r="C686" s="3" t="n">
        <v>45510</v>
      </c>
      <c r="D686" t="inlineStr">
        <is>
          <t>https://www.olx.pl/d/oferta/rozkladowe-m4-na-retkini-do-remontu-CID3-ID10SDw6.html?isPreviewActive=0&amp;sliderIndex=7</t>
        </is>
      </c>
      <c r="E686">
        <f>HYPERLINK("https://www.olx.pl/d/oferta/rozkladowe-m4-na-retkini-do-remontu-CID3-ID10SDw6.html?isPreviewActive=0&amp;sliderIndex=7", "https://www.olx.pl/d/oferta/rozkladowe-m4-na-retkini-do-remontu-CID3-ID10SDw6.html?isPreviewActive=0&amp;sliderIndex=7")</f>
        <v/>
      </c>
      <c r="F686" t="inlineStr">
        <is>
          <t>.</t>
        </is>
      </c>
      <c r="G686" t="inlineStr">
        <is>
          <t>Retkinia</t>
        </is>
      </c>
      <c r="H686" t="inlineStr">
        <is>
          <t>Retkinia</t>
        </is>
      </c>
      <c r="I686" t="inlineStr">
        <is>
          <t>TAK</t>
        </is>
      </c>
      <c r="J686" t="inlineStr">
        <is>
          <t>NIE</t>
        </is>
      </c>
      <c r="K686" t="n">
        <v>693865990</v>
      </c>
      <c r="L686" t="n">
        <v>385000</v>
      </c>
      <c r="M686" t="n">
        <v>7264.150943396226</v>
      </c>
      <c r="N686" t="n">
        <v>53</v>
      </c>
      <c r="O686" t="inlineStr">
        <is>
          <t>3+k</t>
        </is>
      </c>
      <c r="P686" t="n">
        <v>4</v>
      </c>
      <c r="Q686" t="inlineStr">
        <is>
          <t>Nie da się zamieszkać</t>
        </is>
      </c>
    </row>
    <row r="687">
      <c r="A687" t="n">
        <v>686</v>
      </c>
      <c r="B687" s="3" t="n">
        <v>45510</v>
      </c>
      <c r="C687" s="3" t="n">
        <v>45522</v>
      </c>
      <c r="D687" t="inlineStr">
        <is>
          <t>https://lodz.nieruchomosci-online.pl/mieszkanie,z-kuchnia-z-oknem/24889204.html</t>
        </is>
      </c>
      <c r="E687">
        <f>HYPERLINK("https://lodz.nieruchomosci-online.pl/mieszkanie,z-kuchnia-z-oknem/24889204.html", "https://lodz.nieruchomosci-online.pl/mieszkanie,z-kuchnia-z-oknem/24889204.html")</f>
        <v/>
      </c>
      <c r="F687" t="inlineStr">
        <is>
          <t>.</t>
        </is>
      </c>
      <c r="G687" t="inlineStr">
        <is>
          <t>Bałuty</t>
        </is>
      </c>
      <c r="H687" t="inlineStr">
        <is>
          <t>Bałuty blisko centrum</t>
        </is>
      </c>
      <c r="I687" t="inlineStr">
        <is>
          <t>TAK</t>
        </is>
      </c>
      <c r="J687" t="inlineStr">
        <is>
          <t>NIE</t>
        </is>
      </c>
      <c r="K687" t="n">
        <v>602459354</v>
      </c>
      <c r="L687" t="n">
        <v>240000</v>
      </c>
      <c r="M687" t="n">
        <v>7677.543186180422</v>
      </c>
      <c r="N687" t="n">
        <v>31.26</v>
      </c>
      <c r="O687" t="inlineStr">
        <is>
          <t>1+k</t>
        </is>
      </c>
      <c r="P687" t="n">
        <v>2</v>
      </c>
      <c r="Q687" t="inlineStr">
        <is>
          <t>Nie da się zamieszkać</t>
        </is>
      </c>
    </row>
    <row r="688">
      <c r="A688" t="n">
        <v>687</v>
      </c>
      <c r="B688" s="3" t="n">
        <v>45510</v>
      </c>
      <c r="C688" s="3" t="n">
        <v>45532</v>
      </c>
      <c r="D688" t="inlineStr">
        <is>
          <t>https://nieruchomosci.gratka.pl/nieruchomosci/mieszkanie-lodz-widzew/ob/36345867</t>
        </is>
      </c>
      <c r="E688">
        <f>HYPERLINK("https://nieruchomosci.gratka.pl/nieruchomosci/mieszkanie-lodz-widzew/ob/36345867", "https://nieruchomosci.gratka.pl/nieruchomosci/mieszkanie-lodz-widzew/ob/36345867")</f>
        <v/>
      </c>
      <c r="F688" t="inlineStr">
        <is>
          <t>tatrzańska</t>
        </is>
      </c>
      <c r="G688" t="inlineStr">
        <is>
          <t>Dąbrowa</t>
        </is>
      </c>
      <c r="H688" t="inlineStr">
        <is>
          <t>Dąbrowa</t>
        </is>
      </c>
      <c r="I688" t="inlineStr">
        <is>
          <t>TAK</t>
        </is>
      </c>
      <c r="J688" t="inlineStr">
        <is>
          <t>TAK</t>
        </is>
      </c>
      <c r="K688" t="n">
        <v>500189458</v>
      </c>
      <c r="L688" t="n">
        <v>212000</v>
      </c>
      <c r="M688" t="n">
        <v>7571.428571428572</v>
      </c>
      <c r="N688" t="n">
        <v>28</v>
      </c>
      <c r="O688" t="inlineStr">
        <is>
          <t>1+k</t>
        </is>
      </c>
      <c r="P688" t="n">
        <v>3</v>
      </c>
      <c r="Q688" t="inlineStr">
        <is>
          <t>Nie da się zamieszkać</t>
        </is>
      </c>
    </row>
    <row r="689">
      <c r="A689" t="n">
        <v>688</v>
      </c>
      <c r="B689" s="3" t="n">
        <v>45510</v>
      </c>
      <c r="D689" t="inlineStr">
        <is>
          <t>https://www.otodom.pl/pl/oferta/m3-w-dzielnicy-baluty-zielona-okolica-ID4rUdA.html</t>
        </is>
      </c>
      <c r="E689">
        <f>HYPERLINK("https://www.otodom.pl/pl/oferta/m3-w-dzielnicy-baluty-zielona-okolica-ID4rUdA.html", "https://www.otodom.pl/pl/oferta/m3-w-dzielnicy-baluty-zielona-okolica-ID4rUdA.html")</f>
        <v/>
      </c>
      <c r="F689" t="inlineStr">
        <is>
          <t>mokra</t>
        </is>
      </c>
      <c r="G689" t="inlineStr">
        <is>
          <t>Bałuty</t>
        </is>
      </c>
      <c r="H689" t="inlineStr">
        <is>
          <t>Bałuty blisko centrum</t>
        </is>
      </c>
      <c r="I689" t="inlineStr">
        <is>
          <t>NIE</t>
        </is>
      </c>
      <c r="J689" t="inlineStr">
        <is>
          <t>TAK</t>
        </is>
      </c>
      <c r="K689" t="n">
        <v>733088878</v>
      </c>
      <c r="L689" t="n">
        <v>318000</v>
      </c>
      <c r="M689" t="n">
        <v>6880.138468195587</v>
      </c>
      <c r="N689" t="n">
        <v>46.22</v>
      </c>
      <c r="O689" t="inlineStr">
        <is>
          <t>2+k</t>
        </is>
      </c>
      <c r="P689" t="n">
        <v>1</v>
      </c>
      <c r="Q689" t="inlineStr">
        <is>
          <t>Nie da się zamieszkać</t>
        </is>
      </c>
      <c r="R689" t="inlineStr">
        <is>
          <t>22.08 było 330k</t>
        </is>
      </c>
    </row>
    <row r="690">
      <c r="A690" t="n">
        <v>689</v>
      </c>
      <c r="B690" s="3" t="n">
        <v>45510</v>
      </c>
      <c r="D690" t="inlineStr">
        <is>
          <t>https://www.otodom.pl/pl/oferta/miedz-metr-i-manufaktura-ID4rUcz.html</t>
        </is>
      </c>
      <c r="E690">
        <f>HYPERLINK("https://www.otodom.pl/pl/oferta/miedz-metr-i-manufaktura-ID4rUcz.html", "https://www.otodom.pl/pl/oferta/miedz-metr-i-manufaktura-ID4rUcz.html")</f>
        <v/>
      </c>
      <c r="F690" t="inlineStr">
        <is>
          <t xml:space="preserve">żubardź </t>
        </is>
      </c>
      <c r="G690" t="inlineStr">
        <is>
          <t>Polesie</t>
        </is>
      </c>
      <c r="H690" t="inlineStr">
        <is>
          <t>Polesie</t>
        </is>
      </c>
      <c r="I690" t="inlineStr">
        <is>
          <t>NIE</t>
        </is>
      </c>
      <c r="J690" t="inlineStr">
        <is>
          <t>TAK</t>
        </is>
      </c>
      <c r="K690" t="n">
        <v>503891520</v>
      </c>
      <c r="L690" t="n">
        <v>247000</v>
      </c>
      <c r="M690" t="n">
        <v>7600</v>
      </c>
      <c r="N690" t="n">
        <v>32.5</v>
      </c>
      <c r="O690" t="inlineStr">
        <is>
          <t>1+k</t>
        </is>
      </c>
      <c r="P690" t="n">
        <v>0</v>
      </c>
      <c r="Q690" t="inlineStr">
        <is>
          <t>Nie da się zamieszkać</t>
        </is>
      </c>
    </row>
    <row r="691">
      <c r="A691" t="n">
        <v>690</v>
      </c>
      <c r="B691" s="3" t="n">
        <v>45510</v>
      </c>
      <c r="C691" s="3" t="n">
        <v>45532</v>
      </c>
      <c r="D691" t="inlineStr">
        <is>
          <t>https://www.otodom.pl/pl/oferta/m3-m4-z-dwoma-balkonami-obok-makro-ID4pNnx.html</t>
        </is>
      </c>
      <c r="E691">
        <f>HYPERLINK("https://www.otodom.pl/pl/oferta/m3-m4-z-dwoma-balkonami-obok-makro-ID4pNnx.html", "https://www.otodom.pl/pl/oferta/m3-m4-z-dwoma-balkonami-obok-makro-ID4pNnx.html")</f>
        <v/>
      </c>
      <c r="F691" t="inlineStr">
        <is>
          <t>srebrzyńska</t>
        </is>
      </c>
      <c r="G691" t="inlineStr">
        <is>
          <t>Polesie</t>
        </is>
      </c>
      <c r="H691" t="inlineStr">
        <is>
          <t>Polesie</t>
        </is>
      </c>
      <c r="I691" t="inlineStr">
        <is>
          <t>TAK</t>
        </is>
      </c>
      <c r="J691" t="inlineStr">
        <is>
          <t>TAK</t>
        </is>
      </c>
      <c r="K691" t="n">
        <v>510266546</v>
      </c>
      <c r="L691" t="n">
        <v>370000</v>
      </c>
      <c r="M691" t="n">
        <v>6851.851851851852</v>
      </c>
      <c r="N691" t="n">
        <v>54</v>
      </c>
      <c r="O691" t="inlineStr">
        <is>
          <t>2+k</t>
        </is>
      </c>
      <c r="P691" t="n">
        <v>1</v>
      </c>
      <c r="Q691" t="inlineStr">
        <is>
          <t>Nie da się zamieszkać</t>
        </is>
      </c>
    </row>
    <row r="692">
      <c r="A692" t="n">
        <v>691</v>
      </c>
      <c r="B692" s="3" t="n">
        <v>45510</v>
      </c>
      <c r="C692" s="3" t="n">
        <v>45532</v>
      </c>
      <c r="D692" t="inlineStr">
        <is>
          <t>https://www.otodom.pl/pl/oferta/mieszkanie-m4-3-pokoje-dabrowa-do-remontu-ID4rUmn.html</t>
        </is>
      </c>
      <c r="E692">
        <f>HYPERLINK("https://www.otodom.pl/pl/oferta/mieszkanie-m4-3-pokoje-dabrowa-do-remontu-ID4rUmn.html", "https://www.otodom.pl/pl/oferta/mieszkanie-m4-3-pokoje-dabrowa-do-remontu-ID4rUmn.html")</f>
        <v/>
      </c>
      <c r="F692" t="inlineStr">
        <is>
          <t>Konspiracyjnego Wojska Polskiego</t>
        </is>
      </c>
      <c r="G692" t="inlineStr">
        <is>
          <t>Dąbrowa</t>
        </is>
      </c>
      <c r="H692" t="inlineStr">
        <is>
          <t>Dąbrowa</t>
        </is>
      </c>
      <c r="I692" t="inlineStr">
        <is>
          <t>TAK</t>
        </is>
      </c>
      <c r="J692" t="inlineStr">
        <is>
          <t>TAK</t>
        </is>
      </c>
      <c r="K692" t="n">
        <v>505500878</v>
      </c>
      <c r="L692" t="n">
        <v>329000</v>
      </c>
      <c r="M692" t="n">
        <v>6783.505154639175</v>
      </c>
      <c r="N692" t="n">
        <v>48.5</v>
      </c>
      <c r="O692" t="inlineStr">
        <is>
          <t>3+k</t>
        </is>
      </c>
      <c r="P692" t="n">
        <v>7</v>
      </c>
      <c r="Q692" t="inlineStr">
        <is>
          <t>Puste posprzątane</t>
        </is>
      </c>
    </row>
    <row r="693">
      <c r="A693" t="n">
        <v>692</v>
      </c>
      <c r="B693" s="3" t="n">
        <v>45510</v>
      </c>
      <c r="C693" s="3" t="n">
        <v>45510</v>
      </c>
      <c r="D693" t="inlineStr">
        <is>
          <t>https://www.otodom.pl/pl/oferta/piekny-widok-i-super-lokalizacja-prawdziwa-okazja-ID4rUmV</t>
        </is>
      </c>
      <c r="E693">
        <f>HYPERLINK("https://www.otodom.pl/pl/oferta/piekny-widok-i-super-lokalizacja-prawdziwa-okazja-ID4rUmV", "https://www.otodom.pl/pl/oferta/piekny-widok-i-super-lokalizacja-prawdziwa-okazja-ID4rUmV")</f>
        <v/>
      </c>
      <c r="F693" t="inlineStr">
        <is>
          <t>wyszyńskiego</t>
        </is>
      </c>
      <c r="G693" t="inlineStr">
        <is>
          <t>Retkinia</t>
        </is>
      </c>
      <c r="H693" t="inlineStr">
        <is>
          <t>Retkinia</t>
        </is>
      </c>
      <c r="I693" t="inlineStr">
        <is>
          <t>TAK</t>
        </is>
      </c>
      <c r="J693" t="inlineStr">
        <is>
          <t>NIE</t>
        </is>
      </c>
      <c r="K693" t="n">
        <v>607818411</v>
      </c>
      <c r="L693" t="n">
        <v>425000</v>
      </c>
      <c r="M693" t="n">
        <v>7589.285714285715</v>
      </c>
      <c r="N693" t="n">
        <v>56</v>
      </c>
      <c r="O693" t="inlineStr">
        <is>
          <t>3+k</t>
        </is>
      </c>
      <c r="P693" t="n">
        <v>7</v>
      </c>
      <c r="Q693" t="inlineStr">
        <is>
          <t>Nie da się zamieszkać</t>
        </is>
      </c>
      <c r="R693" t="inlineStr">
        <is>
          <t>22.08 było 440k</t>
        </is>
      </c>
    </row>
    <row r="694">
      <c r="A694" t="n">
        <v>693</v>
      </c>
      <c r="B694" s="3" t="n">
        <v>45510</v>
      </c>
      <c r="C694" s="3" t="n">
        <v>45522</v>
      </c>
      <c r="D694" t="inlineStr">
        <is>
          <t>https://www.olx.pl/d/oferta/m3-gorniak-1-pietro-CID3-ID10t8kK.html?isPreviewActive=0&amp;sliderIndex=2</t>
        </is>
      </c>
      <c r="E694">
        <f>HYPERLINK("https://www.olx.pl/d/oferta/m3-gorniak-1-pietro-CID3-ID10t8kK.html?isPreviewActive=0&amp;sliderIndex=2", "https://www.olx.pl/d/oferta/m3-gorniak-1-pietro-CID3-ID10t8kK.html?isPreviewActive=0&amp;sliderIndex=2")</f>
        <v/>
      </c>
      <c r="F694" t="inlineStr">
        <is>
          <t>milionowa</t>
        </is>
      </c>
      <c r="G694" t="inlineStr">
        <is>
          <t>Górna</t>
        </is>
      </c>
      <c r="H694" t="inlineStr">
        <is>
          <t>Górna</t>
        </is>
      </c>
      <c r="I694" t="inlineStr">
        <is>
          <t>TAK</t>
        </is>
      </c>
      <c r="J694" t="inlineStr">
        <is>
          <t>TAK</t>
        </is>
      </c>
      <c r="K694" t="n">
        <v>797542793</v>
      </c>
      <c r="L694" t="n">
        <v>319000</v>
      </c>
      <c r="M694" t="n">
        <v>6645.833333333333</v>
      </c>
      <c r="N694" t="n">
        <v>48</v>
      </c>
      <c r="O694" t="inlineStr">
        <is>
          <t>2+k</t>
        </is>
      </c>
      <c r="P694" t="n">
        <v>1</v>
      </c>
      <c r="Q694" t="inlineStr">
        <is>
          <t>Nie da się zamieszkać</t>
        </is>
      </c>
    </row>
    <row r="695">
      <c r="A695" t="n">
        <v>694</v>
      </c>
      <c r="B695" s="3" t="n">
        <v>45510</v>
      </c>
      <c r="C695" s="3" t="n">
        <v>45522</v>
      </c>
      <c r="D695" t="inlineStr">
        <is>
          <t>https://www.olx.pl/d/oferta/m-2-retkinska-kolo-mcdonalda-230tys-CID3-ID11m0Q1.html?isPreviewActive=0&amp;sliderIndex=0</t>
        </is>
      </c>
      <c r="E695">
        <f>HYPERLINK("https://www.olx.pl/d/oferta/m-2-retkinska-kolo-mcdonalda-230tys-CID3-ID11m0Q1.html?isPreviewActive=0&amp;sliderIndex=0", "https://www.olx.pl/d/oferta/m-2-retkinska-kolo-mcdonalda-230tys-CID3-ID11m0Q1.html?isPreviewActive=0&amp;sliderIndex=0")</f>
        <v/>
      </c>
      <c r="F695" t="inlineStr">
        <is>
          <t>retkińska</t>
        </is>
      </c>
      <c r="G695" t="inlineStr">
        <is>
          <t>Retkinia</t>
        </is>
      </c>
      <c r="H695" t="inlineStr">
        <is>
          <t>Retkinia</t>
        </is>
      </c>
      <c r="I695" t="inlineStr">
        <is>
          <t>TAK</t>
        </is>
      </c>
      <c r="J695" t="inlineStr">
        <is>
          <t>NIE</t>
        </is>
      </c>
      <c r="K695" t="n">
        <v>607137367</v>
      </c>
      <c r="L695" t="n">
        <v>230000</v>
      </c>
      <c r="M695" t="n">
        <v>7419.354838709677</v>
      </c>
      <c r="N695" t="n">
        <v>31</v>
      </c>
      <c r="O695" t="inlineStr">
        <is>
          <t>1+k</t>
        </is>
      </c>
      <c r="P695" t="n">
        <v>0</v>
      </c>
      <c r="Q695" t="inlineStr">
        <is>
          <t>Nie da się zamieszkać</t>
        </is>
      </c>
    </row>
    <row r="696">
      <c r="A696" t="n">
        <v>695</v>
      </c>
      <c r="B696" s="3" t="n">
        <v>45511</v>
      </c>
      <c r="C696" s="3" t="n">
        <v>45510</v>
      </c>
      <c r="D696" t="inlineStr">
        <is>
          <t>https://www.olx.pl/d/oferta/sprzedam-kawalerke-w-lodzi-CID3-ID11m1Pe.html</t>
        </is>
      </c>
      <c r="E696">
        <f>HYPERLINK("https://www.olx.pl/d/oferta/sprzedam-kawalerke-w-lodzi-CID3-ID11m1Pe.html", "https://www.olx.pl/d/oferta/sprzedam-kawalerke-w-lodzi-CID3-ID11m1Pe.html")</f>
        <v/>
      </c>
      <c r="F696" t="inlineStr">
        <is>
          <t>tatrzańska</t>
        </is>
      </c>
      <c r="G696" t="inlineStr">
        <is>
          <t>Dąbrowa</t>
        </is>
      </c>
      <c r="H696" t="inlineStr">
        <is>
          <t>Dąbrowa</t>
        </is>
      </c>
      <c r="I696" t="inlineStr">
        <is>
          <t>TAK</t>
        </is>
      </c>
      <c r="J696" t="inlineStr">
        <is>
          <t>NIE</t>
        </is>
      </c>
      <c r="K696" t="n">
        <v>885476657</v>
      </c>
      <c r="L696" t="n">
        <v>215000</v>
      </c>
      <c r="M696" t="n">
        <v>7522.743177046887</v>
      </c>
      <c r="N696" t="n">
        <v>28.58</v>
      </c>
      <c r="O696" t="inlineStr">
        <is>
          <t>1+k</t>
        </is>
      </c>
      <c r="P696" t="n">
        <v>4</v>
      </c>
      <c r="Q696" t="inlineStr">
        <is>
          <t>Nie da się zamieszkać</t>
        </is>
      </c>
    </row>
    <row r="697">
      <c r="A697" t="n">
        <v>696</v>
      </c>
      <c r="B697" s="3" t="n">
        <v>45511</v>
      </c>
      <c r="C697" s="3" t="n">
        <v>45548</v>
      </c>
      <c r="D697" t="inlineStr">
        <is>
          <t>https://www.otodom.pl/pl/oferta/2-pokoje-ul-wierzbowa-1-metraz-46-56-m-kw-ID4rUHo</t>
        </is>
      </c>
      <c r="E697">
        <f>HYPERLINK("https://www.otodom.pl/pl/oferta/2-pokoje-ul-wierzbowa-1-metraz-46-56-m-kw-ID4rUHo", "https://www.otodom.pl/pl/oferta/2-pokoje-ul-wierzbowa-1-metraz-46-56-m-kw-ID4rUHo")</f>
        <v/>
      </c>
      <c r="F697" t="inlineStr">
        <is>
          <t>wierzbowa</t>
        </is>
      </c>
      <c r="G697" t="inlineStr">
        <is>
          <t>Śródmieście</t>
        </is>
      </c>
      <c r="H697" t="inlineStr">
        <is>
          <t>Śródmieście</t>
        </is>
      </c>
      <c r="I697" t="inlineStr">
        <is>
          <t>TAK</t>
        </is>
      </c>
      <c r="J697" t="inlineStr">
        <is>
          <t>TAK</t>
        </is>
      </c>
      <c r="K697" t="n">
        <v>732850190</v>
      </c>
      <c r="L697" t="n">
        <v>319000</v>
      </c>
      <c r="M697" t="n">
        <v>6851.374570446735</v>
      </c>
      <c r="N697" t="n">
        <v>46.56</v>
      </c>
      <c r="O697" t="inlineStr">
        <is>
          <t>2+k</t>
        </is>
      </c>
      <c r="P697" t="n">
        <v>1</v>
      </c>
      <c r="Q697" t="inlineStr">
        <is>
          <t>Nie da się zamieszkać</t>
        </is>
      </c>
      <c r="R697" t="inlineStr">
        <is>
          <t>11.09 rzucona kwota 290k, umówieni na sobotę 11:40, Wierzbowa 1</t>
        </is>
      </c>
    </row>
    <row r="698">
      <c r="A698" t="n">
        <v>697</v>
      </c>
      <c r="B698" s="3" t="n">
        <v>45511</v>
      </c>
      <c r="D698" t="inlineStr">
        <is>
          <t>https://www.otodom.pl/pl/oferta/2-pokoje-z-widokiem-na-park-podolski-ID4qJCH.html</t>
        </is>
      </c>
      <c r="E698">
        <f>HYPERLINK("https://www.otodom.pl/pl/oferta/2-pokoje-z-widokiem-na-park-podolski-ID4qJCH.html", "https://www.otodom.pl/pl/oferta/2-pokoje-z-widokiem-na-park-podolski-ID4qJCH.html")</f>
        <v/>
      </c>
      <c r="F698" t="inlineStr">
        <is>
          <t>strzemińskiego</t>
        </is>
      </c>
      <c r="G698" t="inlineStr">
        <is>
          <t>Widzew</t>
        </is>
      </c>
      <c r="H698" t="inlineStr">
        <is>
          <t>Widzew blisko centrum</t>
        </is>
      </c>
      <c r="I698" t="inlineStr">
        <is>
          <t>NIE</t>
        </is>
      </c>
      <c r="J698" t="inlineStr">
        <is>
          <t>TAK</t>
        </is>
      </c>
      <c r="K698" t="n">
        <v>570888955</v>
      </c>
      <c r="L698" t="n">
        <v>279000</v>
      </c>
      <c r="M698" t="n">
        <v>7440</v>
      </c>
      <c r="N698" t="n">
        <v>37.5</v>
      </c>
      <c r="O698" t="inlineStr">
        <is>
          <t>2+k</t>
        </is>
      </c>
      <c r="P698" t="n">
        <v>0</v>
      </c>
      <c r="Q698" t="inlineStr">
        <is>
          <t>Puste posprzątane</t>
        </is>
      </c>
      <c r="R698" t="inlineStr">
        <is>
          <t>to nie dubel</t>
        </is>
      </c>
      <c r="T698" t="inlineStr">
        <is>
          <t>208</t>
        </is>
      </c>
    </row>
    <row r="699">
      <c r="A699" t="n">
        <v>698</v>
      </c>
      <c r="B699" s="3" t="n">
        <v>45511</v>
      </c>
      <c r="D699" t="inlineStr">
        <is>
          <t>https://www.otodom.pl/pl/oferta/m-4-54m2-czerwony-rynek-ID4rW2y</t>
        </is>
      </c>
      <c r="E699">
        <f>HYPERLINK("https://www.otodom.pl/pl/oferta/m-4-54m2-czerwony-rynek-ID4rW2y", "https://www.otodom.pl/pl/oferta/m-4-54m2-czerwony-rynek-ID4rW2y")</f>
        <v/>
      </c>
      <c r="F699" t="inlineStr">
        <is>
          <t>niemcewicza</t>
        </is>
      </c>
      <c r="G699" t="inlineStr">
        <is>
          <t>Górna</t>
        </is>
      </c>
      <c r="H699" t="inlineStr">
        <is>
          <t>Górna</t>
        </is>
      </c>
      <c r="I699" t="inlineStr">
        <is>
          <t>NIE</t>
        </is>
      </c>
      <c r="J699" t="inlineStr">
        <is>
          <t>TAK</t>
        </is>
      </c>
      <c r="K699" t="n">
        <v>506668062</v>
      </c>
      <c r="L699" t="n">
        <v>349000</v>
      </c>
      <c r="M699" t="n">
        <v>6480.965645311049</v>
      </c>
      <c r="N699" t="n">
        <v>53.85</v>
      </c>
      <c r="O699" t="inlineStr">
        <is>
          <t>3+k</t>
        </is>
      </c>
      <c r="P699" t="n">
        <v>4</v>
      </c>
      <c r="Q699" t="inlineStr">
        <is>
          <t>Nie da się zamieszkać</t>
        </is>
      </c>
      <c r="R699" t="inlineStr">
        <is>
          <t>05.09 było 353k</t>
        </is>
      </c>
    </row>
    <row r="700">
      <c r="A700" t="n">
        <v>699</v>
      </c>
      <c r="B700" s="3" t="n">
        <v>45511</v>
      </c>
      <c r="D700" t="inlineStr">
        <is>
          <t>https://www.olx.pl/d/oferta/m3-rozklad-przy-parku-podolskim-CID3-ID11mgN0.html</t>
        </is>
      </c>
      <c r="E700">
        <f>HYPERLINK("https://www.olx.pl/d/oferta/m3-rozklad-przy-parku-podolskim-CID3-ID11mgN0.html", "https://www.olx.pl/d/oferta/m3-rozklad-przy-parku-podolskim-CID3-ID11mgN0.html")</f>
        <v/>
      </c>
      <c r="F700" t="inlineStr">
        <is>
          <t>tyrmanda</t>
        </is>
      </c>
      <c r="G700" t="inlineStr">
        <is>
          <t>Dąbrowa</t>
        </is>
      </c>
      <c r="H700" t="inlineStr">
        <is>
          <t>Dąbrowa</t>
        </is>
      </c>
      <c r="I700" t="inlineStr">
        <is>
          <t>NIE</t>
        </is>
      </c>
      <c r="J700" t="inlineStr">
        <is>
          <t>TAK</t>
        </is>
      </c>
      <c r="K700" t="n">
        <v>570888955</v>
      </c>
      <c r="L700" t="n">
        <v>300000</v>
      </c>
      <c r="M700" t="n">
        <v>6521.739130434783</v>
      </c>
      <c r="N700" t="n">
        <v>46</v>
      </c>
      <c r="O700" t="inlineStr">
        <is>
          <t>2+k</t>
        </is>
      </c>
      <c r="P700" t="n">
        <v>3</v>
      </c>
      <c r="Q700" t="inlineStr">
        <is>
          <t>Nie da się zamieszkać</t>
        </is>
      </c>
      <c r="R700" t="inlineStr">
        <is>
          <t>11.09 poszło za 300k, na Józefa coś ma na Widzewie 6,3k</t>
        </is>
      </c>
    </row>
    <row r="701">
      <c r="A701" t="n">
        <v>700</v>
      </c>
      <c r="B701" s="3" t="n">
        <v>45511</v>
      </c>
      <c r="D701" t="inlineStr">
        <is>
          <t>https://www.olx.pl/d/oferta/m3-w-dzielnicy-baluty-zielona-okolica-CID3-ID11mgOW.html</t>
        </is>
      </c>
      <c r="E701">
        <f>HYPERLINK("https://www.olx.pl/d/oferta/m3-w-dzielnicy-baluty-zielona-okolica-CID3-ID11mgOW.html", "https://www.olx.pl/d/oferta/m3-w-dzielnicy-baluty-zielona-okolica-CID3-ID11mgOW.html")</f>
        <v/>
      </c>
      <c r="F701" t="inlineStr">
        <is>
          <t>.</t>
        </is>
      </c>
      <c r="G701" t="inlineStr">
        <is>
          <t>Bałuty</t>
        </is>
      </c>
      <c r="H701" t="inlineStr">
        <is>
          <t>Bałuty</t>
        </is>
      </c>
      <c r="I701" t="inlineStr">
        <is>
          <t>NIE</t>
        </is>
      </c>
      <c r="J701" t="inlineStr">
        <is>
          <t>TAK</t>
        </is>
      </c>
      <c r="K701" t="n">
        <v>733088878</v>
      </c>
      <c r="L701" t="n">
        <v>330000</v>
      </c>
      <c r="M701" t="n">
        <v>7139.766334919948</v>
      </c>
      <c r="N701" t="n">
        <v>46.22</v>
      </c>
      <c r="O701" t="inlineStr">
        <is>
          <t>2+k</t>
        </is>
      </c>
      <c r="P701" t="n">
        <v>1</v>
      </c>
      <c r="Q701" t="inlineStr">
        <is>
          <t>Nie da się zamieszkać</t>
        </is>
      </c>
    </row>
    <row r="702">
      <c r="A702" t="n">
        <v>701</v>
      </c>
      <c r="B702" s="3" t="n">
        <v>45511</v>
      </c>
      <c r="C702" s="3" t="n">
        <v>45532</v>
      </c>
      <c r="D702" t="inlineStr">
        <is>
          <t>https://nieruchomosci.gratka.pl/nieruchomosci/mieszkanie-lodz-gorna-ok-pryncypalnej/ob/36365463</t>
        </is>
      </c>
      <c r="E702">
        <f>HYPERLINK("https://nieruchomosci.gratka.pl/nieruchomosci/mieszkanie-lodz-gorna-ok-pryncypalnej/ob/36365463", "https://nieruchomosci.gratka.pl/nieruchomosci/mieszkanie-lodz-gorna-ok-pryncypalnej/ob/36365463")</f>
        <v/>
      </c>
      <c r="F702" t="inlineStr">
        <is>
          <t>pryncypalna</t>
        </is>
      </c>
      <c r="G702" t="inlineStr">
        <is>
          <t>Górna</t>
        </is>
      </c>
      <c r="H702" t="inlineStr">
        <is>
          <t>Daleka górna</t>
        </is>
      </c>
      <c r="I702" t="inlineStr">
        <is>
          <t>TAK</t>
        </is>
      </c>
      <c r="J702" t="inlineStr">
        <is>
          <t>TAK</t>
        </is>
      </c>
      <c r="K702" t="n">
        <v>605244884</v>
      </c>
      <c r="L702" t="n">
        <v>349000</v>
      </c>
      <c r="M702" t="n">
        <v>6828.40931324594</v>
      </c>
      <c r="N702" t="n">
        <v>51.11</v>
      </c>
      <c r="O702" t="inlineStr">
        <is>
          <t>2+k</t>
        </is>
      </c>
      <c r="P702" t="n">
        <v>2</v>
      </c>
      <c r="Q702" t="inlineStr">
        <is>
          <t>Nie da się zamieszkać</t>
        </is>
      </c>
      <c r="R702" t="inlineStr">
        <is>
          <t>nie odbiera pośredniczka</t>
        </is>
      </c>
    </row>
    <row r="703">
      <c r="A703" t="n">
        <v>702</v>
      </c>
      <c r="B703" s="3" t="n">
        <v>45511</v>
      </c>
      <c r="D703" t="inlineStr">
        <is>
          <t>https://www.otodom.pl/pl/oferta/mieszkanie-kawalerka-ID4rWoY</t>
        </is>
      </c>
      <c r="E703">
        <f>HYPERLINK("https://www.otodom.pl/pl/oferta/mieszkanie-kawalerka-ID4rWoY", "https://www.otodom.pl/pl/oferta/mieszkanie-kawalerka-ID4rWoY")</f>
        <v/>
      </c>
      <c r="F703" t="inlineStr">
        <is>
          <t>mazurska</t>
        </is>
      </c>
      <c r="G703" t="inlineStr">
        <is>
          <t>Górna</t>
        </is>
      </c>
      <c r="H703" t="inlineStr">
        <is>
          <t>Górna</t>
        </is>
      </c>
      <c r="I703" t="inlineStr">
        <is>
          <t>NIE</t>
        </is>
      </c>
      <c r="J703" t="inlineStr">
        <is>
          <t>NIE</t>
        </is>
      </c>
      <c r="K703" t="n">
        <v>607175224</v>
      </c>
      <c r="L703" t="n">
        <v>235000</v>
      </c>
      <c r="M703" t="n">
        <v>7065.544197233915</v>
      </c>
      <c r="N703" t="n">
        <v>33.26</v>
      </c>
      <c r="O703" t="inlineStr">
        <is>
          <t>1+k</t>
        </is>
      </c>
      <c r="P703" t="n">
        <v>8</v>
      </c>
      <c r="Q703" t="inlineStr">
        <is>
          <t>Nie da się zamieszkać</t>
        </is>
      </c>
      <c r="R703" t="inlineStr">
        <is>
          <t>09.09 było 240k</t>
        </is>
      </c>
    </row>
    <row r="704">
      <c r="A704" t="n">
        <v>703</v>
      </c>
      <c r="B704" s="3" t="n">
        <v>45511</v>
      </c>
      <c r="C704" s="3" t="n">
        <v>45532</v>
      </c>
      <c r="D704" t="inlineStr">
        <is>
          <t>https://www.olx.pl/d/oferta/mieszkanie-lodz-CID3-ID11mE6Y.html?isPreviewActive=0&amp;sliderIndex=0</t>
        </is>
      </c>
      <c r="E704">
        <f>HYPERLINK("https://www.olx.pl/d/oferta/mieszkanie-lodz-CID3-ID11mE6Y.html?isPreviewActive=0&amp;sliderIndex=0", "https://www.olx.pl/d/oferta/mieszkanie-lodz-CID3-ID11mE6Y.html?isPreviewActive=0&amp;sliderIndex=0")</f>
        <v/>
      </c>
      <c r="F704" t="inlineStr">
        <is>
          <t>.</t>
        </is>
      </c>
      <c r="G704" t="inlineStr">
        <is>
          <t>Widzew</t>
        </is>
      </c>
      <c r="H704" t="inlineStr">
        <is>
          <t>Widzew blisko centrum</t>
        </is>
      </c>
      <c r="I704" t="inlineStr">
        <is>
          <t>TAK</t>
        </is>
      </c>
      <c r="J704" t="inlineStr">
        <is>
          <t>TAK</t>
        </is>
      </c>
      <c r="K704" t="n">
        <v>534994804</v>
      </c>
      <c r="L704" t="n">
        <v>355000</v>
      </c>
      <c r="M704" t="n">
        <v>7395.833333333333</v>
      </c>
      <c r="N704" t="n">
        <v>48</v>
      </c>
      <c r="O704" t="inlineStr">
        <is>
          <t>2+k</t>
        </is>
      </c>
      <c r="P704" t="n">
        <v>10</v>
      </c>
      <c r="Q704" t="inlineStr">
        <is>
          <t>Nie da się zamieszkać</t>
        </is>
      </c>
      <c r="R704" t="inlineStr">
        <is>
          <t xml:space="preserve">brak zdjec, sensownego opisu. </t>
        </is>
      </c>
    </row>
    <row r="705">
      <c r="A705" t="n">
        <v>704</v>
      </c>
      <c r="B705" s="3" t="n">
        <v>45512</v>
      </c>
      <c r="C705" s="3" t="n">
        <v>45510</v>
      </c>
      <c r="D705" t="inlineStr">
        <is>
          <t>https://www.krn.pl/oferta/mieszkanie-42-42m2-lodz,28667023</t>
        </is>
      </c>
      <c r="E705">
        <f>HYPERLINK("https://www.krn.pl/oferta/mieszkanie-42-42m2-lodz,28667023", "https://www.krn.pl/oferta/mieszkanie-42-42m2-lodz,28667023")</f>
        <v/>
      </c>
      <c r="F705" t="inlineStr">
        <is>
          <t>babickiego</t>
        </is>
      </c>
      <c r="G705" t="inlineStr">
        <is>
          <t>Retkinia</t>
        </is>
      </c>
      <c r="H705" t="inlineStr">
        <is>
          <t>Retkinia</t>
        </is>
      </c>
      <c r="I705" t="inlineStr">
        <is>
          <t>TAK</t>
        </is>
      </c>
      <c r="J705" t="inlineStr">
        <is>
          <t>TAK</t>
        </is>
      </c>
      <c r="K705" t="n">
        <v>690480704</v>
      </c>
      <c r="L705" t="n">
        <v>320000</v>
      </c>
      <c r="M705" t="n">
        <v>7543.611504007543</v>
      </c>
      <c r="N705" t="n">
        <v>42.42</v>
      </c>
      <c r="O705" t="inlineStr">
        <is>
          <t>2+k</t>
        </is>
      </c>
      <c r="P705" t="n">
        <v>3</v>
      </c>
      <c r="Q705" t="inlineStr">
        <is>
          <t>Puste posprzątane</t>
        </is>
      </c>
    </row>
    <row r="706">
      <c r="A706" t="n">
        <v>705</v>
      </c>
      <c r="B706" s="3" t="n">
        <v>45512</v>
      </c>
      <c r="C706" s="3" t="n">
        <v>45522</v>
      </c>
      <c r="D706" t="inlineStr">
        <is>
          <t>https://adresowo.pl/o/s7q5d4</t>
        </is>
      </c>
      <c r="E706">
        <f>HYPERLINK("https://adresowo.pl/o/s7q5d4", "https://adresowo.pl/o/s7q5d4")</f>
        <v/>
      </c>
      <c r="F706" t="inlineStr">
        <is>
          <t>paderewskiego</t>
        </is>
      </c>
      <c r="G706" t="inlineStr">
        <is>
          <t>Górna</t>
        </is>
      </c>
      <c r="H706" t="inlineStr">
        <is>
          <t>Górna</t>
        </is>
      </c>
      <c r="I706" t="inlineStr">
        <is>
          <t>TAK</t>
        </is>
      </c>
      <c r="J706" t="inlineStr">
        <is>
          <t>NIE</t>
        </is>
      </c>
      <c r="L706" t="n">
        <v>192000</v>
      </c>
      <c r="M706" t="n">
        <v>6981.818181818182</v>
      </c>
      <c r="N706" t="n">
        <v>27.5</v>
      </c>
      <c r="O706" t="inlineStr">
        <is>
          <t>1+k</t>
        </is>
      </c>
      <c r="P706" t="n">
        <v>0</v>
      </c>
      <c r="Q706" t="inlineStr">
        <is>
          <t>Nie da się zamieszkać</t>
        </is>
      </c>
    </row>
    <row r="707">
      <c r="A707" t="n">
        <v>706</v>
      </c>
      <c r="B707" s="3" t="n">
        <v>45512</v>
      </c>
      <c r="C707" s="3" t="n">
        <v>45548</v>
      </c>
      <c r="D707" t="inlineStr">
        <is>
          <t>https://www.otodom.pl/pl/oferta/sprzedam-mieszkanie-do-remontu-tanio-ID4rWOt.html</t>
        </is>
      </c>
      <c r="E707">
        <f>HYPERLINK("https://www.otodom.pl/pl/oferta/sprzedam-mieszkanie-do-remontu-tanio-ID4rWOt.html", "https://www.otodom.pl/pl/oferta/sprzedam-mieszkanie-do-remontu-tanio-ID4rWOt.html")</f>
        <v/>
      </c>
      <c r="F707" t="inlineStr">
        <is>
          <t>.</t>
        </is>
      </c>
      <c r="G707" t="inlineStr">
        <is>
          <t>Teofilów</t>
        </is>
      </c>
      <c r="H707" t="inlineStr">
        <is>
          <t>Teofilów</t>
        </is>
      </c>
      <c r="I707" t="inlineStr">
        <is>
          <t>TAK</t>
        </is>
      </c>
      <c r="J707" t="inlineStr">
        <is>
          <t>NIE</t>
        </is>
      </c>
      <c r="K707" t="n">
        <v>794533190</v>
      </c>
      <c r="L707" t="n">
        <v>258500</v>
      </c>
      <c r="M707" t="n">
        <v>6986.486486486487</v>
      </c>
      <c r="N707" t="n">
        <v>37</v>
      </c>
      <c r="O707" t="inlineStr">
        <is>
          <t>2+k</t>
        </is>
      </c>
      <c r="P707" t="n">
        <v>4</v>
      </c>
      <c r="Q707" t="inlineStr">
        <is>
          <t>Puste</t>
        </is>
      </c>
      <c r="R707" t="inlineStr">
        <is>
          <t>to nie dubel</t>
        </is>
      </c>
      <c r="T707" t="inlineStr">
        <is>
          <t>722</t>
        </is>
      </c>
    </row>
    <row r="708">
      <c r="A708" t="n">
        <v>707</v>
      </c>
      <c r="B708" s="3" t="n">
        <v>45512</v>
      </c>
      <c r="C708" s="3" t="n">
        <v>45522</v>
      </c>
      <c r="D708" t="inlineStr">
        <is>
          <t>https://www.domiporta.pl/nieruchomosci/sprzedam-mieszkanie-dwupokojowe-lodz-baluty-mokra-47m2/155305790</t>
        </is>
      </c>
      <c r="E708">
        <f>HYPERLINK("https://www.domiporta.pl/nieruchomosci/sprzedam-mieszkanie-dwupokojowe-lodz-baluty-mokra-47m2/155305790", "https://www.domiporta.pl/nieruchomosci/sprzedam-mieszkanie-dwupokojowe-lodz-baluty-mokra-47m2/155305790")</f>
        <v/>
      </c>
      <c r="F708" t="inlineStr">
        <is>
          <t>mokra</t>
        </is>
      </c>
      <c r="G708" t="inlineStr">
        <is>
          <t>Polesie</t>
        </is>
      </c>
      <c r="H708" t="inlineStr">
        <is>
          <t>Polesie</t>
        </is>
      </c>
      <c r="I708" t="inlineStr">
        <is>
          <t>TAK</t>
        </is>
      </c>
      <c r="J708" t="inlineStr">
        <is>
          <t>TAK</t>
        </is>
      </c>
      <c r="K708" t="n">
        <v>504605504</v>
      </c>
      <c r="L708" t="n">
        <v>351000</v>
      </c>
      <c r="M708" t="n">
        <v>7545.141874462596</v>
      </c>
      <c r="N708" t="n">
        <v>46.52</v>
      </c>
      <c r="O708" t="inlineStr">
        <is>
          <t>2+k</t>
        </is>
      </c>
      <c r="P708" t="n">
        <v>3</v>
      </c>
      <c r="Q708" t="inlineStr">
        <is>
          <t>Nie da się zamieszkać</t>
        </is>
      </c>
    </row>
    <row r="709">
      <c r="A709" t="n">
        <v>708</v>
      </c>
      <c r="B709" s="3" t="n">
        <v>45512</v>
      </c>
      <c r="D709" t="inlineStr">
        <is>
          <t>https://www.otodom.pl/pl/oferta/kompaktowe-mieszkanie-w-doskonalej-lokalizacji-ID4rVdP</t>
        </is>
      </c>
      <c r="E709">
        <f>HYPERLINK("https://www.otodom.pl/pl/oferta/kompaktowe-mieszkanie-w-doskonalej-lokalizacji-ID4rVdP", "https://www.otodom.pl/pl/oferta/kompaktowe-mieszkanie-w-doskonalej-lokalizacji-ID4rVdP")</f>
        <v/>
      </c>
      <c r="F709" t="inlineStr">
        <is>
          <t xml:space="preserve">dąbrowskiego </t>
        </is>
      </c>
      <c r="G709" t="inlineStr">
        <is>
          <t>Dąbrowa</t>
        </is>
      </c>
      <c r="H709" t="inlineStr">
        <is>
          <t>Dąbrowa</t>
        </is>
      </c>
      <c r="I709" t="inlineStr">
        <is>
          <t>NIE</t>
        </is>
      </c>
      <c r="J709" t="inlineStr">
        <is>
          <t>TAK</t>
        </is>
      </c>
      <c r="K709" t="n">
        <v>534256946</v>
      </c>
      <c r="L709" t="n">
        <v>285000</v>
      </c>
      <c r="M709" t="n">
        <v>7215.189873417721</v>
      </c>
      <c r="N709" t="n">
        <v>39.5</v>
      </c>
      <c r="O709" t="inlineStr">
        <is>
          <t>2+k</t>
        </is>
      </c>
      <c r="P709" t="n">
        <v>2</v>
      </c>
      <c r="Q709" t="inlineStr">
        <is>
          <t>Nie da się zamieszkać</t>
        </is>
      </c>
      <c r="R709" t="inlineStr">
        <is>
          <t>13.09 było 299</t>
        </is>
      </c>
    </row>
    <row r="710">
      <c r="A710" t="n">
        <v>709</v>
      </c>
      <c r="B710" s="3" t="n">
        <v>45512</v>
      </c>
      <c r="D710" t="inlineStr">
        <is>
          <t>https://szybko.pl/o/na-sprzedaz/lokal-mieszkalny/Łódź+Górna/oferta-15427530</t>
        </is>
      </c>
      <c r="E710">
        <f>HYPERLINK("https://szybko.pl/o/na-sprzedaz/lokal-mieszkalny/Łódź+Górna/oferta-15427530", "https://szybko.pl/o/na-sprzedaz/lokal-mieszkalny/Łódź+Górna/oferta-15427530")</f>
        <v/>
      </c>
      <c r="F710" t="inlineStr">
        <is>
          <t>.</t>
        </is>
      </c>
      <c r="G710" t="inlineStr">
        <is>
          <t>Górna</t>
        </is>
      </c>
      <c r="H710" t="inlineStr">
        <is>
          <t>Górna</t>
        </is>
      </c>
      <c r="I710" t="inlineStr">
        <is>
          <t>NIE</t>
        </is>
      </c>
      <c r="J710" t="inlineStr">
        <is>
          <t>TAK</t>
        </is>
      </c>
      <c r="K710" t="n">
        <v>537163259</v>
      </c>
      <c r="L710" t="n">
        <v>395000</v>
      </c>
      <c r="M710" t="n">
        <v>7745.098039215686</v>
      </c>
      <c r="N710" t="n">
        <v>51</v>
      </c>
      <c r="O710" t="inlineStr">
        <is>
          <t>2+k</t>
        </is>
      </c>
      <c r="P710" t="n">
        <v>2</v>
      </c>
      <c r="Q710" t="inlineStr">
        <is>
          <t>Da się zamieszkać</t>
        </is>
      </c>
    </row>
    <row r="711">
      <c r="A711" t="n">
        <v>710</v>
      </c>
      <c r="B711" s="3" t="n">
        <v>45512</v>
      </c>
      <c r="D711" t="inlineStr">
        <is>
          <t>https://www.otodom.pl/pl/oferta/swietna-lokalizacja-3-pokojowe-mieszkanie-retkinia-ID4rVJd.html</t>
        </is>
      </c>
      <c r="E711">
        <f>HYPERLINK("https://www.otodom.pl/pl/oferta/swietna-lokalizacja-3-pokojowe-mieszkanie-retkinia-ID4rVJd.html", "https://www.otodom.pl/pl/oferta/swietna-lokalizacja-3-pokojowe-mieszkanie-retkinia-ID4rVJd.html")</f>
        <v/>
      </c>
      <c r="F711" t="inlineStr">
        <is>
          <t>bratysławska</t>
        </is>
      </c>
      <c r="G711" t="inlineStr">
        <is>
          <t>Retkinia</t>
        </is>
      </c>
      <c r="H711" t="inlineStr">
        <is>
          <t>Retkinia blisko centrum</t>
        </is>
      </c>
      <c r="I711" t="inlineStr">
        <is>
          <t>NIE</t>
        </is>
      </c>
      <c r="J711" t="inlineStr">
        <is>
          <t>TAK</t>
        </is>
      </c>
      <c r="K711" t="n">
        <v>513185668</v>
      </c>
      <c r="L711" t="n">
        <v>325000</v>
      </c>
      <c r="M711" t="n">
        <v>6977.243452125376</v>
      </c>
      <c r="N711" t="n">
        <v>46.58</v>
      </c>
      <c r="O711" t="inlineStr">
        <is>
          <t>3+k</t>
        </is>
      </c>
      <c r="P711" t="n">
        <v>0</v>
      </c>
      <c r="Q711" t="inlineStr">
        <is>
          <t>Nie da się zamieszkać</t>
        </is>
      </c>
    </row>
    <row r="712">
      <c r="A712" t="n">
        <v>711</v>
      </c>
      <c r="B712" s="3" t="n">
        <v>45512</v>
      </c>
      <c r="C712" s="3" t="n">
        <v>45510</v>
      </c>
      <c r="D712" t="inlineStr">
        <is>
          <t>https://www.olx.pl/d/oferta/3-pokoje-do-remontu-dabrowa-balkon-CID3-ID10mqw5.html?isPreviewActive=0&amp;sliderIndex=7</t>
        </is>
      </c>
      <c r="E712">
        <f>HYPERLINK("https://www.olx.pl/d/oferta/3-pokoje-do-remontu-dabrowa-balkon-CID3-ID10mqw5.html?isPreviewActive=0&amp;sliderIndex=7", "https://www.olx.pl/d/oferta/3-pokoje-do-remontu-dabrowa-balkon-CID3-ID10mqw5.html?isPreviewActive=0&amp;sliderIndex=7")</f>
        <v/>
      </c>
      <c r="F712" t="inlineStr">
        <is>
          <t>.</t>
        </is>
      </c>
      <c r="G712" t="inlineStr">
        <is>
          <t>Dąbrowa</t>
        </is>
      </c>
      <c r="H712" t="inlineStr">
        <is>
          <t>Dąbrowa</t>
        </is>
      </c>
      <c r="I712" t="inlineStr">
        <is>
          <t>TAK</t>
        </is>
      </c>
      <c r="J712" t="inlineStr">
        <is>
          <t>TAK</t>
        </is>
      </c>
      <c r="K712" t="n">
        <v>537163259</v>
      </c>
      <c r="L712" t="n">
        <v>360000</v>
      </c>
      <c r="M712" t="n">
        <v>7635.206786850477</v>
      </c>
      <c r="N712" t="n">
        <v>47.15</v>
      </c>
      <c r="O712" t="inlineStr">
        <is>
          <t>3+k</t>
        </is>
      </c>
      <c r="P712" t="n">
        <v>7</v>
      </c>
      <c r="Q712" t="inlineStr">
        <is>
          <t>Nie da się zamieszkać</t>
        </is>
      </c>
    </row>
    <row r="713">
      <c r="A713" t="n">
        <v>712</v>
      </c>
      <c r="B713" s="3" t="n">
        <v>45513</v>
      </c>
      <c r="C713" s="3" t="n">
        <v>45510</v>
      </c>
      <c r="D713" t="inlineStr">
        <is>
          <t>https://nieruchomosci.gratka.pl/nieruchomosci/mieszkanie-lodz-baluty-m3-43m2-radogoszcz-wschod-balkon-rozklad/ob/36406103</t>
        </is>
      </c>
      <c r="E713">
        <f>HYPERLINK("https://nieruchomosci.gratka.pl/nieruchomosci/mieszkanie-lodz-baluty-m3-43m2-radogoszcz-wschod-balkon-rozklad/ob/36406103", "https://nieruchomosci.gratka.pl/nieruchomosci/mieszkanie-lodz-baluty-m3-43m2-radogoszcz-wschod-balkon-rozklad/ob/36406103")</f>
        <v/>
      </c>
      <c r="F713" t="inlineStr">
        <is>
          <t>radogoszcz wschód</t>
        </is>
      </c>
      <c r="G713" t="inlineStr">
        <is>
          <t>Bałuty</t>
        </is>
      </c>
      <c r="H713" t="inlineStr">
        <is>
          <t>Dalekie bałuty</t>
        </is>
      </c>
      <c r="I713" t="inlineStr">
        <is>
          <t>TAK</t>
        </is>
      </c>
      <c r="J713" t="inlineStr">
        <is>
          <t>TAK</t>
        </is>
      </c>
      <c r="K713" t="n">
        <v>602721433</v>
      </c>
      <c r="L713" t="n">
        <v>310000</v>
      </c>
      <c r="M713" t="n">
        <v>7142.857142857143</v>
      </c>
      <c r="N713" t="n">
        <v>43.4</v>
      </c>
      <c r="O713" t="inlineStr">
        <is>
          <t>2+k</t>
        </is>
      </c>
      <c r="P713" t="n">
        <v>3</v>
      </c>
      <c r="Q713" t="inlineStr">
        <is>
          <t>Puste</t>
        </is>
      </c>
    </row>
    <row r="714">
      <c r="A714" t="n">
        <v>713</v>
      </c>
      <c r="B714" s="3" t="n">
        <v>45513</v>
      </c>
      <c r="D714" t="inlineStr">
        <is>
          <t>https://www.olx.pl/d/oferta/mieszkanie-sprzedam-radogoszcz-wschod-CID3-ID11opLw.html?isPreviewActive=0&amp;sliderIndex=7</t>
        </is>
      </c>
      <c r="E714">
        <f>HYPERLINK("https://www.olx.pl/d/oferta/mieszkanie-sprzedam-radogoszcz-wschod-CID3-ID11opLw.html?isPreviewActive=0&amp;sliderIndex=7", "https://www.olx.pl/d/oferta/mieszkanie-sprzedam-radogoszcz-wschod-CID3-ID11opLw.html?isPreviewActive=0&amp;sliderIndex=7")</f>
        <v/>
      </c>
      <c r="F714" t="inlineStr">
        <is>
          <t>pstrągowa</t>
        </is>
      </c>
      <c r="G714" t="inlineStr">
        <is>
          <t>Bałuty</t>
        </is>
      </c>
      <c r="H714" t="inlineStr">
        <is>
          <t>Dalekie bałuty</t>
        </is>
      </c>
      <c r="I714" t="inlineStr">
        <is>
          <t>NIE</t>
        </is>
      </c>
      <c r="J714" t="inlineStr">
        <is>
          <t>NIE</t>
        </is>
      </c>
      <c r="K714" t="n">
        <v>888123979</v>
      </c>
      <c r="L714" t="n">
        <v>385000</v>
      </c>
      <c r="M714" t="n">
        <v>7700</v>
      </c>
      <c r="N714" t="n">
        <v>50</v>
      </c>
      <c r="O714" t="inlineStr">
        <is>
          <t>2+k</t>
        </is>
      </c>
      <c r="P714" t="n">
        <v>1</v>
      </c>
      <c r="Q714" t="inlineStr">
        <is>
          <t>Puste</t>
        </is>
      </c>
      <c r="R714" t="inlineStr">
        <is>
          <t>z kuchnią w miare</t>
        </is>
      </c>
    </row>
    <row r="715">
      <c r="A715" t="n">
        <v>714</v>
      </c>
      <c r="B715" s="3" t="n">
        <v>45513</v>
      </c>
      <c r="D715" t="inlineStr">
        <is>
          <t>https://szybko.pl/o/na-sprzedaz/lokal-mieszkalny/Łódź+Bałuty/oferta-15446904</t>
        </is>
      </c>
      <c r="E715">
        <f>HYPERLINK("https://szybko.pl/o/na-sprzedaz/lokal-mieszkalny/Łódź+Bałuty/oferta-15446904", "https://szybko.pl/o/na-sprzedaz/lokal-mieszkalny/Łódź+Bałuty/oferta-15446904")</f>
        <v/>
      </c>
      <c r="F715" t="inlineStr">
        <is>
          <t>.</t>
        </is>
      </c>
      <c r="G715" t="inlineStr">
        <is>
          <t>Teofilów</t>
        </is>
      </c>
      <c r="H715" t="inlineStr">
        <is>
          <t>Teofilów</t>
        </is>
      </c>
      <c r="I715" t="inlineStr">
        <is>
          <t>NIE</t>
        </is>
      </c>
      <c r="J715" t="inlineStr">
        <is>
          <t>TAK</t>
        </is>
      </c>
      <c r="K715" t="n">
        <v>729979800</v>
      </c>
      <c r="L715" t="n">
        <v>340000</v>
      </c>
      <c r="M715" t="n">
        <v>7555.555555555556</v>
      </c>
      <c r="N715" t="n">
        <v>45</v>
      </c>
      <c r="O715" t="inlineStr">
        <is>
          <t>2+k</t>
        </is>
      </c>
      <c r="P715" t="n">
        <v>2</v>
      </c>
      <c r="Q715" t="inlineStr">
        <is>
          <t>Nie da się zamieszkać</t>
        </is>
      </c>
      <c r="R715" t="inlineStr">
        <is>
          <t>to nie dubel</t>
        </is>
      </c>
      <c r="T715" t="inlineStr">
        <is>
          <t>416</t>
        </is>
      </c>
    </row>
    <row r="716">
      <c r="A716" t="n">
        <v>715</v>
      </c>
      <c r="B716" s="3" t="n">
        <v>45514</v>
      </c>
      <c r="D716" t="inlineStr">
        <is>
          <t>https://www.otodom.pl/pl/oferta/m3-na-teofilowie-wym-instalacje-ID4rY3u.html</t>
        </is>
      </c>
      <c r="E716">
        <f>HYPERLINK("https://www.otodom.pl/pl/oferta/m3-na-teofilowie-wym-instalacje-ID4rY3u.html", "https://www.otodom.pl/pl/oferta/m3-na-teofilowie-wym-instalacje-ID4rY3u.html")</f>
        <v/>
      </c>
      <c r="F716" t="inlineStr">
        <is>
          <t>.</t>
        </is>
      </c>
      <c r="G716" t="inlineStr">
        <is>
          <t>Teofilów</t>
        </is>
      </c>
      <c r="H716" t="inlineStr">
        <is>
          <t>Teofilów</t>
        </is>
      </c>
      <c r="I716" t="inlineStr">
        <is>
          <t>NIE</t>
        </is>
      </c>
      <c r="J716" t="inlineStr">
        <is>
          <t>TAK</t>
        </is>
      </c>
      <c r="K716" t="n">
        <v>797433992</v>
      </c>
      <c r="L716" t="n">
        <v>319000</v>
      </c>
      <c r="M716" t="n">
        <v>7520.03771805752</v>
      </c>
      <c r="N716" t="n">
        <v>42.42</v>
      </c>
      <c r="O716" t="inlineStr">
        <is>
          <t>2+k</t>
        </is>
      </c>
      <c r="P716" t="n">
        <v>3</v>
      </c>
      <c r="Q716" t="inlineStr">
        <is>
          <t>Nie da się zamieszkać</t>
        </is>
      </c>
    </row>
    <row r="717">
      <c r="A717" t="n">
        <v>716</v>
      </c>
      <c r="B717" s="3" t="n">
        <v>45514</v>
      </c>
      <c r="C717" s="3" t="n">
        <v>45510</v>
      </c>
      <c r="D717" t="inlineStr">
        <is>
          <t>https://www.otodom.pl/pl/oferta/2pokoje-dwustronne-rozdkladoweblok-z-cegly-ID4rCOr.html</t>
        </is>
      </c>
      <c r="E717">
        <f>HYPERLINK("https://www.otodom.pl/pl/oferta/2pokoje-dwustronne-rozdkladoweblok-z-cegly-ID4rCOr.html", "https://www.otodom.pl/pl/oferta/2pokoje-dwustronne-rozdkladoweblok-z-cegly-ID4rCOr.html")</f>
        <v/>
      </c>
      <c r="F717" t="inlineStr">
        <is>
          <t>harcerska</t>
        </is>
      </c>
      <c r="G717" t="inlineStr">
        <is>
          <t>Bałuty</t>
        </is>
      </c>
      <c r="H717" t="inlineStr">
        <is>
          <t>Bałuty</t>
        </is>
      </c>
      <c r="I717" t="inlineStr">
        <is>
          <t>TAK</t>
        </is>
      </c>
      <c r="J717" t="inlineStr">
        <is>
          <t>TAK</t>
        </is>
      </c>
      <c r="K717" t="n">
        <v>530195255</v>
      </c>
      <c r="L717" t="n">
        <v>365000</v>
      </c>
      <c r="M717" t="n">
        <v>7300</v>
      </c>
      <c r="N717" t="n">
        <v>50</v>
      </c>
      <c r="O717" t="inlineStr">
        <is>
          <t>2+k</t>
        </is>
      </c>
      <c r="P717" t="n">
        <v>0</v>
      </c>
      <c r="Q717" t="inlineStr">
        <is>
          <t>Da się zamieszkać</t>
        </is>
      </c>
    </row>
    <row r="718">
      <c r="A718" t="n">
        <v>717</v>
      </c>
      <c r="B718" s="3" t="n">
        <v>45514</v>
      </c>
      <c r="D718" t="inlineStr">
        <is>
          <t>https://sprzedajemy.pl/mieszkanie-m4-super-lokalizacja-dabrowa-lodz-3-pokoje-wiezowiec-4-1b8e55-6fpbc4-nr70053761</t>
        </is>
      </c>
      <c r="E718">
        <f>HYPERLINK("https://sprzedajemy.pl/mieszkanie-m4-super-lokalizacja-dabrowa-lodz-3-pokoje-wiezowiec-4-1b8e55-6fpbc4-nr70053761", "https://sprzedajemy.pl/mieszkanie-m4-super-lokalizacja-dabrowa-lodz-3-pokoje-wiezowiec-4-1b8e55-6fpbc4-nr70053761")</f>
        <v/>
      </c>
      <c r="F718" t="inlineStr">
        <is>
          <t>kossaka</t>
        </is>
      </c>
      <c r="G718" t="inlineStr">
        <is>
          <t>Dąbrowa</t>
        </is>
      </c>
      <c r="H718" t="inlineStr">
        <is>
          <t>Dąbrowa</t>
        </is>
      </c>
      <c r="I718" t="inlineStr">
        <is>
          <t>NIE</t>
        </is>
      </c>
      <c r="J718" t="inlineStr">
        <is>
          <t>NIE</t>
        </is>
      </c>
      <c r="K718" t="n">
        <v>507826464</v>
      </c>
      <c r="L718" t="n">
        <v>365000</v>
      </c>
      <c r="M718" t="n">
        <v>7604.166666666667</v>
      </c>
      <c r="N718" t="n">
        <v>48</v>
      </c>
      <c r="O718" t="inlineStr">
        <is>
          <t>2+k</t>
        </is>
      </c>
      <c r="P718" t="n">
        <v>1</v>
      </c>
      <c r="Q718" t="inlineStr">
        <is>
          <t>Nie da się zamieszkać</t>
        </is>
      </c>
      <c r="R718" t="inlineStr">
        <is>
          <t xml:space="preserve">ogłoszenie zrobione jak są wszyzstkie meble, a sprzedane ma być bez. </t>
        </is>
      </c>
    </row>
    <row r="719">
      <c r="A719" t="n">
        <v>718</v>
      </c>
      <c r="B719" s="3" t="n">
        <v>45515</v>
      </c>
      <c r="D719" t="inlineStr">
        <is>
          <t>https://www.domiporta.pl/nieruchomosci/sprzedam-mieszkanie-trzypokojowe-lodz-widzew-czajkowskiego-60m2/155326908</t>
        </is>
      </c>
      <c r="E719">
        <f>HYPERLINK("https://www.domiporta.pl/nieruchomosci/sprzedam-mieszkanie-trzypokojowe-lodz-widzew-czajkowskiego-60m2/155326908", "https://www.domiporta.pl/nieruchomosci/sprzedam-mieszkanie-trzypokojowe-lodz-widzew-czajkowskiego-60m2/155326908")</f>
        <v/>
      </c>
      <c r="F719" t="inlineStr">
        <is>
          <t>czajkowskiego</t>
        </is>
      </c>
      <c r="G719" t="inlineStr">
        <is>
          <t>Widzew</t>
        </is>
      </c>
      <c r="H719" t="inlineStr">
        <is>
          <t>Widzew</t>
        </is>
      </c>
      <c r="I719" t="inlineStr">
        <is>
          <t>NIE</t>
        </is>
      </c>
      <c r="J719" t="inlineStr">
        <is>
          <t>TAK</t>
        </is>
      </c>
      <c r="K719" t="n">
        <v>518322634</v>
      </c>
      <c r="L719" t="n">
        <v>478000</v>
      </c>
      <c r="M719" t="n">
        <v>7966.666666666667</v>
      </c>
      <c r="N719" t="n">
        <v>60</v>
      </c>
      <c r="O719" t="inlineStr">
        <is>
          <t>2+k</t>
        </is>
      </c>
      <c r="P719" t="n">
        <v>2</v>
      </c>
      <c r="Q719" t="inlineStr">
        <is>
          <t>Nie da się zamieszkać</t>
        </is>
      </c>
    </row>
    <row r="720">
      <c r="A720" t="n">
        <v>719</v>
      </c>
      <c r="B720" s="3" t="n">
        <v>45515</v>
      </c>
      <c r="D720" t="inlineStr">
        <is>
          <t>https://www.olx.pl/d/oferta/sprzedam-mieszkanie-po-dziadkach-lodz-baluty-baluty-44m-CID3-ID11pnzz.html</t>
        </is>
      </c>
      <c r="E720">
        <f>HYPERLINK("https://www.olx.pl/d/oferta/sprzedam-mieszkanie-po-dziadkach-lodz-baluty-baluty-44m-CID3-ID11pnzz.html", "https://www.olx.pl/d/oferta/sprzedam-mieszkanie-po-dziadkach-lodz-baluty-baluty-44m-CID3-ID11pnzz.html")</f>
        <v/>
      </c>
      <c r="F720" t="inlineStr">
        <is>
          <t>zachodnia</t>
        </is>
      </c>
      <c r="G720" t="inlineStr">
        <is>
          <t>Bałuty</t>
        </is>
      </c>
      <c r="H720" t="inlineStr">
        <is>
          <t>Bałuty blisko centrum</t>
        </is>
      </c>
      <c r="I720" t="inlineStr">
        <is>
          <t>NIE</t>
        </is>
      </c>
      <c r="J720" t="inlineStr">
        <is>
          <t>NIE</t>
        </is>
      </c>
      <c r="K720" t="n">
        <v>503036163</v>
      </c>
      <c r="L720" t="n">
        <v>320000</v>
      </c>
      <c r="M720" t="n">
        <v>7619.047619047619</v>
      </c>
      <c r="N720" t="n">
        <v>42</v>
      </c>
      <c r="O720" t="inlineStr">
        <is>
          <t>2+k</t>
        </is>
      </c>
      <c r="P720" t="n">
        <v>2</v>
      </c>
      <c r="Q720" t="inlineStr">
        <is>
          <t>Nie da się zamieszkać</t>
        </is>
      </c>
    </row>
    <row r="721">
      <c r="A721" t="n">
        <v>720</v>
      </c>
      <c r="B721" s="3" t="n">
        <v>45515</v>
      </c>
      <c r="D721" t="inlineStr">
        <is>
          <t>https://www.olx.pl/d/oferta/2-pokoje-ul-wlokniarzy-226-balkon-7-pietro-teren-ogrodzony-CID3-ID11pqa8.html</t>
        </is>
      </c>
      <c r="E721">
        <f>HYPERLINK("https://www.olx.pl/d/oferta/2-pokoje-ul-wlokniarzy-226-balkon-7-pietro-teren-ogrodzony-CID3-ID11pqa8.html", "https://www.olx.pl/d/oferta/2-pokoje-ul-wlokniarzy-226-balkon-7-pietro-teren-ogrodzony-CID3-ID11pqa8.html")</f>
        <v/>
      </c>
      <c r="F721" t="inlineStr">
        <is>
          <t>włókniarzy</t>
        </is>
      </c>
      <c r="G721" t="inlineStr">
        <is>
          <t>Polesie</t>
        </is>
      </c>
      <c r="H721" t="inlineStr">
        <is>
          <t>Polesie</t>
        </is>
      </c>
      <c r="I721" t="inlineStr">
        <is>
          <t>NIE</t>
        </is>
      </c>
      <c r="J721" t="inlineStr">
        <is>
          <t>TAK</t>
        </is>
      </c>
      <c r="K721" t="n">
        <v>537112348</v>
      </c>
      <c r="L721" t="n">
        <v>289000</v>
      </c>
      <c r="M721" t="n">
        <v>7605.263157894737</v>
      </c>
      <c r="N721" t="n">
        <v>38</v>
      </c>
      <c r="O721" t="inlineStr">
        <is>
          <t>2+k</t>
        </is>
      </c>
      <c r="P721" t="n">
        <v>7</v>
      </c>
      <c r="Q721" t="inlineStr">
        <is>
          <t>Nie da się zamieszkać</t>
        </is>
      </c>
    </row>
    <row r="722">
      <c r="A722" t="n">
        <v>721</v>
      </c>
      <c r="B722" s="3" t="n">
        <v>45515</v>
      </c>
      <c r="C722" s="3" t="n">
        <v>45522</v>
      </c>
      <c r="D722" t="inlineStr">
        <is>
          <t>https://www.olx.pl/d/oferta/m3-2-pokoje-33-m2-lagiewnicka-bezposr-CID3-ID11pveg.html</t>
        </is>
      </c>
      <c r="E722">
        <f>HYPERLINK("https://www.olx.pl/d/oferta/m3-2-pokoje-33-m2-lagiewnicka-bezposr-CID3-ID11pveg.html", "https://www.olx.pl/d/oferta/m3-2-pokoje-33-m2-lagiewnicka-bezposr-CID3-ID11pveg.html")</f>
        <v/>
      </c>
      <c r="F722" t="inlineStr">
        <is>
          <t>łagiewnicka</t>
        </is>
      </c>
      <c r="G722" t="inlineStr">
        <is>
          <t>Bałuty</t>
        </is>
      </c>
      <c r="H722" t="inlineStr">
        <is>
          <t>Bałuty</t>
        </is>
      </c>
      <c r="I722" t="inlineStr">
        <is>
          <t>TAK</t>
        </is>
      </c>
      <c r="J722" t="inlineStr">
        <is>
          <t>NIE</t>
        </is>
      </c>
      <c r="K722" t="n">
        <v>608702425</v>
      </c>
      <c r="L722" t="n">
        <v>250000</v>
      </c>
      <c r="M722" t="n">
        <v>7458.233890214797</v>
      </c>
      <c r="N722" t="n">
        <v>33.52</v>
      </c>
      <c r="O722" t="inlineStr">
        <is>
          <t>2+k</t>
        </is>
      </c>
      <c r="P722" t="n">
        <v>4</v>
      </c>
      <c r="Q722" t="inlineStr">
        <is>
          <t>Da się zamieszkać</t>
        </is>
      </c>
    </row>
    <row r="723">
      <c r="A723" t="n">
        <v>722</v>
      </c>
      <c r="B723" s="3" t="n">
        <v>45515</v>
      </c>
      <c r="C723" s="3" t="n">
        <v>45532</v>
      </c>
      <c r="D723" t="inlineStr">
        <is>
          <t>https://www.olx.pl/d/oferta/ladne-mieszkanie-na-sprzedaz-CID3-ID11pDQT.html</t>
        </is>
      </c>
      <c r="E723">
        <f>HYPERLINK("https://www.olx.pl/d/oferta/ladne-mieszkanie-na-sprzedaz-CID3-ID11pDQT.html", "https://www.olx.pl/d/oferta/ladne-mieszkanie-na-sprzedaz-CID3-ID11pDQT.html")</f>
        <v/>
      </c>
      <c r="F723" t="inlineStr">
        <is>
          <t>.</t>
        </is>
      </c>
      <c r="G723" t="inlineStr">
        <is>
          <t>Teofilów</t>
        </is>
      </c>
      <c r="H723" t="inlineStr">
        <is>
          <t>Teofilów</t>
        </is>
      </c>
      <c r="I723" t="inlineStr">
        <is>
          <t>TAK</t>
        </is>
      </c>
      <c r="J723" t="inlineStr">
        <is>
          <t>NIE</t>
        </is>
      </c>
      <c r="K723" t="n">
        <v>668805244</v>
      </c>
      <c r="L723" t="n">
        <v>235000</v>
      </c>
      <c r="M723" t="n">
        <v>6351.351351351352</v>
      </c>
      <c r="N723" t="n">
        <v>37</v>
      </c>
      <c r="O723" t="inlineStr">
        <is>
          <t>2+k</t>
        </is>
      </c>
      <c r="P723" t="n">
        <v>4</v>
      </c>
      <c r="Q723" t="inlineStr">
        <is>
          <t>Puste</t>
        </is>
      </c>
      <c r="R723" t="inlineStr">
        <is>
          <t>to nie dubel</t>
        </is>
      </c>
      <c r="T723" t="inlineStr">
        <is>
          <t>706</t>
        </is>
      </c>
    </row>
    <row r="724">
      <c r="A724" t="n">
        <v>723</v>
      </c>
      <c r="B724" s="3" t="n">
        <v>45515</v>
      </c>
      <c r="D724" t="inlineStr">
        <is>
          <t>https://www.otodom.pl/pl/oferta/m-3-dabrowa-rozkladowe-do-remontu-ID4rYBk</t>
        </is>
      </c>
      <c r="E724">
        <f>HYPERLINK("https://www.otodom.pl/pl/oferta/m-3-dabrowa-rozkladowe-do-remontu-ID4rYBk", "https://www.otodom.pl/pl/oferta/m-3-dabrowa-rozkladowe-do-remontu-ID4rYBk")</f>
        <v/>
      </c>
      <c r="F724" t="inlineStr">
        <is>
          <t>umińskiego</t>
        </is>
      </c>
      <c r="G724" t="inlineStr">
        <is>
          <t>Dąbrowa</t>
        </is>
      </c>
      <c r="H724" t="inlineStr">
        <is>
          <t>Dąbrowa</t>
        </is>
      </c>
      <c r="I724" t="inlineStr">
        <is>
          <t>NIE</t>
        </is>
      </c>
      <c r="J724" t="inlineStr">
        <is>
          <t>TAK</t>
        </is>
      </c>
      <c r="K724" t="n">
        <v>883120230</v>
      </c>
      <c r="L724" t="n">
        <v>299000</v>
      </c>
      <c r="M724" t="n">
        <v>6926.106092193652</v>
      </c>
      <c r="N724" t="n">
        <v>43.17</v>
      </c>
      <c r="O724" t="inlineStr">
        <is>
          <t>2+k</t>
        </is>
      </c>
      <c r="P724" t="n">
        <v>3</v>
      </c>
      <c r="Q724" t="inlineStr">
        <is>
          <t>Nie da się zamieszkać</t>
        </is>
      </c>
    </row>
    <row r="725">
      <c r="A725" t="n">
        <v>724</v>
      </c>
      <c r="B725" s="3" t="n">
        <v>45515</v>
      </c>
      <c r="C725" s="3" t="n">
        <v>45548</v>
      </c>
      <c r="D725" t="inlineStr">
        <is>
          <t>https://www.otodom.pl/pl/oferta/mieszkanie-52m-na-parterze-w-okolicy-manufaktury-ID4rva6.html</t>
        </is>
      </c>
      <c r="E725">
        <f>HYPERLINK("https://www.otodom.pl/pl/oferta/mieszkanie-52m-na-parterze-w-okolicy-manufaktury-ID4rva6.html", "https://www.otodom.pl/pl/oferta/mieszkanie-52m-na-parterze-w-okolicy-manufaktury-ID4rva6.html")</f>
        <v/>
      </c>
      <c r="F725" t="inlineStr">
        <is>
          <t xml:space="preserve">żubardź </t>
        </is>
      </c>
      <c r="G725" t="inlineStr">
        <is>
          <t>Polesie</t>
        </is>
      </c>
      <c r="H725" t="inlineStr">
        <is>
          <t>Polesie</t>
        </is>
      </c>
      <c r="I725" t="inlineStr">
        <is>
          <t>TAK</t>
        </is>
      </c>
      <c r="J725" t="inlineStr">
        <is>
          <t>TAK</t>
        </is>
      </c>
      <c r="K725" t="n">
        <v>793344363</v>
      </c>
      <c r="L725" t="n">
        <v>420000</v>
      </c>
      <c r="M725" t="n">
        <v>7993.909402360106</v>
      </c>
      <c r="N725" t="n">
        <v>52.54</v>
      </c>
      <c r="O725" t="inlineStr">
        <is>
          <t>2+k</t>
        </is>
      </c>
      <c r="P725" t="n">
        <v>0</v>
      </c>
      <c r="Q725" t="inlineStr">
        <is>
          <t>Nie da się zamieszkać</t>
        </is>
      </c>
    </row>
    <row r="726">
      <c r="A726" t="n">
        <v>725</v>
      </c>
      <c r="B726" s="3" t="n">
        <v>45515</v>
      </c>
      <c r="D726" t="inlineStr">
        <is>
          <t>https://nieruchomosci.gratka.pl/nieruchomosci/mieszkanie-lodz-gorna-ignacego-jana-paderewskiego/ob/36447051</t>
        </is>
      </c>
      <c r="E726">
        <f>HYPERLINK("https://nieruchomosci.gratka.pl/nieruchomosci/mieszkanie-lodz-gorna-ignacego-jana-paderewskiego/ob/36447051", "https://nieruchomosci.gratka.pl/nieruchomosci/mieszkanie-lodz-gorna-ignacego-jana-paderewskiego/ob/36447051")</f>
        <v/>
      </c>
      <c r="F726" t="inlineStr">
        <is>
          <t>paderewskiego</t>
        </is>
      </c>
      <c r="G726" t="inlineStr">
        <is>
          <t>Górna</t>
        </is>
      </c>
      <c r="H726" t="inlineStr">
        <is>
          <t>Górna</t>
        </is>
      </c>
      <c r="I726" t="inlineStr">
        <is>
          <t>NIE</t>
        </is>
      </c>
      <c r="J726" t="inlineStr">
        <is>
          <t>TAK</t>
        </is>
      </c>
      <c r="K726" t="n">
        <v>500502510</v>
      </c>
      <c r="L726" t="n">
        <v>305000</v>
      </c>
      <c r="M726" t="n">
        <v>8263.343267407208</v>
      </c>
      <c r="N726" t="n">
        <v>36.91</v>
      </c>
      <c r="O726" t="inlineStr">
        <is>
          <t>2+k</t>
        </is>
      </c>
      <c r="P726" t="n">
        <v>1</v>
      </c>
      <c r="Q726" t="inlineStr">
        <is>
          <t>Nie da się zamieszkać</t>
        </is>
      </c>
    </row>
    <row r="727">
      <c r="A727" t="n">
        <v>726</v>
      </c>
      <c r="B727" s="3" t="n">
        <v>45516</v>
      </c>
      <c r="D727" t="inlineStr">
        <is>
          <t>https://www.otodom.pl/pl/oferta/na-sprzedaz-rozkladowe-m4-1-pietro-parking-ID4rZws</t>
        </is>
      </c>
      <c r="E727">
        <f>HYPERLINK("https://www.otodom.pl/pl/oferta/na-sprzedaz-rozkladowe-m4-1-pietro-parking-ID4rZws", "https://www.otodom.pl/pl/oferta/na-sprzedaz-rozkladowe-m4-1-pietro-parking-ID4rZws")</f>
        <v/>
      </c>
      <c r="F727" t="inlineStr">
        <is>
          <t xml:space="preserve">żubardź </t>
        </is>
      </c>
      <c r="G727" t="inlineStr">
        <is>
          <t>Polesie</t>
        </is>
      </c>
      <c r="H727" t="inlineStr">
        <is>
          <t>Polesie</t>
        </is>
      </c>
      <c r="I727" t="inlineStr">
        <is>
          <t>NIE</t>
        </is>
      </c>
      <c r="J727" t="inlineStr">
        <is>
          <t>TAK</t>
        </is>
      </c>
      <c r="K727" t="n">
        <v>510266259</v>
      </c>
      <c r="L727" t="n">
        <v>415000</v>
      </c>
      <c r="M727" t="n">
        <v>6974.789915966387</v>
      </c>
      <c r="N727" t="n">
        <v>59.5</v>
      </c>
      <c r="O727" t="inlineStr">
        <is>
          <t>3+k</t>
        </is>
      </c>
      <c r="P727" t="n">
        <v>1</v>
      </c>
      <c r="Q727" t="inlineStr">
        <is>
          <t>Nie da się zamieszkać</t>
        </is>
      </c>
    </row>
    <row r="728">
      <c r="A728" t="n">
        <v>727</v>
      </c>
      <c r="B728" s="3" t="n">
        <v>45516</v>
      </c>
      <c r="C728" s="3" t="n">
        <v>45532</v>
      </c>
      <c r="D728" t="inlineStr">
        <is>
          <t>https://www.otodom.pl/pl/oferta/kawalerka-na-sprzedaz-ul-jaroslawska-ID4rZya.html</t>
        </is>
      </c>
      <c r="E728">
        <f>HYPERLINK("https://www.otodom.pl/pl/oferta/kawalerka-na-sprzedaz-ul-jaroslawska-ID4rZya.html", "https://www.otodom.pl/pl/oferta/kawalerka-na-sprzedaz-ul-jaroslawska-ID4rZya.html")</f>
        <v/>
      </c>
      <c r="F728" t="inlineStr">
        <is>
          <t>jarosławska</t>
        </is>
      </c>
      <c r="G728" t="inlineStr">
        <is>
          <t>Górna</t>
        </is>
      </c>
      <c r="H728" t="inlineStr">
        <is>
          <t>Górna</t>
        </is>
      </c>
      <c r="I728" t="inlineStr">
        <is>
          <t>TAK</t>
        </is>
      </c>
      <c r="J728" t="inlineStr">
        <is>
          <t>TAK</t>
        </is>
      </c>
      <c r="K728" t="n">
        <v>732850605</v>
      </c>
      <c r="L728" t="n">
        <v>215000</v>
      </c>
      <c r="M728" t="n">
        <v>6615.384615384615</v>
      </c>
      <c r="N728" t="n">
        <v>32.5</v>
      </c>
      <c r="O728" t="inlineStr">
        <is>
          <t>1+k</t>
        </is>
      </c>
      <c r="P728" t="inlineStr">
        <is>
          <t>4!</t>
        </is>
      </c>
      <c r="Q728" t="inlineStr">
        <is>
          <t>Puste</t>
        </is>
      </c>
      <c r="R728" t="inlineStr">
        <is>
          <t>* do końca września nie chce mniej niż 200k chce właściciel, 3% dla biura - KW - spoko kontatkowa pośredniczka, kawa na ławę</t>
        </is>
      </c>
    </row>
    <row r="729">
      <c r="A729" t="n">
        <v>728</v>
      </c>
      <c r="B729" s="3" t="n">
        <v>45516</v>
      </c>
      <c r="C729" s="3" t="n">
        <v>45510</v>
      </c>
      <c r="D729" t="inlineStr">
        <is>
          <t>https://www.otodom.pl/pl/oferta/dwupokojowe-m3-ul-karpacka-lodz-gorna-balkon-ID4rZCA</t>
        </is>
      </c>
      <c r="E729">
        <f>HYPERLINK("https://www.otodom.pl/pl/oferta/dwupokojowe-m3-ul-karpacka-lodz-gorna-balkon-ID4rZCA", "https://www.otodom.pl/pl/oferta/dwupokojowe-m3-ul-karpacka-lodz-gorna-balkon-ID4rZCA")</f>
        <v/>
      </c>
      <c r="F729" t="inlineStr">
        <is>
          <t>Karpacka</t>
        </is>
      </c>
      <c r="G729" t="inlineStr">
        <is>
          <t>Górna</t>
        </is>
      </c>
      <c r="H729" t="inlineStr">
        <is>
          <t>Górna</t>
        </is>
      </c>
      <c r="I729" t="inlineStr">
        <is>
          <t>TAK</t>
        </is>
      </c>
      <c r="J729" t="inlineStr">
        <is>
          <t>TAK</t>
        </is>
      </c>
      <c r="K729" t="n">
        <v>730020051</v>
      </c>
      <c r="L729" t="n">
        <v>229000</v>
      </c>
      <c r="M729" t="n">
        <v>6612.763499855616</v>
      </c>
      <c r="N729" t="n">
        <v>34.63</v>
      </c>
      <c r="O729" t="inlineStr">
        <is>
          <t>2+k</t>
        </is>
      </c>
      <c r="P729" t="n">
        <v>3</v>
      </c>
      <c r="Q729" t="inlineStr">
        <is>
          <t>Nie da się zamieszkać</t>
        </is>
      </c>
      <c r="R729" t="inlineStr">
        <is>
          <t>04.09.było 239k coś tam w hipotece mieszają, KW, za 3-4 tygodnie będzie dostępne, 2%, 10 tys. można urwać od ceny</t>
        </is>
      </c>
    </row>
    <row r="730">
      <c r="A730" t="n">
        <v>729</v>
      </c>
      <c r="B730" s="3" t="n">
        <v>45516</v>
      </c>
      <c r="C730" s="3" t="n">
        <v>45532</v>
      </c>
      <c r="D730" t="inlineStr">
        <is>
          <t>https://www.olx.pl/d/oferta/mieszkanie-52-m-os-lumumby-do-remontu-CID3-ID11qHH7.html</t>
        </is>
      </c>
      <c r="E730">
        <f>HYPERLINK("https://www.olx.pl/d/oferta/mieszkanie-52-m-os-lumumby-do-remontu-CID3-ID11qHH7.html", "https://www.olx.pl/d/oferta/mieszkanie-52-m-os-lumumby-do-remontu-CID3-ID11qHH7.html")</f>
        <v/>
      </c>
      <c r="F730" t="inlineStr">
        <is>
          <t xml:space="preserve">lumbumbowo </t>
        </is>
      </c>
      <c r="G730" t="inlineStr">
        <is>
          <t>Śródmieście</t>
        </is>
      </c>
      <c r="H730" t="inlineStr">
        <is>
          <t>Śródmieście</t>
        </is>
      </c>
      <c r="I730" t="inlineStr">
        <is>
          <t>TAK</t>
        </is>
      </c>
      <c r="J730" t="inlineStr">
        <is>
          <t>NIE</t>
        </is>
      </c>
      <c r="K730" t="n">
        <v>501758490</v>
      </c>
      <c r="L730" t="n">
        <v>415000</v>
      </c>
      <c r="M730" t="n">
        <v>7980.76923076923</v>
      </c>
      <c r="N730" t="n">
        <v>52</v>
      </c>
      <c r="O730" t="inlineStr">
        <is>
          <t>2+k</t>
        </is>
      </c>
      <c r="P730" t="n">
        <v>0</v>
      </c>
      <c r="Q730" t="inlineStr">
        <is>
          <t>Nie da się zamieszkać</t>
        </is>
      </c>
    </row>
    <row r="731">
      <c r="A731" t="n">
        <v>730</v>
      </c>
      <c r="B731" s="3" t="n">
        <v>45516</v>
      </c>
      <c r="D731" t="inlineStr">
        <is>
          <t>https://nieruchomosci.gratka.pl/nieruchomosci/mieszkanie-lodz-widzew/ob/36455755</t>
        </is>
      </c>
      <c r="E731">
        <f>HYPERLINK("https://nieruchomosci.gratka.pl/nieruchomosci/mieszkanie-lodz-widzew/ob/36455755", "https://nieruchomosci.gratka.pl/nieruchomosci/mieszkanie-lodz-widzew/ob/36455755")</f>
        <v/>
      </c>
      <c r="F731" t="inlineStr">
        <is>
          <t>dworzec widzew</t>
        </is>
      </c>
      <c r="G731" t="inlineStr">
        <is>
          <t>Widzew</t>
        </is>
      </c>
      <c r="H731" t="inlineStr">
        <is>
          <t>Widzew</t>
        </is>
      </c>
      <c r="I731" t="inlineStr">
        <is>
          <t>NIE</t>
        </is>
      </c>
      <c r="J731" t="inlineStr">
        <is>
          <t>TAK</t>
        </is>
      </c>
      <c r="K731" t="n">
        <v>798400856</v>
      </c>
      <c r="L731" t="n">
        <v>329000</v>
      </c>
      <c r="M731" t="n">
        <v>7152.173913043478</v>
      </c>
      <c r="N731" t="n">
        <v>46</v>
      </c>
      <c r="O731" t="inlineStr">
        <is>
          <t>2+k</t>
        </is>
      </c>
      <c r="P731" t="n">
        <v>3</v>
      </c>
      <c r="Q731" t="inlineStr">
        <is>
          <t>Nie da się zamieszkać</t>
        </is>
      </c>
      <c r="R731" t="inlineStr">
        <is>
          <t>12.09 było 349k</t>
        </is>
      </c>
    </row>
    <row r="732">
      <c r="A732" t="n">
        <v>731</v>
      </c>
      <c r="B732" s="3" t="n">
        <v>45517</v>
      </c>
      <c r="C732" s="3" t="n">
        <v>45548</v>
      </c>
      <c r="D732" t="inlineStr">
        <is>
          <t>https://www.olx.pl/d/oferta/m-2-okolice-manufaktury-30-metrow-CID3-ID11poxT.html</t>
        </is>
      </c>
      <c r="E732">
        <f>HYPERLINK("https://www.olx.pl/d/oferta/m-2-okolice-manufaktury-30-metrow-CID3-ID11poxT.html", "https://www.olx.pl/d/oferta/m-2-okolice-manufaktury-30-metrow-CID3-ID11poxT.html")</f>
        <v/>
      </c>
      <c r="F732" t="inlineStr">
        <is>
          <t>blisko manu</t>
        </is>
      </c>
      <c r="G732" t="inlineStr">
        <is>
          <t>Bałuty</t>
        </is>
      </c>
      <c r="H732" t="inlineStr">
        <is>
          <t>Bałuty blisko centrum</t>
        </is>
      </c>
      <c r="I732" t="inlineStr">
        <is>
          <t>TAK</t>
        </is>
      </c>
      <c r="J732" t="inlineStr">
        <is>
          <t>NIE</t>
        </is>
      </c>
      <c r="K732" t="n">
        <v>515775958</v>
      </c>
      <c r="L732" t="n">
        <v>258000</v>
      </c>
      <c r="M732" t="n">
        <v>8062.5</v>
      </c>
      <c r="N732" t="n">
        <v>32</v>
      </c>
      <c r="O732" t="inlineStr">
        <is>
          <t>1+k</t>
        </is>
      </c>
      <c r="P732" t="n">
        <v>2</v>
      </c>
      <c r="Q732" t="inlineStr">
        <is>
          <t>Nie da się zamieszkać</t>
        </is>
      </c>
    </row>
    <row r="733">
      <c r="A733" t="n">
        <v>732</v>
      </c>
      <c r="B733" s="3" t="n">
        <v>45517</v>
      </c>
      <c r="D733" t="inlineStr">
        <is>
          <t>https://adresowo.pl/o/m6r4g0</t>
        </is>
      </c>
      <c r="E733">
        <f>HYPERLINK("https://adresowo.pl/o/m6r4g0", "https://adresowo.pl/o/m6r4g0")</f>
        <v/>
      </c>
      <c r="F733" t="inlineStr">
        <is>
          <t>grota rowieckiego</t>
        </is>
      </c>
      <c r="G733" t="inlineStr">
        <is>
          <t>Dąbrowa</t>
        </is>
      </c>
      <c r="H733" t="inlineStr">
        <is>
          <t>Dąbrowa</t>
        </is>
      </c>
      <c r="I733" t="inlineStr">
        <is>
          <t>NIE</t>
        </is>
      </c>
      <c r="J733" t="inlineStr">
        <is>
          <t>NIE</t>
        </is>
      </c>
      <c r="L733" t="n">
        <v>275000</v>
      </c>
      <c r="M733" t="n">
        <v>7306.05738575983</v>
      </c>
      <c r="N733" t="n">
        <v>37.64</v>
      </c>
      <c r="O733" t="inlineStr">
        <is>
          <t>2+k</t>
        </is>
      </c>
      <c r="P733" t="n">
        <v>0</v>
      </c>
      <c r="Q733" t="inlineStr">
        <is>
          <t>Nie da się zamieszkać</t>
        </is>
      </c>
    </row>
    <row r="734">
      <c r="A734" t="n">
        <v>733</v>
      </c>
      <c r="B734" s="3" t="n">
        <v>45517</v>
      </c>
      <c r="C734" s="3" t="n">
        <v>45548</v>
      </c>
      <c r="D734" t="inlineStr">
        <is>
          <t>https://www.otodom.pl/pl/oferta/m4-fabryczna-plac-dabrowskiego-ID4s05x.html</t>
        </is>
      </c>
      <c r="E734">
        <f>HYPERLINK("https://www.otodom.pl/pl/oferta/m4-fabryczna-plac-dabrowskiego-ID4s05x.html", "https://www.otodom.pl/pl/oferta/m4-fabryczna-plac-dabrowskiego-ID4s05x.html")</f>
        <v/>
      </c>
      <c r="F734" t="inlineStr">
        <is>
          <t>fabryczna</t>
        </is>
      </c>
      <c r="G734" t="inlineStr">
        <is>
          <t>Śródmieście</t>
        </is>
      </c>
      <c r="H734" t="inlineStr">
        <is>
          <t>Śródmieście</t>
        </is>
      </c>
      <c r="I734" t="inlineStr">
        <is>
          <t>TAK</t>
        </is>
      </c>
      <c r="J734" t="inlineStr">
        <is>
          <t>TAK</t>
        </is>
      </c>
      <c r="K734" t="n">
        <v>797542793</v>
      </c>
      <c r="L734" t="n">
        <v>390000</v>
      </c>
      <c r="M734" t="n">
        <v>8246.986677944597</v>
      </c>
      <c r="N734" t="n">
        <v>47.29</v>
      </c>
      <c r="O734" t="inlineStr">
        <is>
          <t>3+k</t>
        </is>
      </c>
      <c r="P734" t="n">
        <v>5</v>
      </c>
      <c r="Q734" t="inlineStr">
        <is>
          <t>Nie da się zamieszkać</t>
        </is>
      </c>
    </row>
    <row r="735">
      <c r="A735" t="n">
        <v>734</v>
      </c>
      <c r="B735" s="3" t="n">
        <v>45517</v>
      </c>
      <c r="D735" t="inlineStr">
        <is>
          <t>https://adresowo.pl/o/j3a0i3</t>
        </is>
      </c>
      <c r="E735">
        <f>HYPERLINK("https://adresowo.pl/o/j3a0i3", "https://adresowo.pl/o/j3a0i3")</f>
        <v/>
      </c>
      <c r="F735" t="inlineStr">
        <is>
          <t>mazurska</t>
        </is>
      </c>
      <c r="G735" t="inlineStr">
        <is>
          <t>Górna</t>
        </is>
      </c>
      <c r="H735" t="inlineStr">
        <is>
          <t>Górna</t>
        </is>
      </c>
      <c r="I735" t="inlineStr">
        <is>
          <t>NIE</t>
        </is>
      </c>
      <c r="J735" t="inlineStr">
        <is>
          <t>NIE</t>
        </is>
      </c>
      <c r="L735" t="n">
        <v>240000</v>
      </c>
      <c r="M735" t="n">
        <v>7218.045112781955</v>
      </c>
      <c r="N735" t="n">
        <v>33.25</v>
      </c>
      <c r="O735" t="inlineStr">
        <is>
          <t>1+k</t>
        </is>
      </c>
      <c r="P735" t="n">
        <v>8</v>
      </c>
      <c r="Q735" t="inlineStr">
        <is>
          <t>Nie da się zamieszkać</t>
        </is>
      </c>
    </row>
    <row r="736">
      <c r="A736" t="n">
        <v>735</v>
      </c>
      <c r="B736" s="3" t="n">
        <v>45517</v>
      </c>
      <c r="D736" t="inlineStr">
        <is>
          <t>https://www.otodom.pl/pl/oferta/2-pokoje-na-olsztynskiej-swietna-lokalizacja-ID4s0x3.html</t>
        </is>
      </c>
      <c r="E736">
        <f>HYPERLINK("https://www.otodom.pl/pl/oferta/2-pokoje-na-olsztynskiej-swietna-lokalizacja-ID4s0x3.html", "https://www.otodom.pl/pl/oferta/2-pokoje-na-olsztynskiej-swietna-lokalizacja-ID4s0x3.html")</f>
        <v/>
      </c>
      <c r="F736" t="inlineStr">
        <is>
          <t>olsztyńska</t>
        </is>
      </c>
      <c r="G736" t="inlineStr">
        <is>
          <t>Bałuty</t>
        </is>
      </c>
      <c r="H736" t="inlineStr">
        <is>
          <t>Bałuty</t>
        </is>
      </c>
      <c r="I736" t="inlineStr">
        <is>
          <t>NIE</t>
        </is>
      </c>
      <c r="J736" t="inlineStr">
        <is>
          <t>TAK</t>
        </is>
      </c>
      <c r="K736" t="n">
        <v>500502510</v>
      </c>
      <c r="L736" t="n">
        <v>310000</v>
      </c>
      <c r="M736" t="n">
        <v>8554.083885209713</v>
      </c>
      <c r="N736" t="n">
        <v>36.24</v>
      </c>
      <c r="O736" t="inlineStr">
        <is>
          <t>2+k</t>
        </is>
      </c>
      <c r="P736" t="n">
        <v>4</v>
      </c>
      <c r="Q736" t="inlineStr">
        <is>
          <t>Nie da się zamieszkać</t>
        </is>
      </c>
    </row>
    <row r="737">
      <c r="A737" t="n">
        <v>736</v>
      </c>
      <c r="B737" s="3" t="n">
        <v>45517</v>
      </c>
      <c r="D737" t="inlineStr">
        <is>
          <t>https://www.otodom.pl/pl/oferta/m-3-koziny-rozkladowe-przyjemna-okolica-ID4s0IM</t>
        </is>
      </c>
      <c r="E737">
        <f>HYPERLINK("https://www.otodom.pl/pl/oferta/m-3-koziny-rozkladowe-przyjemna-okolica-ID4s0IM", "https://www.otodom.pl/pl/oferta/m-3-koziny-rozkladowe-przyjemna-okolica-ID4s0IM")</f>
        <v/>
      </c>
      <c r="F737" t="inlineStr">
        <is>
          <t>klonowa</t>
        </is>
      </c>
      <c r="G737" t="inlineStr">
        <is>
          <t>Polesie</t>
        </is>
      </c>
      <c r="H737" t="inlineStr">
        <is>
          <t>Polesie</t>
        </is>
      </c>
      <c r="I737" t="inlineStr">
        <is>
          <t>NIE</t>
        </is>
      </c>
      <c r="J737" t="inlineStr">
        <is>
          <t>TAK</t>
        </is>
      </c>
      <c r="K737" t="n">
        <v>883120230</v>
      </c>
      <c r="L737" t="n">
        <v>299000</v>
      </c>
      <c r="M737" t="n">
        <v>6922.898819171105</v>
      </c>
      <c r="N737" t="n">
        <v>43.19</v>
      </c>
      <c r="O737" t="inlineStr">
        <is>
          <t>2+k</t>
        </is>
      </c>
      <c r="P737" t="n">
        <v>4</v>
      </c>
      <c r="Q737" t="inlineStr">
        <is>
          <t>Nie da się zamieszkać</t>
        </is>
      </c>
      <c r="R737" t="inlineStr">
        <is>
          <t>05.09 było 320k</t>
        </is>
      </c>
    </row>
    <row r="738">
      <c r="A738" t="n">
        <v>737</v>
      </c>
      <c r="B738" s="3" t="n">
        <v>45518</v>
      </c>
      <c r="C738" s="3" t="n">
        <v>45510</v>
      </c>
      <c r="D738" t="inlineStr">
        <is>
          <t>https://www.olx.pl/d/oferta/m3-w-sercu-retkini-CID3-ID10Z2pz.html?isPreviewActive=0&amp;sliderIndex=13</t>
        </is>
      </c>
      <c r="E738">
        <f>HYPERLINK("https://www.olx.pl/d/oferta/m3-w-sercu-retkini-CID3-ID10Z2pz.html?isPreviewActive=0&amp;sliderIndex=13", "https://www.olx.pl/d/oferta/m3-w-sercu-retkini-CID3-ID10Z2pz.html?isPreviewActive=0&amp;sliderIndex=13")</f>
        <v/>
      </c>
      <c r="F738" t="inlineStr">
        <is>
          <t>.</t>
        </is>
      </c>
      <c r="G738" t="inlineStr">
        <is>
          <t>Retkinia</t>
        </is>
      </c>
      <c r="H738" t="inlineStr">
        <is>
          <t>Retkinia</t>
        </is>
      </c>
      <c r="I738" t="inlineStr">
        <is>
          <t>TAK</t>
        </is>
      </c>
      <c r="J738" t="inlineStr">
        <is>
          <t>TAK</t>
        </is>
      </c>
      <c r="K738" t="n">
        <v>451415809</v>
      </c>
      <c r="L738" t="n">
        <v>385000</v>
      </c>
      <c r="M738" t="n">
        <v>7544.581618655692</v>
      </c>
      <c r="N738" t="n">
        <v>51.03</v>
      </c>
      <c r="O738" t="inlineStr">
        <is>
          <t>2+k</t>
        </is>
      </c>
      <c r="P738" t="n">
        <v>7</v>
      </c>
      <c r="Q738" t="inlineStr">
        <is>
          <t>Nie da się zamieszkać</t>
        </is>
      </c>
    </row>
    <row r="739">
      <c r="A739" t="n">
        <v>738</v>
      </c>
      <c r="B739" s="3" t="n">
        <v>45518</v>
      </c>
      <c r="D739" t="inlineStr">
        <is>
          <t>https://www.olx.pl/d/oferta/mieszkanie-m-4-lodz-widzew-CID3-ID11siAB.html</t>
        </is>
      </c>
      <c r="E739">
        <f>HYPERLINK("https://www.olx.pl/d/oferta/mieszkanie-m-4-lodz-widzew-CID3-ID11siAB.html", "https://www.olx.pl/d/oferta/mieszkanie-m-4-lodz-widzew-CID3-ID11siAB.html")</f>
        <v/>
      </c>
      <c r="F739" t="inlineStr">
        <is>
          <t>gogola</t>
        </is>
      </c>
      <c r="G739" t="inlineStr">
        <is>
          <t>Widzew</t>
        </is>
      </c>
      <c r="H739" t="inlineStr">
        <is>
          <t>Widzew</t>
        </is>
      </c>
      <c r="I739" t="inlineStr">
        <is>
          <t>NIE</t>
        </is>
      </c>
      <c r="J739" t="inlineStr">
        <is>
          <t>NIE</t>
        </is>
      </c>
      <c r="K739" t="n">
        <v>728955889</v>
      </c>
      <c r="L739" t="n">
        <v>470000</v>
      </c>
      <c r="M739" t="n">
        <v>8103.448275862069</v>
      </c>
      <c r="N739" t="n">
        <v>58</v>
      </c>
      <c r="O739" t="inlineStr">
        <is>
          <t>2+k</t>
        </is>
      </c>
      <c r="P739" t="n">
        <v>8</v>
      </c>
      <c r="Q739" t="inlineStr">
        <is>
          <t>Da się zamieszkać</t>
        </is>
      </c>
    </row>
    <row r="740">
      <c r="A740" t="n">
        <v>739</v>
      </c>
      <c r="B740" s="3" t="n">
        <v>45518</v>
      </c>
      <c r="C740" s="3" t="n">
        <v>45510</v>
      </c>
      <c r="D740" t="inlineStr">
        <is>
          <t>https://www.olx.pl/d/oferta/mieszkanie-do-remontu-sprzedam-CID3-ID11sqty.html</t>
        </is>
      </c>
      <c r="E740">
        <f>HYPERLINK("https://www.olx.pl/d/oferta/mieszkanie-do-remontu-sprzedam-CID3-ID11sqty.html", "https://www.olx.pl/d/oferta/mieszkanie-do-remontu-sprzedam-CID3-ID11sqty.html")</f>
        <v/>
      </c>
      <c r="F740" t="inlineStr">
        <is>
          <t xml:space="preserve">limanowskiego </t>
        </is>
      </c>
      <c r="G740" t="inlineStr">
        <is>
          <t>Bałuty</t>
        </is>
      </c>
      <c r="H740" t="inlineStr">
        <is>
          <t>Bałuty blisko centrum</t>
        </is>
      </c>
      <c r="I740" t="inlineStr">
        <is>
          <t>TAK</t>
        </is>
      </c>
      <c r="J740" t="inlineStr">
        <is>
          <t>TAK</t>
        </is>
      </c>
      <c r="K740" t="n">
        <v>791929921</v>
      </c>
      <c r="L740" t="n">
        <v>280000</v>
      </c>
      <c r="M740" t="n">
        <v>7368.421052631579</v>
      </c>
      <c r="N740" t="n">
        <v>38</v>
      </c>
      <c r="O740" t="inlineStr">
        <is>
          <t>2+k</t>
        </is>
      </c>
      <c r="P740" t="n">
        <v>4</v>
      </c>
      <c r="Q740" t="inlineStr">
        <is>
          <t>Nie da się zamieszkać</t>
        </is>
      </c>
    </row>
    <row r="741">
      <c r="A741" t="n">
        <v>740</v>
      </c>
      <c r="B741" s="3" t="n">
        <v>45518</v>
      </c>
      <c r="C741" s="3" t="n">
        <v>45510</v>
      </c>
      <c r="D741" t="inlineStr">
        <is>
          <t>https://www.olx.pl/d/oferta/mieszkanie-na-julianowie-rozkladowe-ul-kochanowskiego-CID3-ID11jLb1.html?isPreviewActive=0&amp;sliderIndex=3</t>
        </is>
      </c>
      <c r="E741">
        <f>HYPERLINK("https://www.olx.pl/d/oferta/mieszkanie-na-julianowie-rozkladowe-ul-kochanowskiego-CID3-ID11jLb1.html?isPreviewActive=0&amp;sliderIndex=3", "https://www.olx.pl/d/oferta/mieszkanie-na-julianowie-rozkladowe-ul-kochanowskiego-CID3-ID11jLb1.html?isPreviewActive=0&amp;sliderIndex=3")</f>
        <v/>
      </c>
      <c r="F741" t="inlineStr">
        <is>
          <t>kochanowskiego</t>
        </is>
      </c>
      <c r="G741" t="inlineStr">
        <is>
          <t>Bałuty</t>
        </is>
      </c>
      <c r="H741" t="inlineStr">
        <is>
          <t>Bałuty</t>
        </is>
      </c>
      <c r="I741" t="inlineStr">
        <is>
          <t>TAK</t>
        </is>
      </c>
      <c r="J741" t="inlineStr">
        <is>
          <t>TAK</t>
        </is>
      </c>
      <c r="K741" t="n">
        <v>737644159</v>
      </c>
      <c r="L741" t="n">
        <v>295000</v>
      </c>
      <c r="M741" t="n">
        <v>6860.46511627907</v>
      </c>
      <c r="N741" t="n">
        <v>43</v>
      </c>
      <c r="O741" t="inlineStr">
        <is>
          <t>2+k</t>
        </is>
      </c>
      <c r="P741" t="n">
        <v>7</v>
      </c>
      <c r="Q741" t="inlineStr">
        <is>
          <t>Nie da się zamieszkać</t>
        </is>
      </c>
    </row>
    <row r="742">
      <c r="A742" t="n">
        <v>741</v>
      </c>
      <c r="B742" s="3" t="n">
        <v>45518</v>
      </c>
      <c r="D742" t="inlineStr">
        <is>
          <t>https://szybko.pl/o/na-sprzedaz/lokal-mieszkalny/Łódź+Górna/oferta-15374015</t>
        </is>
      </c>
      <c r="E742">
        <f>HYPERLINK("https://szybko.pl/o/na-sprzedaz/lokal-mieszkalny/Łódź+Górna/oferta-15374015", "https://szybko.pl/o/na-sprzedaz/lokal-mieszkalny/Łódź+Górna/oferta-15374015")</f>
        <v/>
      </c>
      <c r="F742" t="inlineStr">
        <is>
          <t>.</t>
        </is>
      </c>
      <c r="G742" t="inlineStr">
        <is>
          <t>Dąbrowa</t>
        </is>
      </c>
      <c r="H742" t="inlineStr">
        <is>
          <t>Dąbrowa</t>
        </is>
      </c>
      <c r="I742" t="inlineStr">
        <is>
          <t>NIE</t>
        </is>
      </c>
      <c r="J742" t="inlineStr">
        <is>
          <t>TAK</t>
        </is>
      </c>
      <c r="K742" t="n">
        <v>537163259</v>
      </c>
      <c r="L742" t="n">
        <v>360000</v>
      </c>
      <c r="M742" t="n">
        <v>7659.574468085107</v>
      </c>
      <c r="N742" t="n">
        <v>47</v>
      </c>
      <c r="O742" t="inlineStr">
        <is>
          <t>2+k</t>
        </is>
      </c>
      <c r="P742" t="n">
        <v>7</v>
      </c>
      <c r="Q742" t="inlineStr">
        <is>
          <t>Nie da się zamieszkać</t>
        </is>
      </c>
    </row>
    <row r="743">
      <c r="A743" t="n">
        <v>742</v>
      </c>
      <c r="B743" s="3" t="n">
        <v>45519</v>
      </c>
      <c r="D743" t="inlineStr">
        <is>
          <t>https://www.otodom.pl/pl/oferta/sprzedam-m4-lodz-retkinia-batalionow-chlopskich-ID4s26R</t>
        </is>
      </c>
      <c r="E743">
        <f>HYPERLINK("https://www.otodom.pl/pl/oferta/sprzedam-m4-lodz-retkinia-batalionow-chlopskich-ID4s26R", "https://www.otodom.pl/pl/oferta/sprzedam-m4-lodz-retkinia-batalionow-chlopskich-ID4s26R")</f>
        <v/>
      </c>
      <c r="F743" t="inlineStr">
        <is>
          <t>batalionów chłopskich</t>
        </is>
      </c>
      <c r="G743" t="inlineStr">
        <is>
          <t>Retkinia</t>
        </is>
      </c>
      <c r="H743" t="inlineStr">
        <is>
          <t>Retkinia</t>
        </is>
      </c>
      <c r="I743" t="inlineStr">
        <is>
          <t>NIE</t>
        </is>
      </c>
      <c r="J743" t="inlineStr">
        <is>
          <t>NIE</t>
        </is>
      </c>
      <c r="K743" t="n">
        <v>733723761</v>
      </c>
      <c r="L743" t="n">
        <v>369000</v>
      </c>
      <c r="M743" t="n">
        <v>6966.207287143667</v>
      </c>
      <c r="N743" t="n">
        <v>52.97</v>
      </c>
      <c r="O743" t="inlineStr">
        <is>
          <t>2+k</t>
        </is>
      </c>
      <c r="P743" t="n">
        <v>4</v>
      </c>
      <c r="Q743" t="inlineStr">
        <is>
          <t>Nie da się zamieszkać</t>
        </is>
      </c>
    </row>
    <row r="744">
      <c r="A744" t="n">
        <v>743</v>
      </c>
      <c r="B744" s="3" t="n">
        <v>45519</v>
      </c>
      <c r="C744" s="3" t="n">
        <v>45510</v>
      </c>
      <c r="D744" t="inlineStr">
        <is>
          <t>https://www.otodom.pl/pl/oferta/ul-tatrzanska-2-pokoje-37-mkw-ID4s2az</t>
        </is>
      </c>
      <c r="E744">
        <f>HYPERLINK("https://www.otodom.pl/pl/oferta/ul-tatrzanska-2-pokoje-37-mkw-ID4s2az", "https://www.otodom.pl/pl/oferta/ul-tatrzanska-2-pokoje-37-mkw-ID4s2az")</f>
        <v/>
      </c>
      <c r="F744" t="inlineStr">
        <is>
          <t>tatrzańska</t>
        </is>
      </c>
      <c r="G744" t="inlineStr">
        <is>
          <t>Dąbrowa</t>
        </is>
      </c>
      <c r="H744" t="inlineStr">
        <is>
          <t>Dąbrowa</t>
        </is>
      </c>
      <c r="I744" t="inlineStr">
        <is>
          <t>TAK</t>
        </is>
      </c>
      <c r="J744" t="inlineStr">
        <is>
          <t>TAK</t>
        </is>
      </c>
      <c r="K744" t="n">
        <v>732850888</v>
      </c>
      <c r="L744" t="n">
        <v>269000</v>
      </c>
      <c r="M744" t="n">
        <v>7270.27027027027</v>
      </c>
      <c r="N744" t="n">
        <v>37</v>
      </c>
      <c r="O744" t="inlineStr">
        <is>
          <t>2+k</t>
        </is>
      </c>
      <c r="P744" t="n">
        <v>2</v>
      </c>
      <c r="Q744" t="inlineStr">
        <is>
          <t>Nie da się zamieszkać</t>
        </is>
      </c>
      <c r="R744" t="inlineStr">
        <is>
          <t>to nie dubel</t>
        </is>
      </c>
      <c r="T744" t="inlineStr">
        <is>
          <t>404</t>
        </is>
      </c>
    </row>
    <row r="745">
      <c r="A745" t="n">
        <v>744</v>
      </c>
      <c r="B745" s="3" t="n">
        <v>45519</v>
      </c>
      <c r="C745" s="3" t="n">
        <v>45532</v>
      </c>
      <c r="D745" t="inlineStr">
        <is>
          <t>https://www.olx.pl/d/oferta/nowosc-przestronne-mieszkanie-3-pok-do-remontu-CID3-ID11t9bH.html?isPreviewActive=0&amp;sliderIndex=0</t>
        </is>
      </c>
      <c r="E745">
        <f>HYPERLINK("https://www.olx.pl/d/oferta/nowosc-przestronne-mieszkanie-3-pok-do-remontu-CID3-ID11t9bH.html?isPreviewActive=0&amp;sliderIndex=0", "https://www.olx.pl/d/oferta/nowosc-przestronne-mieszkanie-3-pok-do-remontu-CID3-ID11t9bH.html?isPreviewActive=0&amp;sliderIndex=0")</f>
        <v/>
      </c>
      <c r="F745" t="inlineStr">
        <is>
          <t>zbaraska</t>
        </is>
      </c>
      <c r="G745" t="inlineStr">
        <is>
          <t>Dąbrowa</t>
        </is>
      </c>
      <c r="H745" t="inlineStr">
        <is>
          <t>Dąbrowa</t>
        </is>
      </c>
      <c r="I745" t="inlineStr">
        <is>
          <t>TAK</t>
        </is>
      </c>
      <c r="J745" t="inlineStr">
        <is>
          <t>TAK</t>
        </is>
      </c>
      <c r="K745" t="n">
        <v>737338309</v>
      </c>
      <c r="L745" t="n">
        <v>353000</v>
      </c>
      <c r="M745" t="n">
        <v>6743.075453677173</v>
      </c>
      <c r="N745" t="n">
        <v>52.35</v>
      </c>
      <c r="O745" t="inlineStr">
        <is>
          <t>3+k</t>
        </is>
      </c>
      <c r="P745" t="n">
        <v>3</v>
      </c>
      <c r="Q745" t="inlineStr">
        <is>
          <t>Nie da się zamieszkać</t>
        </is>
      </c>
    </row>
    <row r="746">
      <c r="A746" t="n">
        <v>745</v>
      </c>
      <c r="B746" s="3" t="n">
        <v>45519</v>
      </c>
      <c r="C746" s="3" t="n">
        <v>45548</v>
      </c>
      <c r="D746" t="inlineStr">
        <is>
          <t>https://www.domiporta.pl/nieruchomosci/sprzedam-mieszkanie-dwupokojowe-lodz-polesie-zielona-46m2/155335182</t>
        </is>
      </c>
      <c r="E746">
        <f>HYPERLINK("https://www.domiporta.pl/nieruchomosci/sprzedam-mieszkanie-dwupokojowe-lodz-polesie-zielona-46m2/155335182", "https://www.domiporta.pl/nieruchomosci/sprzedam-mieszkanie-dwupokojowe-lodz-polesie-zielona-46m2/155335182")</f>
        <v/>
      </c>
      <c r="F746" t="inlineStr">
        <is>
          <t>zielona</t>
        </is>
      </c>
      <c r="G746" t="inlineStr">
        <is>
          <t>Polesie</t>
        </is>
      </c>
      <c r="H746" t="inlineStr">
        <is>
          <t>Polesie</t>
        </is>
      </c>
      <c r="I746" t="inlineStr">
        <is>
          <t>TAK</t>
        </is>
      </c>
      <c r="J746" t="inlineStr">
        <is>
          <t>TAK</t>
        </is>
      </c>
      <c r="K746" t="n">
        <v>795922122</v>
      </c>
      <c r="L746" t="n">
        <v>330000</v>
      </c>
      <c r="M746" t="n">
        <v>7142.857142857142</v>
      </c>
      <c r="N746" t="n">
        <v>46.2</v>
      </c>
      <c r="O746" t="inlineStr">
        <is>
          <t>2+k</t>
        </is>
      </c>
      <c r="P746" t="n">
        <v>3</v>
      </c>
      <c r="Q746" t="inlineStr">
        <is>
          <t>Nie da się zamieszkać</t>
        </is>
      </c>
      <c r="T746" t="inlineStr">
        <is>
          <t>182</t>
        </is>
      </c>
    </row>
    <row r="747">
      <c r="A747" t="n">
        <v>746</v>
      </c>
      <c r="B747" s="3" t="n">
        <v>45519</v>
      </c>
      <c r="D747" t="inlineStr">
        <is>
          <t>https://domy.pl/mieszkanie/lodz-baluty-lutomierska-kawalerka-259000-pln-32m2-sba/dol1741284591</t>
        </is>
      </c>
      <c r="E747">
        <f>HYPERLINK("https://domy.pl/mieszkanie/lodz-baluty-lutomierska-kawalerka-259000-pln-32m2-sba/dol1741284591", "https://domy.pl/mieszkanie/lodz-baluty-lutomierska-kawalerka-259000-pln-32m2-sba/dol1741284591")</f>
        <v/>
      </c>
      <c r="F747" t="inlineStr">
        <is>
          <t>lutomierska</t>
        </is>
      </c>
      <c r="G747" t="inlineStr">
        <is>
          <t>Bałuty</t>
        </is>
      </c>
      <c r="H747" t="inlineStr">
        <is>
          <t>Bałuty blisko centrum</t>
        </is>
      </c>
      <c r="I747" t="inlineStr">
        <is>
          <t>NIE</t>
        </is>
      </c>
      <c r="J747" t="inlineStr">
        <is>
          <t>TAK</t>
        </is>
      </c>
      <c r="K747" t="n">
        <v>570888422</v>
      </c>
      <c r="L747" t="n">
        <v>259000</v>
      </c>
      <c r="M747" t="n">
        <v>7964.329643296433</v>
      </c>
      <c r="N747" t="n">
        <v>32.52</v>
      </c>
      <c r="O747" t="inlineStr">
        <is>
          <t>1+k</t>
        </is>
      </c>
      <c r="P747" t="n">
        <v>5</v>
      </c>
      <c r="Q747" t="inlineStr">
        <is>
          <t>Nie da się zamieszkać</t>
        </is>
      </c>
    </row>
    <row r="748">
      <c r="A748" t="n">
        <v>747</v>
      </c>
      <c r="B748" s="3" t="n">
        <v>45520</v>
      </c>
      <c r="C748" s="3" t="n">
        <v>45548</v>
      </c>
      <c r="D748" t="inlineStr">
        <is>
          <t>https://www.otodom.pl/pl/oferta/rozkladowe-m4-na-radogoszczu-2-pietro-loggia-ID4s2GV.html</t>
        </is>
      </c>
      <c r="E748">
        <f>HYPERLINK("https://www.otodom.pl/pl/oferta/rozkladowe-m4-na-radogoszczu-2-pietro-loggia-ID4s2GV.html", "https://www.otodom.pl/pl/oferta/rozkladowe-m4-na-radogoszczu-2-pietro-loggia-ID4s2GV.html")</f>
        <v/>
      </c>
      <c r="F748" t="inlineStr">
        <is>
          <t>radogoszcz wschód</t>
        </is>
      </c>
      <c r="G748" t="inlineStr">
        <is>
          <t>Bałuty</t>
        </is>
      </c>
      <c r="H748" t="inlineStr">
        <is>
          <t>Dalekie bałuty</t>
        </is>
      </c>
      <c r="I748" t="inlineStr">
        <is>
          <t>TAK</t>
        </is>
      </c>
      <c r="J748" t="inlineStr">
        <is>
          <t>TAK</t>
        </is>
      </c>
      <c r="K748" t="n">
        <v>510266259</v>
      </c>
      <c r="L748" t="n">
        <v>365000</v>
      </c>
      <c r="M748" t="n">
        <v>6906.338694418165</v>
      </c>
      <c r="N748" t="n">
        <v>52.85</v>
      </c>
      <c r="O748" t="inlineStr">
        <is>
          <t>3+k</t>
        </is>
      </c>
      <c r="P748" t="n">
        <v>2</v>
      </c>
      <c r="Q748" t="inlineStr">
        <is>
          <t>Nie da się zamieszkać</t>
        </is>
      </c>
    </row>
    <row r="749">
      <c r="A749" t="n">
        <v>748</v>
      </c>
      <c r="B749" s="3" t="n">
        <v>45520</v>
      </c>
      <c r="C749" s="3" t="n">
        <v>45532</v>
      </c>
      <c r="D749" t="inlineStr">
        <is>
          <t>https://www.olx.pl/d/oferta/mieszkanie-dwupokojowe-na-sprzedaz-54-m2-do-negocjacji-CID3-IDZanTl.html</t>
        </is>
      </c>
      <c r="E749">
        <f>HYPERLINK("https://www.olx.pl/d/oferta/mieszkanie-dwupokojowe-na-sprzedaz-54-m2-do-negocjacji-CID3-IDZanTl.html", "https://www.olx.pl/d/oferta/mieszkanie-dwupokojowe-na-sprzedaz-54-m2-do-negocjacji-CID3-IDZanTl.html")</f>
        <v/>
      </c>
      <c r="F749" t="inlineStr">
        <is>
          <t>kasprzaka</t>
        </is>
      </c>
      <c r="G749" t="inlineStr">
        <is>
          <t>Polesie</t>
        </is>
      </c>
      <c r="H749" t="inlineStr">
        <is>
          <t>Polesie</t>
        </is>
      </c>
      <c r="I749" t="inlineStr">
        <is>
          <t>TAK</t>
        </is>
      </c>
      <c r="J749" t="inlineStr">
        <is>
          <t>TAK</t>
        </is>
      </c>
      <c r="K749" t="n">
        <v>723166236</v>
      </c>
      <c r="L749" t="n">
        <v>350000</v>
      </c>
      <c r="M749" t="n">
        <v>6481.481481481482</v>
      </c>
      <c r="N749" t="n">
        <v>54</v>
      </c>
      <c r="O749" t="inlineStr">
        <is>
          <t>2+k</t>
        </is>
      </c>
      <c r="P749" t="n">
        <v>4</v>
      </c>
      <c r="Q749" t="inlineStr">
        <is>
          <t>Nie da się zamieszkać</t>
        </is>
      </c>
    </row>
    <row r="750">
      <c r="A750" t="n">
        <v>749</v>
      </c>
      <c r="B750" s="3" t="n">
        <v>45520</v>
      </c>
      <c r="D750" t="inlineStr">
        <is>
          <t>https://nieruchomosci.gratka.pl/nieruchomosci/mieszkanie-lodz-baluty/ob/36515385</t>
        </is>
      </c>
      <c r="E750">
        <f>HYPERLINK("https://nieruchomosci.gratka.pl/nieruchomosci/mieszkanie-lodz-baluty/ob/36515385", "https://nieruchomosci.gratka.pl/nieruchomosci/mieszkanie-lodz-baluty/ob/36515385")</f>
        <v/>
      </c>
      <c r="F750" t="inlineStr">
        <is>
          <t>.</t>
        </is>
      </c>
      <c r="G750" t="inlineStr">
        <is>
          <t>Teofilów</t>
        </is>
      </c>
      <c r="H750" t="inlineStr">
        <is>
          <t>Teofilów</t>
        </is>
      </c>
      <c r="I750" t="inlineStr">
        <is>
          <t>NIE</t>
        </is>
      </c>
      <c r="J750" t="inlineStr">
        <is>
          <t>TAK</t>
        </is>
      </c>
      <c r="K750" t="n">
        <v>880271877</v>
      </c>
      <c r="L750" t="n">
        <v>325000</v>
      </c>
      <c r="M750" t="n">
        <v>7222.222222222223</v>
      </c>
      <c r="N750" t="n">
        <v>45</v>
      </c>
      <c r="O750" t="inlineStr">
        <is>
          <t>2+k</t>
        </is>
      </c>
      <c r="P750" t="n">
        <v>1</v>
      </c>
      <c r="Q750" t="inlineStr">
        <is>
          <t>Nie da się zamieszkać</t>
        </is>
      </c>
    </row>
    <row r="751">
      <c r="A751" t="n">
        <v>750</v>
      </c>
      <c r="B751" s="3" t="n">
        <v>45520</v>
      </c>
      <c r="D751" t="inlineStr">
        <is>
          <t>https://www.otodom.pl/pl/oferta/mieszkanie-na-balutach-ID4s2XK.html</t>
        </is>
      </c>
      <c r="E751">
        <f>HYPERLINK("https://www.otodom.pl/pl/oferta/mieszkanie-na-balutach-ID4s2XK.html", "https://www.otodom.pl/pl/oferta/mieszkanie-na-balutach-ID4s2XK.html")</f>
        <v/>
      </c>
      <c r="F751" t="inlineStr">
        <is>
          <t>piwna</t>
        </is>
      </c>
      <c r="G751" t="inlineStr">
        <is>
          <t>Bałuty</t>
        </is>
      </c>
      <c r="H751" t="inlineStr">
        <is>
          <t>Bałuty blisko centrum</t>
        </is>
      </c>
      <c r="I751" t="inlineStr">
        <is>
          <t>NIE</t>
        </is>
      </c>
      <c r="J751" t="inlineStr">
        <is>
          <t>NIE</t>
        </is>
      </c>
      <c r="K751" t="n">
        <v>503948274</v>
      </c>
      <c r="L751" t="n">
        <v>330000</v>
      </c>
      <c r="M751" t="n">
        <v>6359.606860666795</v>
      </c>
      <c r="N751" t="n">
        <v>51.89</v>
      </c>
      <c r="O751" t="inlineStr">
        <is>
          <t>2+k</t>
        </is>
      </c>
      <c r="P751" t="n">
        <v>0</v>
      </c>
      <c r="Q751" t="inlineStr">
        <is>
          <t>Puste</t>
        </is>
      </c>
      <c r="R751" t="inlineStr">
        <is>
          <t>czy da się zrobić m4? KW, 2% od transakcji, da się 3 pokoje. za 315 pójdzie, 300 + 2% prowizji, piątek 9:30 Piwna</t>
        </is>
      </c>
    </row>
    <row r="752">
      <c r="A752" t="n">
        <v>751</v>
      </c>
      <c r="B752" s="3" t="n">
        <v>45521</v>
      </c>
      <c r="D752" t="inlineStr">
        <is>
          <t>https://www.olx.pl/d/oferta/sprzedam-mieszkanie-2-pokoje-blok-balkon-lodz-dabrowa-CID3-ID11ujvo.html</t>
        </is>
      </c>
      <c r="E752">
        <f>HYPERLINK("https://www.olx.pl/d/oferta/sprzedam-mieszkanie-2-pokoje-blok-balkon-lodz-dabrowa-CID3-ID11ujvo.html", "https://www.olx.pl/d/oferta/sprzedam-mieszkanie-2-pokoje-blok-balkon-lodz-dabrowa-CID3-ID11ujvo.html")</f>
        <v/>
      </c>
      <c r="F752" t="inlineStr">
        <is>
          <t>tatrzańska</t>
        </is>
      </c>
      <c r="G752" t="inlineStr">
        <is>
          <t>Dąbrowa</t>
        </is>
      </c>
      <c r="H752" t="inlineStr">
        <is>
          <t>Dąbrowa</t>
        </is>
      </c>
      <c r="I752" t="inlineStr">
        <is>
          <t>NIE</t>
        </is>
      </c>
      <c r="J752" t="inlineStr">
        <is>
          <t>NIE</t>
        </is>
      </c>
      <c r="K752" t="n">
        <v>669853826</v>
      </c>
      <c r="L752" t="n">
        <v>239000</v>
      </c>
      <c r="M752" t="n">
        <v>6289.473684210527</v>
      </c>
      <c r="N752" t="n">
        <v>38</v>
      </c>
      <c r="O752" t="inlineStr">
        <is>
          <t>2+k</t>
        </is>
      </c>
      <c r="P752" t="n">
        <v>4</v>
      </c>
      <c r="Q752" t="inlineStr">
        <is>
          <t>Puste</t>
        </is>
      </c>
      <c r="R752" t="inlineStr">
        <is>
          <t>17.09 było 249</t>
        </is>
      </c>
    </row>
    <row r="753">
      <c r="A753" t="n">
        <v>752</v>
      </c>
      <c r="B753" s="3" t="n">
        <v>45522</v>
      </c>
      <c r="D753" t="inlineStr">
        <is>
          <t>https://www.olx.pl/d/oferta/kawalerka-na-widzewie-otoczona-zielenia-CID3-ID11wrua.html?isPreviewActive=0&amp;sliderIndex=4</t>
        </is>
      </c>
      <c r="E753">
        <f>HYPERLINK("https://www.olx.pl/d/oferta/kawalerka-na-widzewie-otoczona-zielenia-CID3-ID11wrua.html?isPreviewActive=0&amp;sliderIndex=4", "https://www.olx.pl/d/oferta/kawalerka-na-widzewie-otoczona-zielenia-CID3-ID11wrua.html?isPreviewActive=0&amp;sliderIndex=4")</f>
        <v/>
      </c>
      <c r="F753" t="inlineStr">
        <is>
          <t>tyrmanda</t>
        </is>
      </c>
      <c r="G753" t="inlineStr">
        <is>
          <t>Dąbrowa</t>
        </is>
      </c>
      <c r="H753" t="inlineStr">
        <is>
          <t>Dąbrowa</t>
        </is>
      </c>
      <c r="I753" t="inlineStr">
        <is>
          <t>NIE</t>
        </is>
      </c>
      <c r="J753" t="inlineStr">
        <is>
          <t>TAK</t>
        </is>
      </c>
      <c r="K753" t="n">
        <v>503990124</v>
      </c>
      <c r="L753" t="n">
        <v>229000</v>
      </c>
      <c r="M753" t="n">
        <v>8035.087719298245</v>
      </c>
      <c r="N753" t="n">
        <v>28.5</v>
      </c>
      <c r="O753" t="inlineStr">
        <is>
          <t>1+k</t>
        </is>
      </c>
      <c r="P753" t="n">
        <v>1</v>
      </c>
      <c r="Q753" t="inlineStr">
        <is>
          <t>Nie da się zamieszkać</t>
        </is>
      </c>
    </row>
    <row r="754">
      <c r="A754" t="n">
        <v>753</v>
      </c>
      <c r="B754" s="3" t="n">
        <v>45522</v>
      </c>
      <c r="D754" t="inlineStr">
        <is>
          <t>https://www.otodom.pl/pl/oferta/m4-balkon-swietna-lokalizacja-retkinia-ID4s3XG</t>
        </is>
      </c>
      <c r="E754">
        <f>HYPERLINK("https://www.otodom.pl/pl/oferta/m4-balkon-swietna-lokalizacja-retkinia-ID4s3XG", "https://www.otodom.pl/pl/oferta/m4-balkon-swietna-lokalizacja-retkinia-ID4s3XG")</f>
        <v/>
      </c>
      <c r="F754" t="inlineStr">
        <is>
          <t>maratońska</t>
        </is>
      </c>
      <c r="G754" t="inlineStr">
        <is>
          <t>Retkinia</t>
        </is>
      </c>
      <c r="H754" t="inlineStr">
        <is>
          <t>Retkinia</t>
        </is>
      </c>
      <c r="I754" t="inlineStr">
        <is>
          <t>NIE</t>
        </is>
      </c>
      <c r="J754" t="inlineStr">
        <is>
          <t>TAK</t>
        </is>
      </c>
      <c r="K754" t="n">
        <v>575952570</v>
      </c>
      <c r="L754" t="n">
        <v>379000</v>
      </c>
      <c r="M754" t="n">
        <v>7150.943396226415</v>
      </c>
      <c r="N754" t="n">
        <v>53</v>
      </c>
      <c r="O754" t="inlineStr">
        <is>
          <t>3+k</t>
        </is>
      </c>
      <c r="P754" t="n">
        <v>3</v>
      </c>
      <c r="Q754" t="inlineStr">
        <is>
          <t>Nie da się zamieszkać</t>
        </is>
      </c>
      <c r="R754" t="inlineStr">
        <is>
          <t>to nie dubel</t>
        </is>
      </c>
      <c r="T754" t="inlineStr">
        <is>
          <t>259</t>
        </is>
      </c>
    </row>
    <row r="755">
      <c r="A755" t="n">
        <v>754</v>
      </c>
      <c r="B755" s="3" t="n">
        <v>45523</v>
      </c>
      <c r="D755" t="inlineStr">
        <is>
          <t>https://www.olx.pl/d/oferta/m3-43m2-lodz-radogoszcz-wschod-balkon-rozklad-CID3-ID11vd3e.html</t>
        </is>
      </c>
      <c r="E755">
        <f>HYPERLINK("https://www.olx.pl/d/oferta/m3-43m2-lodz-radogoszcz-wschod-balkon-rozklad-CID3-ID11vd3e.html", "https://www.olx.pl/d/oferta/m3-43m2-lodz-radogoszcz-wschod-balkon-rozklad-CID3-ID11vd3e.html")</f>
        <v/>
      </c>
      <c r="F755" t="inlineStr">
        <is>
          <t>radogoszcz wschód</t>
        </is>
      </c>
      <c r="G755" t="inlineStr">
        <is>
          <t>Bałuty</t>
        </is>
      </c>
      <c r="H755" t="inlineStr">
        <is>
          <t>Dalekie bałuty</t>
        </is>
      </c>
      <c r="I755" t="inlineStr">
        <is>
          <t>NIE</t>
        </is>
      </c>
      <c r="J755" t="inlineStr">
        <is>
          <t>NIE</t>
        </is>
      </c>
      <c r="K755" t="n">
        <v>602721434</v>
      </c>
      <c r="L755" t="n">
        <v>310000</v>
      </c>
      <c r="M755" t="n">
        <v>7209.302325581395</v>
      </c>
      <c r="N755" t="n">
        <v>43</v>
      </c>
      <c r="O755" t="inlineStr">
        <is>
          <t>2+k</t>
        </is>
      </c>
      <c r="P755" t="n">
        <v>3</v>
      </c>
      <c r="Q755" t="inlineStr">
        <is>
          <t>Puste</t>
        </is>
      </c>
    </row>
    <row r="756">
      <c r="A756" t="n">
        <v>755</v>
      </c>
      <c r="B756" s="3" t="n">
        <v>45523</v>
      </c>
      <c r="C756" s="3" t="n">
        <v>45548</v>
      </c>
      <c r="D756" t="inlineStr">
        <is>
          <t>https://www.otodom.pl/pl/oferta/julianowska-1-3-pokoje-z-balkonem-do-remontu-59m2-ID4s4Bd</t>
        </is>
      </c>
      <c r="E756">
        <f>HYPERLINK("https://www.otodom.pl/pl/oferta/julianowska-1-3-pokoje-z-balkonem-do-remontu-59m2-ID4s4Bd", "https://www.otodom.pl/pl/oferta/julianowska-1-3-pokoje-z-balkonem-do-remontu-59m2-ID4s4Bd")</f>
        <v/>
      </c>
      <c r="F756" t="inlineStr">
        <is>
          <t>julianowska</t>
        </is>
      </c>
      <c r="G756" t="inlineStr">
        <is>
          <t>Bałuty</t>
        </is>
      </c>
      <c r="H756" t="inlineStr">
        <is>
          <t>Bałuty</t>
        </is>
      </c>
      <c r="I756" t="inlineStr">
        <is>
          <t>TAK</t>
        </is>
      </c>
      <c r="J756" t="inlineStr">
        <is>
          <t>TAK</t>
        </is>
      </c>
      <c r="K756" t="n">
        <v>690344967</v>
      </c>
      <c r="L756" t="n">
        <v>409000</v>
      </c>
      <c r="M756" t="n">
        <v>6925.160853369454</v>
      </c>
      <c r="N756" t="n">
        <v>59.06</v>
      </c>
      <c r="O756" t="inlineStr">
        <is>
          <t>3+k</t>
        </is>
      </c>
      <c r="P756" t="n">
        <v>9</v>
      </c>
      <c r="Q756" t="inlineStr">
        <is>
          <t>Nie da się zamieszkać</t>
        </is>
      </c>
      <c r="R756" t="inlineStr">
        <is>
          <t>30.08. było 419k</t>
        </is>
      </c>
    </row>
    <row r="757">
      <c r="A757" t="n">
        <v>756</v>
      </c>
      <c r="B757" s="3" t="n">
        <v>45523</v>
      </c>
      <c r="D757" t="inlineStr">
        <is>
          <t>https://www.otodom.pl/pl/oferta/rozkladowe-m-4-z-balkonem-blisko-lasek-widzewski-ID4s4Ly</t>
        </is>
      </c>
      <c r="E757">
        <f>HYPERLINK("https://www.otodom.pl/pl/oferta/rozkladowe-m-4-z-balkonem-blisko-lasek-widzewski-ID4s4Ly", "https://www.otodom.pl/pl/oferta/rozkladowe-m-4-z-balkonem-blisko-lasek-widzewski-ID4s4Ly")</f>
        <v/>
      </c>
      <c r="F757" t="inlineStr">
        <is>
          <t>lermontowa</t>
        </is>
      </c>
      <c r="G757" t="inlineStr">
        <is>
          <t>Widzew</t>
        </is>
      </c>
      <c r="H757" t="inlineStr">
        <is>
          <t>Widzew</t>
        </is>
      </c>
      <c r="I757" t="inlineStr">
        <is>
          <t>NIE</t>
        </is>
      </c>
      <c r="J757" t="inlineStr">
        <is>
          <t>TAK</t>
        </is>
      </c>
      <c r="K757" t="n">
        <v>883541184</v>
      </c>
      <c r="L757" t="n">
        <v>369000</v>
      </c>
      <c r="M757" t="n">
        <v>6750.823271130626</v>
      </c>
      <c r="N757" t="n">
        <v>54.66</v>
      </c>
      <c r="O757" t="inlineStr">
        <is>
          <t>3+k</t>
        </is>
      </c>
      <c r="P757" t="n">
        <v>6</v>
      </c>
      <c r="Q757" t="inlineStr">
        <is>
          <t>Nie da się zamieszkać</t>
        </is>
      </c>
      <c r="R757" t="inlineStr">
        <is>
          <t>05.09.2024 Lermontowa 1, umówione na 18:00 tego samego dnia, ktoś rzucał balona na 300k, pośredniczka mówi, że realnie to pójdzie za 350k, ja rzuciłem 345k już z proziwją i jadę ;) na spotkaniu złożona oferta na 330k + prowizja, odrzucona po 2 dniach, czekamy co dalej, bo króko wisi ogłoszenie, właścicielka mieszka we Francji, chce sprzedać mieszkanie za gotówkę</t>
        </is>
      </c>
    </row>
    <row r="758">
      <c r="A758" t="n">
        <v>757</v>
      </c>
      <c r="B758" s="3" t="n">
        <v>45523</v>
      </c>
      <c r="C758" s="3" t="n">
        <v>45510</v>
      </c>
      <c r="D758" t="inlineStr">
        <is>
          <t>https://www.otodom.pl/pl/oferta/inwestorze-mieszkanie-z-przyszloscia-i-dochodami-ID4s4Ny</t>
        </is>
      </c>
      <c r="E758">
        <f>HYPERLINK("https://www.otodom.pl/pl/oferta/inwestorze-mieszkanie-z-przyszloscia-i-dochodami-ID4s4Ny", "https://www.otodom.pl/pl/oferta/inwestorze-mieszkanie-z-przyszloscia-i-dochodami-ID4s4Ny")</f>
        <v/>
      </c>
      <c r="F758" t="inlineStr">
        <is>
          <t>koziny</t>
        </is>
      </c>
      <c r="G758" t="inlineStr">
        <is>
          <t>Polesie</t>
        </is>
      </c>
      <c r="H758" t="inlineStr">
        <is>
          <t>Polesie</t>
        </is>
      </c>
      <c r="I758" t="inlineStr">
        <is>
          <t>TAK</t>
        </is>
      </c>
      <c r="J758" t="inlineStr">
        <is>
          <t>TAK</t>
        </is>
      </c>
      <c r="K758" t="n">
        <v>880271877</v>
      </c>
      <c r="L758" t="n">
        <v>370000</v>
      </c>
      <c r="M758" t="n">
        <v>6851.851851851852</v>
      </c>
      <c r="N758" t="n">
        <v>54</v>
      </c>
      <c r="O758" t="inlineStr">
        <is>
          <t>2+k</t>
        </is>
      </c>
      <c r="P758" t="n">
        <v>8</v>
      </c>
      <c r="Q758" t="inlineStr">
        <is>
          <t>Nie da się zamieszkać</t>
        </is>
      </c>
    </row>
    <row r="759">
      <c r="A759" t="n">
        <v>758</v>
      </c>
      <c r="B759" s="3" t="n">
        <v>45523</v>
      </c>
      <c r="C759" s="3" t="n">
        <v>45510</v>
      </c>
      <c r="D759" t="inlineStr">
        <is>
          <t>https://www.otodom.pl/pl/oferta/mieszkanie-z-balkonem-do-remontu-widzew-ID4s4Vc.html</t>
        </is>
      </c>
      <c r="E759">
        <f>HYPERLINK("https://www.otodom.pl/pl/oferta/mieszkanie-z-balkonem-do-remontu-widzew-ID4s4Vc.html", "https://www.otodom.pl/pl/oferta/mieszkanie-z-balkonem-do-remontu-widzew-ID4s4Vc.html")</f>
        <v/>
      </c>
      <c r="F759" t="inlineStr">
        <is>
          <t>sacharowa</t>
        </is>
      </c>
      <c r="G759" t="inlineStr">
        <is>
          <t>Widzew</t>
        </is>
      </c>
      <c r="H759" t="inlineStr">
        <is>
          <t>Widzew</t>
        </is>
      </c>
      <c r="I759" t="inlineStr">
        <is>
          <t>TAK</t>
        </is>
      </c>
      <c r="J759" t="inlineStr">
        <is>
          <t>NIE</t>
        </is>
      </c>
      <c r="K759" t="n">
        <v>694275730</v>
      </c>
      <c r="L759" t="n">
        <v>289000</v>
      </c>
      <c r="M759" t="n">
        <v>8228.929384965832</v>
      </c>
      <c r="N759" t="n">
        <v>35.12</v>
      </c>
      <c r="O759" t="inlineStr">
        <is>
          <t>1+k</t>
        </is>
      </c>
      <c r="P759" t="n">
        <v>7</v>
      </c>
      <c r="Q759" t="inlineStr">
        <is>
          <t>Puste posprzątane</t>
        </is>
      </c>
    </row>
    <row r="760">
      <c r="A760" t="n">
        <v>759</v>
      </c>
      <c r="B760" s="3" t="n">
        <v>45523</v>
      </c>
      <c r="C760" s="3" t="n">
        <v>45510</v>
      </c>
      <c r="D760" t="inlineStr">
        <is>
          <t>https://www.otodom.pl/pl/oferta/m-3-38m2-teofilow-ID4s4Y5.html</t>
        </is>
      </c>
      <c r="E760">
        <f>HYPERLINK("https://www.otodom.pl/pl/oferta/m-3-38m2-teofilow-ID4s4Y5.html", "https://www.otodom.pl/pl/oferta/m-3-38m2-teofilow-ID4s4Y5.html")</f>
        <v/>
      </c>
      <c r="F760" t="inlineStr">
        <is>
          <t>rojna</t>
        </is>
      </c>
      <c r="G760" t="inlineStr">
        <is>
          <t>Teofilów</t>
        </is>
      </c>
      <c r="H760" t="inlineStr">
        <is>
          <t>Teofilów</t>
        </is>
      </c>
      <c r="I760" t="inlineStr">
        <is>
          <t>TAK</t>
        </is>
      </c>
      <c r="J760" t="inlineStr">
        <is>
          <t>TAK</t>
        </is>
      </c>
      <c r="K760" t="n">
        <v>668699393</v>
      </c>
      <c r="L760" t="n">
        <v>265000</v>
      </c>
      <c r="M760" t="n">
        <v>6973.684210526316</v>
      </c>
      <c r="N760" t="n">
        <v>38</v>
      </c>
      <c r="O760" t="inlineStr">
        <is>
          <t>2+k</t>
        </is>
      </c>
      <c r="P760" t="n">
        <v>3</v>
      </c>
      <c r="Q760" t="inlineStr">
        <is>
          <t>Nie da się zamieszkać</t>
        </is>
      </c>
    </row>
    <row r="761">
      <c r="A761" t="n">
        <v>760</v>
      </c>
      <c r="B761" s="3" t="n">
        <v>45523</v>
      </c>
      <c r="D761" t="inlineStr">
        <is>
          <t>https://www.olx.pl/d/oferta/mieszkanie-karolew-38m2-CID3-ID11vGpc.html</t>
        </is>
      </c>
      <c r="E761">
        <f>HYPERLINK("https://www.olx.pl/d/oferta/mieszkanie-karolew-38m2-CID3-ID11vGpc.html", "https://www.olx.pl/d/oferta/mieszkanie-karolew-38m2-CID3-ID11vGpc.html")</f>
        <v/>
      </c>
      <c r="F761" t="inlineStr">
        <is>
          <t>wioślarska</t>
        </is>
      </c>
      <c r="G761" t="inlineStr">
        <is>
          <t>Retkinia</t>
        </is>
      </c>
      <c r="H761" t="inlineStr">
        <is>
          <t>Retkinia blisko centrum</t>
        </is>
      </c>
      <c r="I761" t="inlineStr">
        <is>
          <t>NIE</t>
        </is>
      </c>
      <c r="J761" t="inlineStr">
        <is>
          <t>TAK</t>
        </is>
      </c>
      <c r="K761" t="n">
        <v>794927777</v>
      </c>
      <c r="L761" t="n">
        <v>268000</v>
      </c>
      <c r="M761" t="n">
        <v>7052.631578947368</v>
      </c>
      <c r="N761" t="n">
        <v>38</v>
      </c>
      <c r="O761" t="inlineStr">
        <is>
          <t>2+k</t>
        </is>
      </c>
      <c r="P761" t="n">
        <v>2</v>
      </c>
      <c r="Q761" t="inlineStr">
        <is>
          <t>Nie da się zamieszkać</t>
        </is>
      </c>
      <c r="R761" t="inlineStr">
        <is>
          <t>11.09 nie odbiera</t>
        </is>
      </c>
    </row>
    <row r="762">
      <c r="A762" t="n">
        <v>761</v>
      </c>
      <c r="B762" s="3" t="n">
        <v>45524</v>
      </c>
      <c r="D762" t="inlineStr">
        <is>
          <t>https://www.otodom.pl/pl/oferta/mieszkanie-37-m-lodz-ID4s5hX.html</t>
        </is>
      </c>
      <c r="E762">
        <f>HYPERLINK("https://www.otodom.pl/pl/oferta/mieszkanie-37-m-lodz-ID4s5hX.html", "https://www.otodom.pl/pl/oferta/mieszkanie-37-m-lodz-ID4s5hX.html")</f>
        <v/>
      </c>
      <c r="F762" t="inlineStr">
        <is>
          <t xml:space="preserve">dąbrowskiego </t>
        </is>
      </c>
      <c r="G762" t="inlineStr">
        <is>
          <t>Dąbrowa</t>
        </is>
      </c>
      <c r="H762" t="inlineStr">
        <is>
          <t>Dąbrowa</t>
        </is>
      </c>
      <c r="I762" t="inlineStr">
        <is>
          <t>NIE</t>
        </is>
      </c>
      <c r="J762" t="inlineStr">
        <is>
          <t>TAK</t>
        </is>
      </c>
      <c r="K762" t="n">
        <v>660676796</v>
      </c>
      <c r="L762" t="n">
        <v>290000</v>
      </c>
      <c r="M762" t="n">
        <v>7837.837837837837</v>
      </c>
      <c r="N762" t="n">
        <v>37</v>
      </c>
      <c r="O762" t="inlineStr">
        <is>
          <t>2+k</t>
        </is>
      </c>
      <c r="P762" t="n">
        <v>0</v>
      </c>
      <c r="Q762" t="inlineStr">
        <is>
          <t>Nie da się zamieszkać</t>
        </is>
      </c>
    </row>
    <row r="763">
      <c r="A763" t="n">
        <v>762</v>
      </c>
      <c r="B763" s="3" t="n">
        <v>45524</v>
      </c>
      <c r="D763" t="inlineStr">
        <is>
          <t>https://www.otodom.pl/pl/oferta/sprzedam-mieszkanie-do-remontu-brak-prowizji-ID4s5ww.html</t>
        </is>
      </c>
      <c r="E763">
        <f>HYPERLINK("https://www.otodom.pl/pl/oferta/sprzedam-mieszkanie-do-remontu-brak-prowizji-ID4s5ww.html", "https://www.otodom.pl/pl/oferta/sprzedam-mieszkanie-do-remontu-brak-prowizji-ID4s5ww.html")</f>
        <v/>
      </c>
      <c r="F763" t="inlineStr">
        <is>
          <t>organizacji win</t>
        </is>
      </c>
      <c r="G763" t="inlineStr">
        <is>
          <t>Bałuty</t>
        </is>
      </c>
      <c r="H763" t="inlineStr">
        <is>
          <t>Bałuty blisko centrum</t>
        </is>
      </c>
      <c r="I763" t="inlineStr">
        <is>
          <t>NIE</t>
        </is>
      </c>
      <c r="J763" t="inlineStr">
        <is>
          <t>TAK</t>
        </is>
      </c>
      <c r="K763" t="n">
        <v>514547155</v>
      </c>
      <c r="L763" t="n">
        <v>279000</v>
      </c>
      <c r="M763" t="n">
        <v>7499.999999999999</v>
      </c>
      <c r="N763" t="n">
        <v>37.2</v>
      </c>
      <c r="O763" t="inlineStr">
        <is>
          <t>2+k</t>
        </is>
      </c>
      <c r="P763" t="n">
        <v>1</v>
      </c>
      <c r="Q763" t="inlineStr">
        <is>
          <t>Puste</t>
        </is>
      </c>
      <c r="R763" t="inlineStr">
        <is>
          <t xml:space="preserve">telefon 28.0.2024, pośredniczka mówi że nie ma prowizji, powiedziała, że za 275 puści, ja rzuciłem 270k (błąd), mieszkanie jest na spółkę, 272,5k odbiła piłeczkę, wspólnota, KW, </t>
        </is>
      </c>
    </row>
    <row r="764">
      <c r="A764" t="n">
        <v>763</v>
      </c>
      <c r="B764" s="3" t="n">
        <v>45524</v>
      </c>
      <c r="D764" t="inlineStr">
        <is>
          <t>https://www.otodom.pl/pl/oferta/3-pokoje-balkon-3-pietro-koziny-zubardz-ID4s5zT.html</t>
        </is>
      </c>
      <c r="E764">
        <f>HYPERLINK("https://www.otodom.pl/pl/oferta/3-pokoje-balkon-3-pietro-koziny-zubardz-ID4s5zT.html", "https://www.otodom.pl/pl/oferta/3-pokoje-balkon-3-pietro-koziny-zubardz-ID4s5zT.html")</f>
        <v/>
      </c>
      <c r="F764" t="inlineStr">
        <is>
          <t>koziny</t>
        </is>
      </c>
      <c r="G764" t="inlineStr">
        <is>
          <t>Polesie</t>
        </is>
      </c>
      <c r="H764" t="inlineStr">
        <is>
          <t>Polesie</t>
        </is>
      </c>
      <c r="I764" t="inlineStr">
        <is>
          <t>NIE</t>
        </is>
      </c>
      <c r="J764" t="inlineStr">
        <is>
          <t>TAK</t>
        </is>
      </c>
      <c r="K764" t="n">
        <v>797730141</v>
      </c>
      <c r="L764" t="n">
        <v>385000</v>
      </c>
      <c r="M764" t="n">
        <v>7129.62962962963</v>
      </c>
      <c r="N764" t="n">
        <v>54</v>
      </c>
      <c r="O764" t="inlineStr">
        <is>
          <t>3+k</t>
        </is>
      </c>
      <c r="P764" t="n">
        <v>3</v>
      </c>
      <c r="Q764" t="inlineStr">
        <is>
          <t>Nie da się zamieszkać</t>
        </is>
      </c>
    </row>
    <row r="765">
      <c r="A765" t="n">
        <v>764</v>
      </c>
      <c r="B765" s="3" t="n">
        <v>45524</v>
      </c>
      <c r="D765" t="inlineStr">
        <is>
          <t>https://www.otodom.pl/pl/oferta/rozkladowe-m-3-z-balkonem-i-duza-kuchnia-ID4s5MO</t>
        </is>
      </c>
      <c r="E765">
        <f>HYPERLINK("https://www.otodom.pl/pl/oferta/rozkladowe-m-3-z-balkonem-i-duza-kuchnia-ID4s5MO", "https://www.otodom.pl/pl/oferta/rozkladowe-m-3-z-balkonem-i-duza-kuchnia-ID4s5MO")</f>
        <v/>
      </c>
      <c r="F765" t="inlineStr">
        <is>
          <t>Aleksandrowska</t>
        </is>
      </c>
      <c r="G765" t="inlineStr">
        <is>
          <t>Teofilów</t>
        </is>
      </c>
      <c r="H765" t="inlineStr">
        <is>
          <t>Teofilów</t>
        </is>
      </c>
      <c r="I765" t="inlineStr">
        <is>
          <t>NIE</t>
        </is>
      </c>
      <c r="J765" t="inlineStr">
        <is>
          <t>TAK</t>
        </is>
      </c>
      <c r="K765" t="n">
        <v>883541184</v>
      </c>
      <c r="L765" t="n">
        <v>279000</v>
      </c>
      <c r="M765" t="n">
        <v>6286.615592609283</v>
      </c>
      <c r="N765" t="n">
        <v>44.38</v>
      </c>
      <c r="O765" t="inlineStr">
        <is>
          <t>2+k</t>
        </is>
      </c>
      <c r="P765" t="n">
        <v>4</v>
      </c>
      <c r="Q765" t="inlineStr">
        <is>
          <t>Nie da się zamieszkać</t>
        </is>
      </c>
    </row>
    <row r="766">
      <c r="A766" t="n">
        <v>765</v>
      </c>
      <c r="B766" s="3" t="n">
        <v>45524</v>
      </c>
      <c r="D766" t="inlineStr">
        <is>
          <t>https://www.otodom.pl/pl/oferta/mieszkanie-m3-do-remontu-na-balutach-ID4s5Ik.html</t>
        </is>
      </c>
      <c r="E766">
        <f>HYPERLINK("https://www.otodom.pl/pl/oferta/mieszkanie-m3-do-remontu-na-balutach-ID4s5Ik.html", "https://www.otodom.pl/pl/oferta/mieszkanie-m3-do-remontu-na-balutach-ID4s5Ik.html")</f>
        <v/>
      </c>
      <c r="F766" t="inlineStr">
        <is>
          <t>młynarska</t>
        </is>
      </c>
      <c r="G766" t="inlineStr">
        <is>
          <t>Bałuty</t>
        </is>
      </c>
      <c r="H766" t="inlineStr">
        <is>
          <t>Bałuty</t>
        </is>
      </c>
      <c r="I766" t="inlineStr">
        <is>
          <t>NIE</t>
        </is>
      </c>
      <c r="J766" t="inlineStr">
        <is>
          <t>TAK</t>
        </is>
      </c>
      <c r="K766" t="n">
        <v>510266546</v>
      </c>
      <c r="L766" t="n">
        <v>275000</v>
      </c>
      <c r="M766" t="n">
        <v>7343.124165554072</v>
      </c>
      <c r="N766" t="n">
        <v>37.45</v>
      </c>
      <c r="O766" t="inlineStr">
        <is>
          <t>2+k</t>
        </is>
      </c>
      <c r="P766" t="n">
        <v>10</v>
      </c>
      <c r="Q766" t="inlineStr">
        <is>
          <t>Puste posprzątane</t>
        </is>
      </c>
      <c r="R766" t="inlineStr">
        <is>
          <t>sprzedaja z wizualizacja 3d</t>
        </is>
      </c>
    </row>
    <row r="767">
      <c r="A767" t="n">
        <v>766</v>
      </c>
      <c r="B767" s="3" t="n">
        <v>45524</v>
      </c>
      <c r="C767" s="3" t="n">
        <v>45532</v>
      </c>
      <c r="D767" t="inlineStr">
        <is>
          <t>https://nieruchomosci.gratka.pl/nieruchomosci/mieszkanie-lodz-baluty-zmienna/ob/36582075</t>
        </is>
      </c>
      <c r="E767">
        <f>HYPERLINK("https://nieruchomosci.gratka.pl/nieruchomosci/mieszkanie-lodz-baluty-zmienna/ob/36582075", "https://nieruchomosci.gratka.pl/nieruchomosci/mieszkanie-lodz-baluty-zmienna/ob/36582075")</f>
        <v/>
      </c>
      <c r="F767" t="inlineStr">
        <is>
          <t>marysin</t>
        </is>
      </c>
      <c r="G767" t="inlineStr">
        <is>
          <t>Bałuty</t>
        </is>
      </c>
      <c r="H767" t="inlineStr">
        <is>
          <t>Bałuty</t>
        </is>
      </c>
      <c r="I767" t="inlineStr">
        <is>
          <t>TAK</t>
        </is>
      </c>
      <c r="J767" t="inlineStr">
        <is>
          <t>TAK</t>
        </is>
      </c>
      <c r="K767" t="n">
        <v>511719739</v>
      </c>
      <c r="L767" t="n">
        <v>338000</v>
      </c>
      <c r="M767" t="n">
        <v>6760</v>
      </c>
      <c r="N767" t="n">
        <v>50</v>
      </c>
      <c r="O767" t="inlineStr">
        <is>
          <t>2+k</t>
        </is>
      </c>
      <c r="P767" t="n">
        <v>3</v>
      </c>
      <c r="Q767" t="inlineStr">
        <is>
          <t>Nie da się zamieszkać</t>
        </is>
      </c>
    </row>
    <row r="768">
      <c r="A768" t="n">
        <v>767</v>
      </c>
      <c r="B768" s="3" t="n">
        <v>45524</v>
      </c>
      <c r="D768" t="inlineStr">
        <is>
          <t>https://www.otodom.pl/pl/oferta/retkinia-poludnie-3-pokoje-loggia-ID4s5V2</t>
        </is>
      </c>
      <c r="E768">
        <f>HYPERLINK("https://www.otodom.pl/pl/oferta/retkinia-poludnie-3-pokoje-loggia-ID4s5V2", "https://www.otodom.pl/pl/oferta/retkinia-poludnie-3-pokoje-loggia-ID4s5V2")</f>
        <v/>
      </c>
      <c r="F768" t="inlineStr">
        <is>
          <t>maratońska</t>
        </is>
      </c>
      <c r="G768" t="inlineStr">
        <is>
          <t>Retkinia</t>
        </is>
      </c>
      <c r="H768" t="inlineStr">
        <is>
          <t>Retkinia</t>
        </is>
      </c>
      <c r="I768" t="inlineStr">
        <is>
          <t>NIE</t>
        </is>
      </c>
      <c r="J768" t="inlineStr">
        <is>
          <t>TAK</t>
        </is>
      </c>
      <c r="K768" t="n">
        <v>519686981</v>
      </c>
      <c r="L768" t="n">
        <v>420000</v>
      </c>
      <c r="M768" t="n">
        <v>7368.421052631579</v>
      </c>
      <c r="N768" t="n">
        <v>57</v>
      </c>
      <c r="O768" t="inlineStr">
        <is>
          <t>3+k</t>
        </is>
      </c>
      <c r="P768" t="n">
        <v>2</v>
      </c>
      <c r="Q768" t="inlineStr">
        <is>
          <t>Nie da się zamieszkać</t>
        </is>
      </c>
    </row>
    <row r="769">
      <c r="A769" t="n">
        <v>768</v>
      </c>
      <c r="B769" s="3" t="n">
        <v>45524</v>
      </c>
      <c r="C769" s="3" t="n">
        <v>45510</v>
      </c>
      <c r="D769" t="inlineStr">
        <is>
          <t>https://www.otodom.pl/pl/oferta/mieszkanie43m2-2-pokoje-julianowska-do-remontu-ID4s5VS</t>
        </is>
      </c>
      <c r="E769">
        <f>HYPERLINK("https://www.otodom.pl/pl/oferta/mieszkanie43m2-2-pokoje-julianowska-do-remontu-ID4s5VS", "https://www.otodom.pl/pl/oferta/mieszkanie43m2-2-pokoje-julianowska-do-remontu-ID4s5VS")</f>
        <v/>
      </c>
      <c r="F769" t="inlineStr">
        <is>
          <t>julianowska</t>
        </is>
      </c>
      <c r="G769" t="inlineStr">
        <is>
          <t>Bałuty</t>
        </is>
      </c>
      <c r="H769" t="inlineStr">
        <is>
          <t>Bałuty</t>
        </is>
      </c>
      <c r="I769" t="inlineStr">
        <is>
          <t>TAK</t>
        </is>
      </c>
      <c r="J769" t="inlineStr">
        <is>
          <t>TAK</t>
        </is>
      </c>
      <c r="K769" t="n">
        <v>690344967</v>
      </c>
      <c r="L769" t="n">
        <v>295000</v>
      </c>
      <c r="M769" t="n">
        <v>6860.46511627907</v>
      </c>
      <c r="N769" t="n">
        <v>43</v>
      </c>
      <c r="O769" t="inlineStr">
        <is>
          <t>2+k</t>
        </is>
      </c>
      <c r="P769" t="n">
        <v>7</v>
      </c>
      <c r="Q769" t="inlineStr">
        <is>
          <t>Nie da się zamieszkać</t>
        </is>
      </c>
    </row>
    <row r="770">
      <c r="A770" t="n">
        <v>769</v>
      </c>
      <c r="B770" s="3" t="n">
        <v>45524</v>
      </c>
      <c r="C770" s="3" t="n">
        <v>45510</v>
      </c>
      <c r="D770" t="inlineStr">
        <is>
          <t>https://www.otodom.pl/pl/oferta/m-3-baluty-doly-przy-asp-2-pokoje-ID4s60d</t>
        </is>
      </c>
      <c r="E770">
        <f>HYPERLINK("https://www.otodom.pl/pl/oferta/m-3-baluty-doly-przy-asp-2-pokoje-ID4s60d", "https://www.otodom.pl/pl/oferta/m-3-baluty-doly-przy-asp-2-pokoje-ID4s60d")</f>
        <v/>
      </c>
      <c r="F770" t="inlineStr">
        <is>
          <t>wojska polskiego</t>
        </is>
      </c>
      <c r="G770" t="inlineStr">
        <is>
          <t>Bałuty</t>
        </is>
      </c>
      <c r="H770" t="inlineStr">
        <is>
          <t>Bałuty blisko centrum</t>
        </is>
      </c>
      <c r="I770" t="inlineStr">
        <is>
          <t>TAK</t>
        </is>
      </c>
      <c r="J770" t="inlineStr">
        <is>
          <t>TAK</t>
        </is>
      </c>
      <c r="K770" t="n">
        <v>519686981</v>
      </c>
      <c r="L770" t="n">
        <v>269000</v>
      </c>
      <c r="M770" t="n">
        <v>6725</v>
      </c>
      <c r="N770" t="n">
        <v>40</v>
      </c>
      <c r="O770" t="inlineStr">
        <is>
          <t>2+k</t>
        </is>
      </c>
      <c r="P770" t="n">
        <v>0</v>
      </c>
      <c r="Q770" t="inlineStr">
        <is>
          <t>Nie da się zamieszkać</t>
        </is>
      </c>
      <c r="R770" t="inlineStr">
        <is>
          <t>03.09 nieaktualne, "A czego Pan poszukuje?" "Jaracza 82 na pokoje, dzwonić do pośredniczki" Kawulska Karolina</t>
        </is>
      </c>
    </row>
    <row r="771">
      <c r="A771" t="n">
        <v>770</v>
      </c>
      <c r="B771" s="3" t="n">
        <v>45524</v>
      </c>
      <c r="D771" t="inlineStr">
        <is>
          <t>https://www.otodom.pl/pl/oferta/mieszkanie-baluty-2-pokoje-45m2-ID4s681.html</t>
        </is>
      </c>
      <c r="E771">
        <f>HYPERLINK("https://www.otodom.pl/pl/oferta/mieszkanie-baluty-2-pokoje-45m2-ID4s681.html", "https://www.otodom.pl/pl/oferta/mieszkanie-baluty-2-pokoje-45m2-ID4s681.html")</f>
        <v/>
      </c>
      <c r="F771" t="inlineStr">
        <is>
          <t>krotoszyńska</t>
        </is>
      </c>
      <c r="G771" t="inlineStr">
        <is>
          <t>Polesie</t>
        </is>
      </c>
      <c r="H771" t="inlineStr">
        <is>
          <t>Polesie</t>
        </is>
      </c>
      <c r="I771" t="inlineStr">
        <is>
          <t>NIE</t>
        </is>
      </c>
      <c r="J771" t="inlineStr">
        <is>
          <t>TAK</t>
        </is>
      </c>
      <c r="K771" t="n">
        <v>733088878</v>
      </c>
      <c r="L771" t="n">
        <v>310000</v>
      </c>
      <c r="M771" t="n">
        <v>6888.888888888889</v>
      </c>
      <c r="N771" t="n">
        <v>45</v>
      </c>
      <c r="O771" t="inlineStr">
        <is>
          <t>2+k</t>
        </is>
      </c>
      <c r="P771" t="n">
        <v>1</v>
      </c>
      <c r="Q771" t="inlineStr">
        <is>
          <t>Nie da się zamieszkać</t>
        </is>
      </c>
      <c r="R771" t="inlineStr">
        <is>
          <t>05.09.2024 sprzedana Krotoszyńska, pośredniczka ma mi wysłać podobne na ulicy Mokrej, ale ciut droższe, niestety póki co bez negocjacji: https://www.otodom.pl/pl/oferta/m3-w-dzielnicy-baluty-zielona-okolica-ID4rUdA</t>
        </is>
      </c>
    </row>
    <row r="772">
      <c r="A772" t="n">
        <v>771</v>
      </c>
      <c r="B772" s="3" t="n">
        <v>45524</v>
      </c>
      <c r="D772" t="inlineStr">
        <is>
          <t>https://www.olx.pl/d/oferta/sprzedam-kawalerke-w-lodzi-obok-manufaktury-od-wlasciciela-CID3-IDXfLsH.html?isPreviewActive=0&amp;sliderIndex=0</t>
        </is>
      </c>
      <c r="E772">
        <f>HYPERLINK("https://www.olx.pl/d/oferta/sprzedam-kawalerke-w-lodzi-obok-manufaktury-od-wlasciciela-CID3-IDXfLsH.html?isPreviewActive=0&amp;sliderIndex=0", "https://www.olx.pl/d/oferta/sprzedam-kawalerke-w-lodzi-obok-manufaktury-od-wlasciciela-CID3-IDXfLsH.html?isPreviewActive=0&amp;sliderIndex=0")</f>
        <v/>
      </c>
      <c r="F772" t="inlineStr">
        <is>
          <t>zachodnia</t>
        </is>
      </c>
      <c r="G772" t="inlineStr">
        <is>
          <t>Bałuty</t>
        </is>
      </c>
      <c r="H772" t="inlineStr">
        <is>
          <t>Bałuty blisko centrum</t>
        </is>
      </c>
      <c r="I772" t="inlineStr">
        <is>
          <t>NIE</t>
        </is>
      </c>
      <c r="J772" t="inlineStr">
        <is>
          <t>NIE</t>
        </is>
      </c>
      <c r="K772" t="n">
        <v>515778928</v>
      </c>
      <c r="L772" t="n">
        <v>225000</v>
      </c>
      <c r="M772" t="n">
        <v>6428.571428571428</v>
      </c>
      <c r="N772" t="n">
        <v>35</v>
      </c>
      <c r="O772" t="inlineStr">
        <is>
          <t>3+k</t>
        </is>
      </c>
      <c r="P772" t="n">
        <v>3</v>
      </c>
      <c r="Q772" t="inlineStr">
        <is>
          <t>Nie da się zamieszkać</t>
        </is>
      </c>
      <c r="R772" t="inlineStr">
        <is>
          <t>03.09.2024 wtorek, jest osoba chęna kupić, zadzwonić w czwartek, czyli po 2 dniach ponownie</t>
        </is>
      </c>
    </row>
    <row r="773">
      <c r="A773" t="n">
        <v>772</v>
      </c>
      <c r="B773" s="3" t="n">
        <v>45524</v>
      </c>
      <c r="D773" t="inlineStr">
        <is>
          <t>https://szybko.pl/o/na-sprzedaz/lokal-mieszkalny/Łódź+Widzew/oferta-15262701</t>
        </is>
      </c>
      <c r="E773">
        <f>HYPERLINK("https://szybko.pl/o/na-sprzedaz/lokal-mieszkalny/Łódź+Widzew/oferta-15262701", "https://szybko.pl/o/na-sprzedaz/lokal-mieszkalny/Łódź+Widzew/oferta-15262701")</f>
        <v/>
      </c>
      <c r="F773" t="inlineStr">
        <is>
          <t>wysoka</t>
        </is>
      </c>
      <c r="G773" t="inlineStr">
        <is>
          <t>Górna</t>
        </is>
      </c>
      <c r="H773" t="inlineStr">
        <is>
          <t>Górna blisko centrum</t>
        </is>
      </c>
      <c r="I773" t="inlineStr">
        <is>
          <t>NIE</t>
        </is>
      </c>
      <c r="J773" t="inlineStr">
        <is>
          <t>TAK</t>
        </is>
      </c>
      <c r="K773" t="n">
        <v>664977271</v>
      </c>
      <c r="L773" t="n">
        <v>355000</v>
      </c>
      <c r="M773" t="n">
        <v>7888.888888888889</v>
      </c>
      <c r="N773" t="n">
        <v>45</v>
      </c>
      <c r="O773" t="inlineStr">
        <is>
          <t>2+k</t>
        </is>
      </c>
      <c r="P773" t="n">
        <v>2</v>
      </c>
      <c r="Q773" t="inlineStr">
        <is>
          <t>Nie da się zamieszkać</t>
        </is>
      </c>
    </row>
    <row r="774">
      <c r="A774" t="n">
        <v>773</v>
      </c>
      <c r="B774" s="3" t="n">
        <v>45524</v>
      </c>
      <c r="D774" t="inlineStr">
        <is>
          <t>https://www.olx.pl/d/oferta/mieszkanie-m3-45m-teofilow-parter-CID3-IDYtCNN.html</t>
        </is>
      </c>
      <c r="E774">
        <f>HYPERLINK("https://www.olx.pl/d/oferta/mieszkanie-m3-45m-teofilow-parter-CID3-IDYtCNN.html", "https://www.olx.pl/d/oferta/mieszkanie-m3-45m-teofilow-parter-CID3-IDYtCNN.html")</f>
        <v/>
      </c>
      <c r="F774" t="inlineStr">
        <is>
          <t>.</t>
        </is>
      </c>
      <c r="G774" t="inlineStr">
        <is>
          <t>Teofilów</t>
        </is>
      </c>
      <c r="H774" t="inlineStr">
        <is>
          <t>Teofilów</t>
        </is>
      </c>
      <c r="I774" t="inlineStr">
        <is>
          <t>NIE</t>
        </is>
      </c>
      <c r="J774" t="inlineStr">
        <is>
          <t>NIE</t>
        </is>
      </c>
      <c r="K774" t="n">
        <v>512447046</v>
      </c>
      <c r="L774" t="n">
        <v>286000</v>
      </c>
      <c r="M774" t="n">
        <v>6355.555555555556</v>
      </c>
      <c r="N774" t="n">
        <v>45</v>
      </c>
      <c r="O774" t="inlineStr">
        <is>
          <t>2+k</t>
        </is>
      </c>
      <c r="P774" t="n">
        <v>0</v>
      </c>
      <c r="Q774" t="inlineStr">
        <is>
          <t>Nie da się zamieszkać</t>
        </is>
      </c>
      <c r="R774" t="inlineStr">
        <is>
          <t>na ul. Judyma, 280k do ręki chce facet, natarczywy i seplenił XD</t>
        </is>
      </c>
      <c r="T774" t="inlineStr">
        <is>
          <t>453</t>
        </is>
      </c>
    </row>
    <row r="775">
      <c r="A775" t="n">
        <v>774</v>
      </c>
      <c r="B775" s="3" t="n">
        <v>45524</v>
      </c>
      <c r="C775" s="3" t="n">
        <v>45532</v>
      </c>
      <c r="D775" t="inlineStr">
        <is>
          <t>https://www.otodom.pl/pl/oferta/czas-zmian-czy-inwestycji-ID4s6h5</t>
        </is>
      </c>
      <c r="E775">
        <f>HYPERLINK("https://www.otodom.pl/pl/oferta/czas-zmian-czy-inwestycji-ID4s6h5", "https://www.otodom.pl/pl/oferta/czas-zmian-czy-inwestycji-ID4s6h5")</f>
        <v/>
      </c>
      <c r="F775" t="inlineStr">
        <is>
          <t>.</t>
        </is>
      </c>
      <c r="G775" t="inlineStr">
        <is>
          <t>Teofilów</t>
        </is>
      </c>
      <c r="H775" t="inlineStr">
        <is>
          <t>Teofilów</t>
        </is>
      </c>
      <c r="I775" t="inlineStr">
        <is>
          <t>TAK</t>
        </is>
      </c>
      <c r="J775" t="inlineStr">
        <is>
          <t>TAK</t>
        </is>
      </c>
      <c r="K775" t="n">
        <v>513606306</v>
      </c>
      <c r="L775" t="n">
        <v>259000</v>
      </c>
      <c r="M775" t="n">
        <v>7068.777292576419</v>
      </c>
      <c r="N775" t="n">
        <v>36.64</v>
      </c>
      <c r="O775" t="inlineStr">
        <is>
          <t>2+k</t>
        </is>
      </c>
      <c r="P775" t="n">
        <v>4</v>
      </c>
      <c r="Q775" t="inlineStr">
        <is>
          <t>Nie da się zamieszkać</t>
        </is>
      </c>
    </row>
    <row r="776">
      <c r="A776" t="n">
        <v>775</v>
      </c>
      <c r="B776" s="3" t="n">
        <v>45525</v>
      </c>
      <c r="D776" t="inlineStr">
        <is>
          <t>https://www.olx.pl/d/oferta/karolew-oryginalne-2-pokoje-pelen-rozklad-CID3-ID11y4Af.html?isPreviewActive=0&amp;sliderIndex=1</t>
        </is>
      </c>
      <c r="E776">
        <f>HYPERLINK("https://www.olx.pl/d/oferta/karolew-oryginalne-2-pokoje-pelen-rozklad-CID3-ID11y4Af.html?isPreviewActive=0&amp;sliderIndex=1", "https://www.olx.pl/d/oferta/karolew-oryginalne-2-pokoje-pelen-rozklad-CID3-ID11y4Af.html?isPreviewActive=0&amp;sliderIndex=1")</f>
        <v/>
      </c>
      <c r="F776" t="inlineStr">
        <is>
          <t>karolew</t>
        </is>
      </c>
      <c r="G776" t="inlineStr">
        <is>
          <t>Polesie</t>
        </is>
      </c>
      <c r="H776" t="inlineStr">
        <is>
          <t>Polesie</t>
        </is>
      </c>
      <c r="I776" t="inlineStr">
        <is>
          <t>NIE</t>
        </is>
      </c>
      <c r="J776" t="inlineStr">
        <is>
          <t>TAK</t>
        </is>
      </c>
      <c r="K776" t="n">
        <v>789635952</v>
      </c>
      <c r="L776" t="n">
        <v>295000</v>
      </c>
      <c r="M776" t="n">
        <v>7375</v>
      </c>
      <c r="N776" t="n">
        <v>40</v>
      </c>
      <c r="O776" t="inlineStr">
        <is>
          <t>2+k</t>
        </is>
      </c>
      <c r="P776" t="n">
        <v>1</v>
      </c>
      <c r="Q776" t="inlineStr">
        <is>
          <t>Nie da się zamieszkać</t>
        </is>
      </c>
    </row>
    <row r="777">
      <c r="A777" t="n">
        <v>776</v>
      </c>
      <c r="B777" s="3" t="n">
        <v>45525</v>
      </c>
      <c r="C777" s="3" t="n">
        <v>45510</v>
      </c>
      <c r="D777" t="inlineStr">
        <is>
          <t>https://www.otodom.pl/pl/oferta/kawalerka-na-retkini-31m2-ID4s6x8.html</t>
        </is>
      </c>
      <c r="E777">
        <f>HYPERLINK("https://www.otodom.pl/pl/oferta/kawalerka-na-retkini-31m2-ID4s6x8.html", "https://www.otodom.pl/pl/oferta/kawalerka-na-retkini-31m2-ID4s6x8.html")</f>
        <v/>
      </c>
      <c r="F777" t="inlineStr">
        <is>
          <t>.</t>
        </is>
      </c>
      <c r="G777" t="inlineStr">
        <is>
          <t>Retkinia</t>
        </is>
      </c>
      <c r="H777" t="inlineStr">
        <is>
          <t>Retkinia</t>
        </is>
      </c>
      <c r="I777" t="inlineStr">
        <is>
          <t>TAK</t>
        </is>
      </c>
      <c r="J777" t="inlineStr">
        <is>
          <t>TAK</t>
        </is>
      </c>
      <c r="K777" t="n">
        <v>798735866</v>
      </c>
      <c r="L777" t="n">
        <v>219000</v>
      </c>
      <c r="M777" t="n">
        <v>7064.516129032259</v>
      </c>
      <c r="N777" t="n">
        <v>31</v>
      </c>
      <c r="O777" t="inlineStr">
        <is>
          <t>1+k</t>
        </is>
      </c>
      <c r="P777" t="n">
        <v>0</v>
      </c>
      <c r="Q777" t="inlineStr">
        <is>
          <t>Nie da się zamieszkać</t>
        </is>
      </c>
      <c r="R777" t="inlineStr">
        <is>
          <t>telefon nie odpowiada</t>
        </is>
      </c>
    </row>
    <row r="778">
      <c r="A778" t="n">
        <v>777</v>
      </c>
      <c r="B778" s="3" t="n">
        <v>45525</v>
      </c>
      <c r="D778" t="inlineStr">
        <is>
          <t>https://www.olx.pl/d/oferta/piekne-mieszkanie-2-pok-dabrowa-balkon-CID3-ID11yeBB.html</t>
        </is>
      </c>
      <c r="E778">
        <f>HYPERLINK("https://www.olx.pl/d/oferta/piekne-mieszkanie-2-pok-dabrowa-balkon-CID3-ID11yeBB.html", "https://www.olx.pl/d/oferta/piekne-mieszkanie-2-pok-dabrowa-balkon-CID3-ID11yeBB.html")</f>
        <v/>
      </c>
      <c r="F778" t="inlineStr">
        <is>
          <t>gersona</t>
        </is>
      </c>
      <c r="G778" t="inlineStr">
        <is>
          <t>Dąbrowa</t>
        </is>
      </c>
      <c r="H778" t="inlineStr">
        <is>
          <t>Dąbrowa</t>
        </is>
      </c>
      <c r="I778" t="inlineStr">
        <is>
          <t>NIE</t>
        </is>
      </c>
      <c r="J778" t="inlineStr">
        <is>
          <t>NIE</t>
        </is>
      </c>
      <c r="K778" t="n">
        <v>737868827</v>
      </c>
      <c r="L778" t="n">
        <v>284000</v>
      </c>
      <c r="M778" t="n">
        <v>7888.888888888889</v>
      </c>
      <c r="N778" t="n">
        <v>36</v>
      </c>
      <c r="O778" t="inlineStr">
        <is>
          <t>2+k</t>
        </is>
      </c>
      <c r="P778" t="n">
        <v>4</v>
      </c>
      <c r="Q778" t="inlineStr">
        <is>
          <t>Puste posprzątane i odświeżone</t>
        </is>
      </c>
    </row>
    <row r="779">
      <c r="A779" t="n">
        <v>778</v>
      </c>
      <c r="B779" s="3" t="n">
        <v>45525</v>
      </c>
      <c r="D779" t="inlineStr">
        <is>
          <t>https://www.otodom.pl/pl/oferta/przestronne-mieszkanie-3-pok-3-pietro-ID4s6Li</t>
        </is>
      </c>
      <c r="E779">
        <f>HYPERLINK("https://www.otodom.pl/pl/oferta/przestronne-mieszkanie-3-pok-3-pietro-ID4s6Li", "https://www.otodom.pl/pl/oferta/przestronne-mieszkanie-3-pok-3-pietro-ID4s6Li")</f>
        <v/>
      </c>
      <c r="F779" t="inlineStr">
        <is>
          <t>zbaraska</t>
        </is>
      </c>
      <c r="G779" t="inlineStr">
        <is>
          <t>Dąbrowa</t>
        </is>
      </c>
      <c r="H779" t="inlineStr">
        <is>
          <t>Dąbrowa</t>
        </is>
      </c>
      <c r="I779" t="inlineStr">
        <is>
          <t>NIE</t>
        </is>
      </c>
      <c r="J779" t="inlineStr">
        <is>
          <t>TAK</t>
        </is>
      </c>
      <c r="K779" t="n">
        <v>737882672</v>
      </c>
      <c r="L779" t="n">
        <v>353000</v>
      </c>
      <c r="M779" t="n">
        <v>6723.809523809524</v>
      </c>
      <c r="N779" t="n">
        <v>52.5</v>
      </c>
      <c r="O779" t="inlineStr">
        <is>
          <t>3+k</t>
        </is>
      </c>
      <c r="P779" t="n">
        <v>3</v>
      </c>
      <c r="Q779" t="inlineStr">
        <is>
          <t>Nie da się zamieszkać</t>
        </is>
      </c>
      <c r="R779" t="inlineStr">
        <is>
          <t>ale ładnie wystawione</t>
        </is>
      </c>
    </row>
    <row r="780">
      <c r="A780" t="n">
        <v>779</v>
      </c>
      <c r="B780" s="3" t="n">
        <v>45525</v>
      </c>
      <c r="C780" s="3" t="n">
        <v>45532</v>
      </c>
      <c r="D780" t="inlineStr">
        <is>
          <t>https://www.otodom.pl/pl/oferta/2-rozkladowe-pokoje-stary-widzew-ID4s6TU</t>
        </is>
      </c>
      <c r="E780">
        <f>HYPERLINK("https://www.otodom.pl/pl/oferta/2-rozkladowe-pokoje-stary-widzew-ID4s6TU", "https://www.otodom.pl/pl/oferta/2-rozkladowe-pokoje-stary-widzew-ID4s6TU")</f>
        <v/>
      </c>
      <c r="F780" t="inlineStr">
        <is>
          <t>niciarniana</t>
        </is>
      </c>
      <c r="G780" t="inlineStr">
        <is>
          <t>Widzew</t>
        </is>
      </c>
      <c r="H780" t="inlineStr">
        <is>
          <t>Widzew blisko centrum</t>
        </is>
      </c>
      <c r="I780" t="inlineStr">
        <is>
          <t>TAK</t>
        </is>
      </c>
      <c r="J780" t="inlineStr">
        <is>
          <t>TAK</t>
        </is>
      </c>
      <c r="K780" t="n">
        <v>500844149</v>
      </c>
      <c r="L780" t="n">
        <v>289000</v>
      </c>
      <c r="M780" t="n">
        <v>6462.432915921288</v>
      </c>
      <c r="N780" t="n">
        <v>44.72</v>
      </c>
      <c r="O780" t="inlineStr">
        <is>
          <t>2+k</t>
        </is>
      </c>
      <c r="P780" t="n">
        <v>2</v>
      </c>
      <c r="Q780" t="inlineStr">
        <is>
          <t>Nie da się zamieszkać</t>
        </is>
      </c>
      <c r="R780" t="inlineStr">
        <is>
          <t>05.09 nieaktualne już sprzedane</t>
        </is>
      </c>
    </row>
    <row r="781">
      <c r="A781" t="n">
        <v>780</v>
      </c>
      <c r="B781" s="3" t="n">
        <v>45525</v>
      </c>
      <c r="C781" s="3" t="n">
        <v>45548</v>
      </c>
      <c r="D781" t="inlineStr">
        <is>
          <t>https://www.otodom.pl/pl/oferta/3-pokojowe-mieszkanie-przy-parku-podolskim-lodz-ID4ppke.html</t>
        </is>
      </c>
      <c r="E781">
        <f>HYPERLINK("https://www.otodom.pl/pl/oferta/3-pokojowe-mieszkanie-przy-parku-podolskim-lodz-ID4ppke.html", "https://www.otodom.pl/pl/oferta/3-pokojowe-mieszkanie-przy-parku-podolskim-lodz-ID4ppke.html")</f>
        <v/>
      </c>
      <c r="F781" t="inlineStr">
        <is>
          <t>zbaraska</t>
        </is>
      </c>
      <c r="G781" t="inlineStr">
        <is>
          <t>Dąbrowa</t>
        </is>
      </c>
      <c r="H781" t="inlineStr">
        <is>
          <t>Dąbrowa</t>
        </is>
      </c>
      <c r="I781" t="inlineStr">
        <is>
          <t>TAK</t>
        </is>
      </c>
      <c r="J781" t="inlineStr">
        <is>
          <t>NIE</t>
        </is>
      </c>
      <c r="K781" t="n">
        <v>606119440</v>
      </c>
      <c r="L781" t="n">
        <v>370000</v>
      </c>
      <c r="M781" t="n">
        <v>7835.662854722576</v>
      </c>
      <c r="N781" t="n">
        <v>47.22</v>
      </c>
      <c r="O781" t="inlineStr">
        <is>
          <t>2+k</t>
        </is>
      </c>
      <c r="P781" t="n">
        <v>1</v>
      </c>
      <c r="Q781" t="inlineStr">
        <is>
          <t>Nie da się zamieszkać</t>
        </is>
      </c>
    </row>
    <row r="782">
      <c r="A782" t="n">
        <v>781</v>
      </c>
      <c r="B782" s="3" t="n">
        <v>45525</v>
      </c>
      <c r="D782" t="inlineStr">
        <is>
          <t>https://www.otodom.pl/pl/oferta/3-pokojowe-mieszkanie-w-bloku-ID4s7bE.html</t>
        </is>
      </c>
      <c r="E782">
        <f>HYPERLINK("https://www.otodom.pl/pl/oferta/3-pokojowe-mieszkanie-w-bloku-ID4s7bE.html", "https://www.otodom.pl/pl/oferta/3-pokojowe-mieszkanie-w-bloku-ID4s7bE.html")</f>
        <v/>
      </c>
      <c r="F782" t="inlineStr">
        <is>
          <t>zachodnia</t>
        </is>
      </c>
      <c r="G782" t="inlineStr">
        <is>
          <t>Bałuty</t>
        </is>
      </c>
      <c r="H782" t="inlineStr">
        <is>
          <t>Bałuty blisko centrum</t>
        </is>
      </c>
      <c r="I782" t="inlineStr">
        <is>
          <t>NIE</t>
        </is>
      </c>
      <c r="J782" t="inlineStr">
        <is>
          <t>TAK</t>
        </is>
      </c>
      <c r="K782" t="n">
        <v>692319881</v>
      </c>
      <c r="L782" t="n">
        <v>379000</v>
      </c>
      <c r="M782" t="n">
        <v>8534.113938302185</v>
      </c>
      <c r="N782" t="n">
        <v>44.41</v>
      </c>
      <c r="O782" t="inlineStr">
        <is>
          <t>2+k</t>
        </is>
      </c>
      <c r="P782" t="n">
        <v>2</v>
      </c>
      <c r="Q782" t="inlineStr">
        <is>
          <t>Nie da się zamieszkać</t>
        </is>
      </c>
    </row>
    <row r="783">
      <c r="A783" t="n">
        <v>782</v>
      </c>
      <c r="B783" s="3" t="n">
        <v>45525</v>
      </c>
      <c r="D783" t="inlineStr">
        <is>
          <t>https://www.otodom.pl/pl/oferta/baluty-doly-2-pietro-37-m2-ID4s7e3.html</t>
        </is>
      </c>
      <c r="E783">
        <f>HYPERLINK("https://www.otodom.pl/pl/oferta/baluty-doly-2-pietro-37-m2-ID4s7e3.html", "https://www.otodom.pl/pl/oferta/baluty-doly-2-pietro-37-m2-ID4s7e3.html")</f>
        <v/>
      </c>
      <c r="F783" t="inlineStr">
        <is>
          <t>marysin</t>
        </is>
      </c>
      <c r="G783" t="inlineStr">
        <is>
          <t>Bałuty</t>
        </is>
      </c>
      <c r="H783" t="inlineStr">
        <is>
          <t>Bałuty</t>
        </is>
      </c>
      <c r="I783" t="inlineStr">
        <is>
          <t>NIE</t>
        </is>
      </c>
      <c r="J783" t="inlineStr">
        <is>
          <t>TAK</t>
        </is>
      </c>
      <c r="K783" t="n">
        <v>595313900</v>
      </c>
      <c r="L783" t="n">
        <v>264000</v>
      </c>
      <c r="M783" t="n">
        <v>7135.135135135135</v>
      </c>
      <c r="N783" t="n">
        <v>37</v>
      </c>
      <c r="O783" t="inlineStr">
        <is>
          <t>2+k</t>
        </is>
      </c>
      <c r="P783" t="n">
        <v>2</v>
      </c>
      <c r="Q783" t="inlineStr">
        <is>
          <t>Nie da się zamieszkać</t>
        </is>
      </c>
    </row>
    <row r="784">
      <c r="A784" t="n">
        <v>783</v>
      </c>
      <c r="B784" s="3" t="n">
        <v>45525</v>
      </c>
      <c r="D784" t="inlineStr">
        <is>
          <t>https://lodz.nieruchomosci-online.pl/mieszkanie,z-kuchnia-z-oknem/25069640.html</t>
        </is>
      </c>
      <c r="E784">
        <f>HYPERLINK("https://lodz.nieruchomosci-online.pl/mieszkanie,z-kuchnia-z-oknem/25069640.html", "https://lodz.nieruchomosci-online.pl/mieszkanie,z-kuchnia-z-oknem/25069640.html")</f>
        <v/>
      </c>
      <c r="F784" t="inlineStr">
        <is>
          <t>traktorowa</t>
        </is>
      </c>
      <c r="G784" t="inlineStr">
        <is>
          <t>Teofilów</t>
        </is>
      </c>
      <c r="H784" t="inlineStr">
        <is>
          <t>Teofilów</t>
        </is>
      </c>
      <c r="I784" t="inlineStr">
        <is>
          <t>NIE</t>
        </is>
      </c>
      <c r="J784" t="inlineStr">
        <is>
          <t>TAK</t>
        </is>
      </c>
      <c r="K784" t="n">
        <v>509440131</v>
      </c>
      <c r="L784" t="n">
        <v>265000</v>
      </c>
      <c r="M784" t="n">
        <v>7031.042716901035</v>
      </c>
      <c r="N784" t="n">
        <v>37.69</v>
      </c>
      <c r="O784" t="inlineStr">
        <is>
          <t>2+k</t>
        </is>
      </c>
      <c r="P784" t="n">
        <v>3</v>
      </c>
      <c r="Q784" t="inlineStr">
        <is>
          <t>Da się zamieszkać</t>
        </is>
      </c>
    </row>
    <row r="785">
      <c r="A785" t="n">
        <v>784</v>
      </c>
      <c r="B785" s="3" t="n">
        <v>45526</v>
      </c>
      <c r="D785" t="inlineStr">
        <is>
          <t>https://gratka.pl/nieruchomosci/mieszkanie-lodz-gorna-ul-mochnackiego/ob/36678625</t>
        </is>
      </c>
      <c r="E785">
        <f>HYPERLINK("https://gratka.pl/nieruchomosci/mieszkanie-lodz-gorna-ul-mochnackiego/ob/36678625", "https://gratka.pl/nieruchomosci/mieszkanie-lodz-gorna-ul-mochnackiego/ob/36678625")</f>
        <v/>
      </c>
      <c r="F785" t="inlineStr">
        <is>
          <t>mochnackiego</t>
        </is>
      </c>
      <c r="G785" t="inlineStr">
        <is>
          <t>Górna</t>
        </is>
      </c>
      <c r="H785" t="inlineStr">
        <is>
          <t>Górna</t>
        </is>
      </c>
      <c r="I785" t="inlineStr">
        <is>
          <t>NIE</t>
        </is>
      </c>
      <c r="J785" t="inlineStr">
        <is>
          <t>NIE</t>
        </is>
      </c>
      <c r="K785" t="n">
        <v>576317000</v>
      </c>
      <c r="L785" t="n">
        <v>440000</v>
      </c>
      <c r="M785" t="n">
        <v>8148.148148148148</v>
      </c>
      <c r="N785" t="n">
        <v>54</v>
      </c>
      <c r="O785" t="inlineStr">
        <is>
          <t>3+k</t>
        </is>
      </c>
      <c r="P785" t="n">
        <v>9</v>
      </c>
      <c r="Q785" t="inlineStr">
        <is>
          <t>Puste</t>
        </is>
      </c>
      <c r="R785" t="inlineStr">
        <is>
          <t xml:space="preserve"> https://adresowo.pl/o/o9t4r7 tutaj numer do własciciela </t>
        </is>
      </c>
    </row>
    <row r="786">
      <c r="A786" t="n">
        <v>785</v>
      </c>
      <c r="B786" s="3" t="n">
        <v>45526</v>
      </c>
      <c r="D786" t="inlineStr">
        <is>
          <t>https://gratka.pl/nieruchomosci/m3-na-balutach-do-remontu/oi/36620257</t>
        </is>
      </c>
      <c r="E786">
        <f>HYPERLINK("https://gratka.pl/nieruchomosci/m3-na-balutach-do-remontu/oi/36620257", "https://gratka.pl/nieruchomosci/m3-na-balutach-do-remontu/oi/36620257")</f>
        <v/>
      </c>
      <c r="F786" t="inlineStr">
        <is>
          <t xml:space="preserve">marynarska </t>
        </is>
      </c>
      <c r="G786" t="inlineStr">
        <is>
          <t>Bałuty</t>
        </is>
      </c>
      <c r="H786" t="inlineStr">
        <is>
          <t>Bałuty blisko centrum</t>
        </is>
      </c>
      <c r="I786" t="inlineStr">
        <is>
          <t>NIE</t>
        </is>
      </c>
      <c r="J786" t="inlineStr">
        <is>
          <t>NIE</t>
        </is>
      </c>
      <c r="K786" t="n">
        <v>512726184</v>
      </c>
      <c r="L786" t="n">
        <v>350000</v>
      </c>
      <c r="M786" t="n">
        <v>7291.666666666667</v>
      </c>
      <c r="N786" t="n">
        <v>48</v>
      </c>
      <c r="O786" t="inlineStr">
        <is>
          <t>2+k</t>
        </is>
      </c>
      <c r="P786" t="n">
        <v>2</v>
      </c>
      <c r="Q786" t="inlineStr">
        <is>
          <t>Nie da się zamieszkać</t>
        </is>
      </c>
    </row>
    <row r="787">
      <c r="A787" t="n">
        <v>786</v>
      </c>
      <c r="B787" s="3" t="n">
        <v>45526</v>
      </c>
      <c r="D787" t="inlineStr">
        <is>
          <t>https://www.otodom.pl/pl/oferta/0-piekny-balkon-przestronne-wygodne-ID4s8oQ.html</t>
        </is>
      </c>
      <c r="E787">
        <f>HYPERLINK("https://www.otodom.pl/pl/oferta/0-piekny-balkon-przestronne-wygodne-ID4s8oQ.html", "https://www.otodom.pl/pl/oferta/0-piekny-balkon-przestronne-wygodne-ID4s8oQ.html")</f>
        <v/>
      </c>
      <c r="F787" t="inlineStr">
        <is>
          <t>.</t>
        </is>
      </c>
      <c r="G787" t="inlineStr">
        <is>
          <t>Bałuty</t>
        </is>
      </c>
      <c r="H787" t="inlineStr">
        <is>
          <t>Bałuty</t>
        </is>
      </c>
      <c r="I787" t="inlineStr">
        <is>
          <t>NIE</t>
        </is>
      </c>
      <c r="J787" t="inlineStr">
        <is>
          <t>TAK</t>
        </is>
      </c>
      <c r="K787" t="n">
        <v>881586532</v>
      </c>
      <c r="L787" t="n">
        <v>360000</v>
      </c>
      <c r="M787" t="n">
        <v>7399.794450154162</v>
      </c>
      <c r="N787" t="n">
        <v>48.65</v>
      </c>
      <c r="O787" t="inlineStr">
        <is>
          <t>2+k</t>
        </is>
      </c>
      <c r="P787" t="n">
        <v>1</v>
      </c>
      <c r="Q787" t="inlineStr">
        <is>
          <t>Nie da się zamieszkać</t>
        </is>
      </c>
    </row>
    <row r="788">
      <c r="A788" t="n">
        <v>787</v>
      </c>
      <c r="B788" s="3" t="n">
        <v>45526</v>
      </c>
      <c r="D788" t="inlineStr">
        <is>
          <t>https://www.olx.pl/d/oferta/mieszkanie-55m2-baluty-k-manufaktury-do-renowacji-CID3-IDHT30y.html</t>
        </is>
      </c>
      <c r="E788">
        <f>HYPERLINK("https://www.olx.pl/d/oferta/mieszkanie-55m2-baluty-k-manufaktury-do-renowacji-CID3-IDHT30y.html", "https://www.olx.pl/d/oferta/mieszkanie-55m2-baluty-k-manufaktury-do-renowacji-CID3-IDHT30y.html")</f>
        <v/>
      </c>
      <c r="F788" t="inlineStr">
        <is>
          <t>kutrzeby</t>
        </is>
      </c>
      <c r="G788" t="inlineStr">
        <is>
          <t>Polesie</t>
        </is>
      </c>
      <c r="H788" t="inlineStr">
        <is>
          <t>Polesie</t>
        </is>
      </c>
      <c r="I788" t="inlineStr">
        <is>
          <t>NIE</t>
        </is>
      </c>
      <c r="J788" t="inlineStr">
        <is>
          <t>TAK</t>
        </is>
      </c>
      <c r="K788" t="n">
        <v>785156828</v>
      </c>
      <c r="L788" t="n">
        <v>350000</v>
      </c>
      <c r="M788" t="n">
        <v>6363.636363636364</v>
      </c>
      <c r="N788" t="n">
        <v>55</v>
      </c>
      <c r="O788" t="inlineStr">
        <is>
          <t>2+k</t>
        </is>
      </c>
      <c r="P788" t="n">
        <v>4</v>
      </c>
      <c r="Q788" t="inlineStr">
        <is>
          <t>Nie da się zamieszkać</t>
        </is>
      </c>
    </row>
    <row r="789">
      <c r="A789" t="n">
        <v>788</v>
      </c>
      <c r="B789" s="3" t="n">
        <v>45526</v>
      </c>
      <c r="D789" t="inlineStr">
        <is>
          <t>https://www.otodom.pl/pl/oferta/3-pok-rozkladowe-ok-manufaktury-ul-odolanowska-8-ID4qvZN.html</t>
        </is>
      </c>
      <c r="E789">
        <f>HYPERLINK("https://www.otodom.pl/pl/oferta/3-pok-rozkladowe-ok-manufaktury-ul-odolanowska-8-ID4qvZN.html", "https://www.otodom.pl/pl/oferta/3-pok-rozkladowe-ok-manufaktury-ul-odolanowska-8-ID4qvZN.html")</f>
        <v/>
      </c>
      <c r="F789" t="inlineStr">
        <is>
          <t>odolanowska</t>
        </is>
      </c>
      <c r="G789" t="inlineStr">
        <is>
          <t>Polesie</t>
        </is>
      </c>
      <c r="H789" t="inlineStr">
        <is>
          <t>Polesie</t>
        </is>
      </c>
      <c r="I789" t="inlineStr">
        <is>
          <t>NIE</t>
        </is>
      </c>
      <c r="J789" t="inlineStr">
        <is>
          <t>TAK</t>
        </is>
      </c>
      <c r="K789" t="n">
        <v>535160224</v>
      </c>
      <c r="L789" t="n">
        <v>335000</v>
      </c>
      <c r="M789" t="n">
        <v>7260.511486779367</v>
      </c>
      <c r="N789" t="n">
        <v>46.14</v>
      </c>
      <c r="O789" t="inlineStr">
        <is>
          <t>3+k</t>
        </is>
      </c>
      <c r="P789" t="n">
        <v>3</v>
      </c>
      <c r="Q789" t="inlineStr">
        <is>
          <t>Nie da się zamieszkać</t>
        </is>
      </c>
    </row>
    <row r="790">
      <c r="A790" t="n">
        <v>789</v>
      </c>
      <c r="B790" s="3" t="n">
        <v>45526</v>
      </c>
      <c r="D790" t="inlineStr">
        <is>
          <t>https://adresowo.pl/o/h4q0o8</t>
        </is>
      </c>
      <c r="E790">
        <f>HYPERLINK("https://adresowo.pl/o/h4q0o8", "https://adresowo.pl/o/h4q0o8")</f>
        <v/>
      </c>
      <c r="F790" t="inlineStr">
        <is>
          <t>woronicza</t>
        </is>
      </c>
      <c r="G790" t="inlineStr">
        <is>
          <t>Teofilów</t>
        </is>
      </c>
      <c r="H790" t="inlineStr">
        <is>
          <t>Teofilów</t>
        </is>
      </c>
      <c r="I790" t="inlineStr">
        <is>
          <t>NIE</t>
        </is>
      </c>
      <c r="J790" t="inlineStr">
        <is>
          <t>NIE</t>
        </is>
      </c>
      <c r="L790" t="n">
        <v>283000</v>
      </c>
      <c r="M790" t="n">
        <v>6465.615718528672</v>
      </c>
      <c r="N790" t="n">
        <v>43.77</v>
      </c>
      <c r="O790" t="inlineStr">
        <is>
          <t>2+k</t>
        </is>
      </c>
      <c r="P790" t="n">
        <v>1</v>
      </c>
      <c r="Q790" t="inlineStr">
        <is>
          <t>Nie da się zamieszkać</t>
        </is>
      </c>
    </row>
    <row r="791">
      <c r="A791" t="n">
        <v>790</v>
      </c>
      <c r="B791" s="3" t="n">
        <v>45526</v>
      </c>
      <c r="C791" s="3" t="n">
        <v>45532</v>
      </c>
      <c r="D791" t="inlineStr">
        <is>
          <t>https://www.otodom.pl/pl/oferta/przestronne-mieszkanie-m3-na-marysinie-ID4s9j9.html</t>
        </is>
      </c>
      <c r="E791">
        <f>HYPERLINK("https://www.otodom.pl/pl/oferta/przestronne-mieszkanie-m3-na-marysinie-ID4s9j9.html", "https://www.otodom.pl/pl/oferta/przestronne-mieszkanie-m3-na-marysinie-ID4s9j9.html")</f>
        <v/>
      </c>
      <c r="F791" t="inlineStr">
        <is>
          <t>inflancka</t>
        </is>
      </c>
      <c r="G791" t="inlineStr">
        <is>
          <t>Bałuty</t>
        </is>
      </c>
      <c r="H791" t="inlineStr">
        <is>
          <t>Bałuty</t>
        </is>
      </c>
      <c r="I791" t="inlineStr">
        <is>
          <t>TAK</t>
        </is>
      </c>
      <c r="J791" t="inlineStr">
        <is>
          <t>TAK</t>
        </is>
      </c>
      <c r="K791" t="n">
        <v>510266546</v>
      </c>
      <c r="L791" t="n">
        <v>329000</v>
      </c>
      <c r="M791" t="n">
        <v>7067.669172932331</v>
      </c>
      <c r="N791" t="n">
        <v>46.55</v>
      </c>
      <c r="O791" t="inlineStr">
        <is>
          <t>2+k</t>
        </is>
      </c>
      <c r="P791" t="n">
        <v>3</v>
      </c>
      <c r="Q791" t="inlineStr">
        <is>
          <t>Nie da się zamieszkać</t>
        </is>
      </c>
    </row>
    <row r="792">
      <c r="A792" t="n">
        <v>791</v>
      </c>
      <c r="B792" s="3" t="n">
        <v>45526</v>
      </c>
      <c r="C792" s="3" t="n">
        <v>45510</v>
      </c>
      <c r="D792" t="inlineStr">
        <is>
          <t>https://www.otodom.pl/pl/oferta/sprzedam-mieszkanie-ID4s9pw</t>
        </is>
      </c>
      <c r="E792">
        <f>HYPERLINK("https://www.otodom.pl/pl/oferta/sprzedam-mieszkanie-ID4s9pw", "https://www.otodom.pl/pl/oferta/sprzedam-mieszkanie-ID4s9pw")</f>
        <v/>
      </c>
      <c r="F792" t="inlineStr">
        <is>
          <t>deotymy</t>
        </is>
      </c>
      <c r="G792" t="inlineStr">
        <is>
          <t>Dąbrowa</t>
        </is>
      </c>
      <c r="H792" t="inlineStr">
        <is>
          <t>Dąbrowa</t>
        </is>
      </c>
      <c r="I792" t="inlineStr">
        <is>
          <t>TAK</t>
        </is>
      </c>
      <c r="J792" t="inlineStr">
        <is>
          <t>TAK</t>
        </is>
      </c>
      <c r="K792" t="n">
        <v>786084724</v>
      </c>
      <c r="L792" t="n">
        <v>300000</v>
      </c>
      <c r="M792" t="n">
        <v>7490.636704119851</v>
      </c>
      <c r="N792" t="n">
        <v>40.05</v>
      </c>
      <c r="O792" t="inlineStr">
        <is>
          <t>2+k</t>
        </is>
      </c>
      <c r="P792" t="n">
        <v>1</v>
      </c>
      <c r="Q792" t="inlineStr">
        <is>
          <t>Nie da się zamieszkać</t>
        </is>
      </c>
    </row>
    <row r="793">
      <c r="A793" t="n">
        <v>792</v>
      </c>
      <c r="B793" s="3" t="n">
        <v>45527</v>
      </c>
      <c r="D793" t="inlineStr">
        <is>
          <t>https://www.otodom.pl/pl/oferta/wyjatkowa-okazja-ID4s9BD.html</t>
        </is>
      </c>
      <c r="E793">
        <f>HYPERLINK("https://www.otodom.pl/pl/oferta/wyjatkowa-okazja-ID4s9BD.html", "https://www.otodom.pl/pl/oferta/wyjatkowa-okazja-ID4s9BD.html")</f>
        <v/>
      </c>
      <c r="F793" t="inlineStr">
        <is>
          <t>.</t>
        </is>
      </c>
      <c r="G793" t="inlineStr">
        <is>
          <t>Polesie</t>
        </is>
      </c>
      <c r="H793" t="inlineStr">
        <is>
          <t>Polesie</t>
        </is>
      </c>
      <c r="I793" t="inlineStr">
        <is>
          <t>NIE</t>
        </is>
      </c>
      <c r="J793" t="inlineStr">
        <is>
          <t>TAK</t>
        </is>
      </c>
      <c r="K793" t="n">
        <v>530319499</v>
      </c>
      <c r="L793" t="n">
        <v>220000</v>
      </c>
      <c r="M793" t="n">
        <v>6235.827664399093</v>
      </c>
      <c r="N793" t="n">
        <v>35.28</v>
      </c>
      <c r="O793" t="inlineStr">
        <is>
          <t>2+k</t>
        </is>
      </c>
      <c r="P793" t="n">
        <v>3</v>
      </c>
      <c r="Q793" t="inlineStr">
        <is>
          <t>Nie da się zamieszkać</t>
        </is>
      </c>
    </row>
    <row r="794">
      <c r="A794" t="n">
        <v>793</v>
      </c>
      <c r="B794" s="3" t="n">
        <v>45528</v>
      </c>
      <c r="C794" s="3" t="n">
        <v>45548</v>
      </c>
      <c r="D794" t="inlineStr">
        <is>
          <t>https://www.olx.pl/d/oferta/2-pokojowe-mieszkanie-45m2-balkon-CID3-ID119VuA.html?isPreviewActive=0&amp;sliderIndex=9</t>
        </is>
      </c>
      <c r="E794">
        <f>HYPERLINK("https://www.olx.pl/d/oferta/2-pokojowe-mieszkanie-45m2-balkon-CID3-ID119VuA.html?isPreviewActive=0&amp;sliderIndex=9", "https://www.olx.pl/d/oferta/2-pokojowe-mieszkanie-45m2-balkon-CID3-ID119VuA.html?isPreviewActive=0&amp;sliderIndex=9")</f>
        <v/>
      </c>
      <c r="F794" t="inlineStr">
        <is>
          <t>astronautów</t>
        </is>
      </c>
      <c r="G794" t="inlineStr">
        <is>
          <t>Górna</t>
        </is>
      </c>
      <c r="H794" t="inlineStr">
        <is>
          <t>Górna</t>
        </is>
      </c>
      <c r="I794" t="inlineStr">
        <is>
          <t>TAK</t>
        </is>
      </c>
      <c r="J794" t="inlineStr">
        <is>
          <t>TAK</t>
        </is>
      </c>
      <c r="K794" t="n">
        <v>789593912</v>
      </c>
      <c r="L794" t="n">
        <v>339000</v>
      </c>
      <c r="M794" t="n">
        <v>7516.629711751662</v>
      </c>
      <c r="N794" t="n">
        <v>45.1</v>
      </c>
      <c r="O794" t="inlineStr">
        <is>
          <t>2+k</t>
        </is>
      </c>
      <c r="P794" t="n">
        <v>4</v>
      </c>
      <c r="Q794" t="inlineStr">
        <is>
          <t>Nie da się zamieszkać</t>
        </is>
      </c>
    </row>
    <row r="795">
      <c r="A795" t="n">
        <v>794</v>
      </c>
      <c r="B795" s="3" t="n">
        <v>45528</v>
      </c>
      <c r="C795" s="3" t="n">
        <v>45532</v>
      </c>
      <c r="D795" t="inlineStr">
        <is>
          <t>https://www.olx.pl/d/oferta/bezposrednio-2-pokojowe-mieszkanie-45m2-parter-teren-zamkniety-i-CID3-IDYJvQQ.html?isPreviewActive=0&amp;sliderIndex=0</t>
        </is>
      </c>
      <c r="E795">
        <f>HYPERLINK("https://www.olx.pl/d/oferta/bezposrednio-2-pokojowe-mieszkanie-45m2-parter-teren-zamkniety-i-CID3-IDYJvQQ.html?isPreviewActive=0&amp;sliderIndex=0", "https://www.olx.pl/d/oferta/bezposrednio-2-pokojowe-mieszkanie-45m2-parter-teren-zamkniety-i-CID3-IDYJvQQ.html?isPreviewActive=0&amp;sliderIndex=0")</f>
        <v/>
      </c>
      <c r="F795" t="inlineStr">
        <is>
          <t>mackiewicza</t>
        </is>
      </c>
      <c r="G795" t="inlineStr">
        <is>
          <t>Bałuty</t>
        </is>
      </c>
      <c r="H795" t="inlineStr">
        <is>
          <t>Bałuty</t>
        </is>
      </c>
      <c r="I795" t="inlineStr">
        <is>
          <t>TAK</t>
        </is>
      </c>
      <c r="J795" t="inlineStr">
        <is>
          <t>TAK</t>
        </is>
      </c>
      <c r="K795" t="n">
        <v>792007543</v>
      </c>
      <c r="L795" t="n">
        <v>322000</v>
      </c>
      <c r="M795" t="n">
        <v>7155.555555555556</v>
      </c>
      <c r="N795" t="n">
        <v>45</v>
      </c>
      <c r="O795" t="inlineStr">
        <is>
          <t>2+k</t>
        </is>
      </c>
      <c r="P795" t="n">
        <v>0</v>
      </c>
      <c r="Q795" t="inlineStr">
        <is>
          <t>Nie da się zamieszkać</t>
        </is>
      </c>
      <c r="R795" t="inlineStr">
        <is>
          <t>to nie dubel</t>
        </is>
      </c>
      <c r="T795" t="inlineStr">
        <is>
          <t>524</t>
        </is>
      </c>
    </row>
    <row r="796">
      <c r="A796" t="n">
        <v>795</v>
      </c>
      <c r="B796" s="3" t="n">
        <v>45528</v>
      </c>
      <c r="D796" t="inlineStr">
        <is>
          <t>https://gratka.pl/nieruchomosci/mieszkanie-lodz-baluty/ob/36660377</t>
        </is>
      </c>
      <c r="E796">
        <f>HYPERLINK("https://gratka.pl/nieruchomosci/mieszkanie-lodz-baluty/ob/36660377", "https://gratka.pl/nieruchomosci/mieszkanie-lodz-baluty/ob/36660377")</f>
        <v/>
      </c>
      <c r="F796" t="inlineStr">
        <is>
          <t xml:space="preserve">żubardź </t>
        </is>
      </c>
      <c r="G796" t="inlineStr">
        <is>
          <t>Polesie</t>
        </is>
      </c>
      <c r="H796" t="inlineStr">
        <is>
          <t>Polesie</t>
        </is>
      </c>
      <c r="I796" t="inlineStr">
        <is>
          <t>NIE</t>
        </is>
      </c>
      <c r="J796" t="inlineStr">
        <is>
          <t>TAK</t>
        </is>
      </c>
      <c r="K796" t="n">
        <v>511000217</v>
      </c>
      <c r="L796" t="n">
        <v>325000</v>
      </c>
      <c r="M796" t="n">
        <v>7031.588057118131</v>
      </c>
      <c r="N796" t="n">
        <v>46.22</v>
      </c>
      <c r="O796" t="inlineStr">
        <is>
          <t>2+k</t>
        </is>
      </c>
      <c r="P796" t="n">
        <v>1</v>
      </c>
      <c r="Q796" t="inlineStr">
        <is>
          <t>Nie da się zamieszkać</t>
        </is>
      </c>
    </row>
    <row r="797">
      <c r="A797" t="n">
        <v>796</v>
      </c>
      <c r="B797" s="3" t="n">
        <v>45528</v>
      </c>
      <c r="C797" s="3" t="n">
        <v>45548</v>
      </c>
      <c r="D797" t="inlineStr">
        <is>
          <t>https://www.olx.pl/d/oferta/mieszkanie-m4-super-lokalizacja-dabrowa-wiezowiec-3-pokoje-CID3-ID11oqA0.html</t>
        </is>
      </c>
      <c r="E797">
        <f>HYPERLINK("https://www.olx.pl/d/oferta/mieszkanie-m4-super-lokalizacja-dabrowa-wiezowiec-3-pokoje-CID3-ID11oqA0.html", "https://www.olx.pl/d/oferta/mieszkanie-m4-super-lokalizacja-dabrowa-wiezowiec-3-pokoje-CID3-ID11oqA0.html")</f>
        <v/>
      </c>
      <c r="F797" t="inlineStr">
        <is>
          <t>.</t>
        </is>
      </c>
      <c r="G797" t="inlineStr">
        <is>
          <t>Dąbrowa</t>
        </is>
      </c>
      <c r="H797" t="inlineStr">
        <is>
          <t>Dąbrowa</t>
        </is>
      </c>
      <c r="I797" t="inlineStr">
        <is>
          <t>TAK</t>
        </is>
      </c>
      <c r="J797" t="inlineStr">
        <is>
          <t>NIE</t>
        </is>
      </c>
      <c r="K797" t="n">
        <v>507826464</v>
      </c>
      <c r="L797" t="n">
        <v>355000</v>
      </c>
      <c r="M797" t="n">
        <v>7395.833333333333</v>
      </c>
      <c r="N797" t="n">
        <v>48</v>
      </c>
      <c r="O797" t="inlineStr">
        <is>
          <t>2+k</t>
        </is>
      </c>
      <c r="P797" t="n">
        <v>7</v>
      </c>
      <c r="Q797" t="inlineStr">
        <is>
          <t>Nie da się zamieszkać</t>
        </is>
      </c>
    </row>
    <row r="798">
      <c r="A798" t="n">
        <v>797</v>
      </c>
      <c r="B798" s="3" t="n">
        <v>45528</v>
      </c>
      <c r="D798" t="inlineStr">
        <is>
          <t>https://adresowo.pl/o/z7f7t9</t>
        </is>
      </c>
      <c r="E798">
        <f>HYPERLINK("https://adresowo.pl/o/z7f7t9", "https://adresowo.pl/o/z7f7t9")</f>
        <v/>
      </c>
      <c r="F798" t="inlineStr">
        <is>
          <t>wielkopolska</t>
        </is>
      </c>
      <c r="G798" t="inlineStr">
        <is>
          <t>Teofilów</t>
        </is>
      </c>
      <c r="H798" t="inlineStr">
        <is>
          <t>Teofilów</t>
        </is>
      </c>
      <c r="I798" t="inlineStr">
        <is>
          <t>NIE</t>
        </is>
      </c>
      <c r="J798" t="inlineStr">
        <is>
          <t>TAK</t>
        </is>
      </c>
      <c r="L798" t="n">
        <v>300000</v>
      </c>
      <c r="M798" t="n">
        <v>7894.736842105263</v>
      </c>
      <c r="N798" t="n">
        <v>38</v>
      </c>
      <c r="O798" t="inlineStr">
        <is>
          <t>2+k</t>
        </is>
      </c>
      <c r="P798" t="n">
        <v>2</v>
      </c>
      <c r="Q798" t="inlineStr">
        <is>
          <t>Nie da się zamieszkać</t>
        </is>
      </c>
    </row>
    <row r="799">
      <c r="A799" t="n">
        <v>798</v>
      </c>
      <c r="B799" s="3" t="n">
        <v>45528</v>
      </c>
      <c r="D799" t="inlineStr">
        <is>
          <t>https://adresowo.pl/o/j0u7i2</t>
        </is>
      </c>
      <c r="E799">
        <f>HYPERLINK("https://adresowo.pl/o/j0u7i2", "https://adresowo.pl/o/j0u7i2")</f>
        <v/>
      </c>
      <c r="F799" t="inlineStr">
        <is>
          <t>kutrzeby</t>
        </is>
      </c>
      <c r="G799" t="inlineStr">
        <is>
          <t>Polesie</t>
        </is>
      </c>
      <c r="H799" t="inlineStr">
        <is>
          <t>Polesie</t>
        </is>
      </c>
      <c r="I799" t="inlineStr">
        <is>
          <t>NIE</t>
        </is>
      </c>
      <c r="J799" t="inlineStr">
        <is>
          <t>TAK</t>
        </is>
      </c>
      <c r="L799" t="n">
        <v>350000</v>
      </c>
      <c r="M799" t="n">
        <v>6363.636363636364</v>
      </c>
      <c r="N799" t="n">
        <v>55</v>
      </c>
      <c r="O799" t="inlineStr">
        <is>
          <t>2+k</t>
        </is>
      </c>
      <c r="P799" t="n">
        <v>3</v>
      </c>
      <c r="Q799" t="inlineStr">
        <is>
          <t>Nie da się zamieszkać</t>
        </is>
      </c>
    </row>
    <row r="800">
      <c r="A800" t="n">
        <v>799</v>
      </c>
      <c r="B800" s="3" t="n">
        <v>45528</v>
      </c>
      <c r="D800" t="inlineStr">
        <is>
          <t>https://www.otodom.pl/pl/oferta/sprzedam-mieszkanie-m3-baluty-ul-bydgoska-ID4ryGU.html</t>
        </is>
      </c>
      <c r="E800">
        <f>HYPERLINK("https://www.otodom.pl/pl/oferta/sprzedam-mieszkanie-m3-baluty-ul-bydgoska-ID4ryGU.html", "https://www.otodom.pl/pl/oferta/sprzedam-mieszkanie-m3-baluty-ul-bydgoska-ID4ryGU.html")</f>
        <v/>
      </c>
      <c r="F800" t="inlineStr">
        <is>
          <t>bydgoska</t>
        </is>
      </c>
      <c r="G800" t="inlineStr">
        <is>
          <t>Polesie</t>
        </is>
      </c>
      <c r="H800" t="inlineStr">
        <is>
          <t>Polesie</t>
        </is>
      </c>
      <c r="I800" t="inlineStr">
        <is>
          <t>NIE</t>
        </is>
      </c>
      <c r="J800" t="inlineStr">
        <is>
          <t>TAK</t>
        </is>
      </c>
      <c r="K800" t="n">
        <v>605244884</v>
      </c>
      <c r="L800" t="n">
        <v>335000</v>
      </c>
      <c r="M800" t="n">
        <v>7282.608695652174</v>
      </c>
      <c r="N800" t="n">
        <v>46</v>
      </c>
      <c r="O800" t="inlineStr">
        <is>
          <t>2+k</t>
        </is>
      </c>
      <c r="P800" t="n">
        <v>0</v>
      </c>
      <c r="Q800" t="inlineStr">
        <is>
          <t>Puste</t>
        </is>
      </c>
      <c r="R800" t="inlineStr">
        <is>
          <t>to nie dubel</t>
        </is>
      </c>
      <c r="T800" t="inlineStr">
        <is>
          <t>181</t>
        </is>
      </c>
    </row>
    <row r="801">
      <c r="A801" t="n">
        <v>800</v>
      </c>
      <c r="B801" s="3" t="n">
        <v>45528</v>
      </c>
      <c r="D801" t="inlineStr">
        <is>
          <t>https://www.otodom.pl/pl/oferta/3-pokoje-do-remontu-lodz-retkinia-balkon-ID4s9Zq</t>
        </is>
      </c>
      <c r="E801">
        <f>HYPERLINK("https://www.otodom.pl/pl/oferta/3-pokoje-do-remontu-lodz-retkinia-balkon-ID4s9Zq", "https://www.otodom.pl/pl/oferta/3-pokoje-do-remontu-lodz-retkinia-balkon-ID4s9Zq")</f>
        <v/>
      </c>
      <c r="F801" t="inlineStr">
        <is>
          <t>popiełuszki</t>
        </is>
      </c>
      <c r="G801" t="inlineStr">
        <is>
          <t>Retkinia</t>
        </is>
      </c>
      <c r="H801" t="inlineStr">
        <is>
          <t>Retkinia</t>
        </is>
      </c>
      <c r="I801" t="inlineStr">
        <is>
          <t>NIE</t>
        </is>
      </c>
      <c r="J801" t="inlineStr">
        <is>
          <t>TAK</t>
        </is>
      </c>
      <c r="K801" t="n">
        <v>737882672</v>
      </c>
      <c r="L801" t="n">
        <v>409000</v>
      </c>
      <c r="M801" t="n">
        <v>7175.438596491228</v>
      </c>
      <c r="N801" t="n">
        <v>57</v>
      </c>
      <c r="O801" t="inlineStr">
        <is>
          <t>2+k</t>
        </is>
      </c>
      <c r="P801" t="n">
        <v>4</v>
      </c>
      <c r="Q801" t="inlineStr">
        <is>
          <t>Nie da się zamieszkać</t>
        </is>
      </c>
    </row>
    <row r="802">
      <c r="A802" t="n">
        <v>801</v>
      </c>
      <c r="B802" s="3" t="n">
        <v>45528</v>
      </c>
      <c r="D802" t="inlineStr">
        <is>
          <t>https://gratka.pl/nieruchomosci/mieszkanie-lodz-julianow-ul-krawiecka/ob/36662835</t>
        </is>
      </c>
      <c r="E802">
        <f>HYPERLINK("https://gratka.pl/nieruchomosci/mieszkanie-lodz-julianow-ul-krawiecka/ob/36662835", "https://gratka.pl/nieruchomosci/mieszkanie-lodz-julianow-ul-krawiecka/ob/36662835")</f>
        <v/>
      </c>
      <c r="F802" t="inlineStr">
        <is>
          <t>krawiecka</t>
        </is>
      </c>
      <c r="G802" t="inlineStr">
        <is>
          <t>Bałuty</t>
        </is>
      </c>
      <c r="H802" t="inlineStr">
        <is>
          <t>Bałuty</t>
        </is>
      </c>
      <c r="I802" t="inlineStr">
        <is>
          <t>NIE</t>
        </is>
      </c>
      <c r="J802" t="inlineStr">
        <is>
          <t>TAK</t>
        </is>
      </c>
      <c r="K802" t="n">
        <v>791411081</v>
      </c>
      <c r="L802" t="n">
        <v>319000</v>
      </c>
      <c r="M802" t="n">
        <v>6787.234042553191</v>
      </c>
      <c r="N802" t="n">
        <v>47</v>
      </c>
      <c r="O802" t="inlineStr">
        <is>
          <t>2+k</t>
        </is>
      </c>
      <c r="P802" t="n">
        <v>0</v>
      </c>
      <c r="Q802" t="inlineStr">
        <is>
          <t>Nie da się zamieszkać</t>
        </is>
      </c>
    </row>
    <row r="803">
      <c r="A803" t="n">
        <v>802</v>
      </c>
      <c r="B803" s="3" t="n">
        <v>45528</v>
      </c>
      <c r="C803" s="3" t="n">
        <v>45510</v>
      </c>
      <c r="D803" t="inlineStr">
        <is>
          <t>https://www.olx.pl/d/oferta/kawalerka-31m2-retkinia-babickiego-10p-od-zaraz-CID3-ID11BTXq.html</t>
        </is>
      </c>
      <c r="E803">
        <f>HYPERLINK("https://www.olx.pl/d/oferta/kawalerka-31m2-retkinia-babickiego-10p-od-zaraz-CID3-ID11BTXq.html", "https://www.olx.pl/d/oferta/kawalerka-31m2-retkinia-babickiego-10p-od-zaraz-CID3-ID11BTXq.html")</f>
        <v/>
      </c>
      <c r="F803" t="inlineStr">
        <is>
          <t>babickiego</t>
        </is>
      </c>
      <c r="G803" t="inlineStr">
        <is>
          <t>Retkinia</t>
        </is>
      </c>
      <c r="H803" t="inlineStr">
        <is>
          <t>Retkinia</t>
        </is>
      </c>
      <c r="I803" t="inlineStr">
        <is>
          <t>TAK</t>
        </is>
      </c>
      <c r="J803" t="inlineStr">
        <is>
          <t>TAK</t>
        </is>
      </c>
      <c r="K803" t="n">
        <v>600555174</v>
      </c>
      <c r="L803" t="n">
        <v>240000</v>
      </c>
      <c r="M803" t="n">
        <v>7741.935483870968</v>
      </c>
      <c r="N803" t="n">
        <v>31</v>
      </c>
      <c r="O803" t="inlineStr">
        <is>
          <t>1+k</t>
        </is>
      </c>
      <c r="P803" t="n">
        <v>10</v>
      </c>
      <c r="Q803" t="inlineStr">
        <is>
          <t>Nie da się zamieszkać</t>
        </is>
      </c>
    </row>
    <row r="804">
      <c r="A804" t="n">
        <v>803</v>
      </c>
      <c r="B804" s="3" t="n">
        <v>45529</v>
      </c>
      <c r="D804" t="inlineStr">
        <is>
          <t>https://www.otodom.pl/pl/oferta/mieszkanie-2-pokoje-56m2-parter-ul-kutrzeby-ID4saaB.html</t>
        </is>
      </c>
      <c r="E804">
        <f>HYPERLINK("https://www.otodom.pl/pl/oferta/mieszkanie-2-pokoje-56m2-parter-ul-kutrzeby-ID4saaB.html", "https://www.otodom.pl/pl/oferta/mieszkanie-2-pokoje-56m2-parter-ul-kutrzeby-ID4saaB.html")</f>
        <v/>
      </c>
      <c r="F804" t="inlineStr">
        <is>
          <t>kutrzeby</t>
        </is>
      </c>
      <c r="G804" t="inlineStr">
        <is>
          <t>Polesie</t>
        </is>
      </c>
      <c r="H804" t="inlineStr">
        <is>
          <t>Polesie</t>
        </is>
      </c>
      <c r="I804" t="inlineStr">
        <is>
          <t>NIE</t>
        </is>
      </c>
      <c r="J804" t="inlineStr">
        <is>
          <t>TAK</t>
        </is>
      </c>
      <c r="K804" t="n">
        <v>792701827</v>
      </c>
      <c r="L804" t="n">
        <v>420000</v>
      </c>
      <c r="M804" t="n">
        <v>7500</v>
      </c>
      <c r="N804" t="n">
        <v>56</v>
      </c>
      <c r="O804" t="inlineStr">
        <is>
          <t>2+k</t>
        </is>
      </c>
      <c r="P804" t="n">
        <v>0</v>
      </c>
      <c r="Q804" t="inlineStr">
        <is>
          <t>Nie da się zamieszkać</t>
        </is>
      </c>
    </row>
    <row r="805">
      <c r="A805" t="n">
        <v>804</v>
      </c>
      <c r="B805" s="3" t="n">
        <v>45529</v>
      </c>
      <c r="D805" t="inlineStr">
        <is>
          <t>https://www.otodom.pl/pl/oferta/50-78m2-2-lub-3-pokoje-ul-staszica-19-ID4sajF</t>
        </is>
      </c>
      <c r="E805">
        <f>HYPERLINK("https://www.otodom.pl/pl/oferta/50-78m2-2-lub-3-pokoje-ul-staszica-19-ID4sajF", "https://www.otodom.pl/pl/oferta/50-78m2-2-lub-3-pokoje-ul-staszica-19-ID4sajF")</f>
        <v/>
      </c>
      <c r="F805" t="inlineStr">
        <is>
          <t>staszica</t>
        </is>
      </c>
      <c r="G805" t="inlineStr">
        <is>
          <t>Bałuty</t>
        </is>
      </c>
      <c r="H805" t="inlineStr">
        <is>
          <t>Bałuty</t>
        </is>
      </c>
      <c r="I805" t="inlineStr">
        <is>
          <t>NIE</t>
        </is>
      </c>
      <c r="J805" t="inlineStr">
        <is>
          <t>TAK</t>
        </is>
      </c>
      <c r="K805" t="n">
        <v>888990888</v>
      </c>
      <c r="L805" t="n">
        <v>380000</v>
      </c>
      <c r="M805" t="n">
        <v>7446.600039192632</v>
      </c>
      <c r="N805" t="n">
        <v>51.03</v>
      </c>
      <c r="O805" t="inlineStr">
        <is>
          <t>2+k</t>
        </is>
      </c>
      <c r="P805" t="inlineStr">
        <is>
          <t>4!</t>
        </is>
      </c>
      <c r="Q805" t="inlineStr">
        <is>
          <t>Puste posprzątane</t>
        </is>
      </c>
    </row>
    <row r="806">
      <c r="A806" t="n">
        <v>805</v>
      </c>
      <c r="B806" s="3" t="n">
        <v>45530</v>
      </c>
      <c r="D806" t="inlineStr">
        <is>
          <t>https://www.domiporta.pl/nieruchomosci/sprzedam-kawalerke-lodz-dabrowa-stanislawa-przybyszewskiego-27m2/155348120</t>
        </is>
      </c>
      <c r="E806">
        <f>HYPERLINK("https://www.domiporta.pl/nieruchomosci/sprzedam-kawalerke-lodz-dabrowa-stanislawa-przybyszewskiego-27m2/155348120", "https://www.domiporta.pl/nieruchomosci/sprzedam-kawalerke-lodz-dabrowa-stanislawa-przybyszewskiego-27m2/155348120")</f>
        <v/>
      </c>
      <c r="F806" t="inlineStr">
        <is>
          <t>przybyszewskiego</t>
        </is>
      </c>
      <c r="G806" t="inlineStr">
        <is>
          <t>Dąbrowa</t>
        </is>
      </c>
      <c r="H806" t="inlineStr">
        <is>
          <t>Dąbrowa</t>
        </is>
      </c>
      <c r="I806" t="inlineStr">
        <is>
          <t>NIE</t>
        </is>
      </c>
      <c r="J806" t="inlineStr">
        <is>
          <t>TAK</t>
        </is>
      </c>
      <c r="K806" t="n">
        <v>530923663</v>
      </c>
      <c r="L806" t="n">
        <v>215000</v>
      </c>
      <c r="M806" t="n">
        <v>7910.228108903606</v>
      </c>
      <c r="N806" t="n">
        <v>27.18</v>
      </c>
      <c r="O806" t="inlineStr">
        <is>
          <t>1+k</t>
        </is>
      </c>
      <c r="P806" t="n">
        <v>4</v>
      </c>
      <c r="Q806" t="inlineStr">
        <is>
          <t>Nie da się zamieszkać</t>
        </is>
      </c>
    </row>
    <row r="807">
      <c r="A807" t="n">
        <v>806</v>
      </c>
      <c r="B807" s="3" t="n">
        <v>45530</v>
      </c>
      <c r="D807" t="inlineStr">
        <is>
          <t>https://www.olx.pl/d/oferta/rozkladowe-m-3-z-balkonem-takze-dla-studentow-CID3-ID11xnVb.html</t>
        </is>
      </c>
      <c r="E807">
        <f>HYPERLINK("https://www.olx.pl/d/oferta/rozkladowe-m-3-z-balkonem-takze-dla-studentow-CID3-ID11xnVb.html", "https://www.olx.pl/d/oferta/rozkladowe-m-3-z-balkonem-takze-dla-studentow-CID3-ID11xnVb.html")</f>
        <v/>
      </c>
      <c r="F807" t="inlineStr">
        <is>
          <t>.</t>
        </is>
      </c>
      <c r="G807" t="inlineStr">
        <is>
          <t>Teofilów</t>
        </is>
      </c>
      <c r="H807" t="inlineStr">
        <is>
          <t>Teofilów</t>
        </is>
      </c>
      <c r="I807" t="inlineStr">
        <is>
          <t>NIE</t>
        </is>
      </c>
      <c r="J807" t="inlineStr">
        <is>
          <t>TAK</t>
        </is>
      </c>
      <c r="K807" t="n">
        <v>883541184</v>
      </c>
      <c r="L807" t="n">
        <v>279000</v>
      </c>
      <c r="M807" t="n">
        <v>6286.615592609283</v>
      </c>
      <c r="N807" t="n">
        <v>44.38</v>
      </c>
      <c r="O807" t="inlineStr">
        <is>
          <t>2+k</t>
        </is>
      </c>
      <c r="P807" t="n">
        <v>4</v>
      </c>
      <c r="Q807" t="inlineStr">
        <is>
          <t>Da się zamieszkać</t>
        </is>
      </c>
    </row>
    <row r="808">
      <c r="A808" t="n">
        <v>807</v>
      </c>
      <c r="B808" s="3" t="n">
        <v>45530</v>
      </c>
      <c r="D808" t="inlineStr">
        <is>
          <t>https://gratka.pl/nieruchomosci/mieszkanie-lodz-widzew-wschod-ul-czajkowskiego/ob/36672177</t>
        </is>
      </c>
      <c r="E808">
        <f>HYPERLINK("https://gratka.pl/nieruchomosci/mieszkanie-lodz-widzew-wschod-ul-czajkowskiego/ob/36672177", "https://gratka.pl/nieruchomosci/mieszkanie-lodz-widzew-wschod-ul-czajkowskiego/ob/36672177")</f>
        <v/>
      </c>
      <c r="F808" t="inlineStr">
        <is>
          <t>czajkowskiego</t>
        </is>
      </c>
      <c r="G808" t="inlineStr">
        <is>
          <t>Widzew</t>
        </is>
      </c>
      <c r="H808" t="inlineStr">
        <is>
          <t>Widzew</t>
        </is>
      </c>
      <c r="I808" t="inlineStr">
        <is>
          <t>NIE</t>
        </is>
      </c>
      <c r="J808" t="inlineStr">
        <is>
          <t>TAK</t>
        </is>
      </c>
      <c r="K808" t="n">
        <v>793000555</v>
      </c>
      <c r="L808" t="n">
        <v>414000</v>
      </c>
      <c r="M808" t="n">
        <v>6957.983193277311</v>
      </c>
      <c r="N808" t="n">
        <v>59.5</v>
      </c>
      <c r="O808" t="inlineStr">
        <is>
          <t>2+k</t>
        </is>
      </c>
      <c r="P808" t="n">
        <v>4</v>
      </c>
      <c r="Q808" t="inlineStr">
        <is>
          <t>Da się zamieszkać</t>
        </is>
      </c>
    </row>
    <row r="809">
      <c r="A809" t="n">
        <v>808</v>
      </c>
      <c r="B809" s="3" t="n">
        <v>45530</v>
      </c>
      <c r="C809" s="3" t="n">
        <v>45510</v>
      </c>
      <c r="D809" t="inlineStr">
        <is>
          <t>https://adresowo.pl/o/b5r6e7</t>
        </is>
      </c>
      <c r="E809">
        <f>HYPERLINK("https://adresowo.pl/o/b5r6e7", "https://adresowo.pl/o/b5r6e7")</f>
        <v/>
      </c>
      <c r="F809" t="inlineStr">
        <is>
          <t>rojna</t>
        </is>
      </c>
      <c r="G809" t="inlineStr">
        <is>
          <t>Teofilów</t>
        </is>
      </c>
      <c r="H809" t="inlineStr">
        <is>
          <t>Teofilów</t>
        </is>
      </c>
      <c r="I809" t="inlineStr">
        <is>
          <t>TAK</t>
        </is>
      </c>
      <c r="J809" t="inlineStr">
        <is>
          <t>NIE</t>
        </is>
      </c>
      <c r="L809" t="n">
        <v>319000</v>
      </c>
      <c r="M809" t="n">
        <v>6069.254185692542</v>
      </c>
      <c r="N809" t="n">
        <v>52.56</v>
      </c>
      <c r="O809" t="inlineStr">
        <is>
          <t>3+k</t>
        </is>
      </c>
      <c r="P809" t="n">
        <v>4</v>
      </c>
      <c r="Q809" t="inlineStr">
        <is>
          <t>Nie da się zamieszkać</t>
        </is>
      </c>
    </row>
    <row r="810">
      <c r="A810" t="n">
        <v>809</v>
      </c>
      <c r="B810" s="3" t="n">
        <v>45530</v>
      </c>
      <c r="D810" t="inlineStr">
        <is>
          <t>https://www.otodom.pl/pl/oferta/przestronna-kawalerka-blisko-asp-do-remontu-ID4sbcc</t>
        </is>
      </c>
      <c r="E810">
        <f>HYPERLINK("https://www.otodom.pl/pl/oferta/przestronna-kawalerka-blisko-asp-do-remontu-ID4sbcc", "https://www.otodom.pl/pl/oferta/przestronna-kawalerka-blisko-asp-do-remontu-ID4sbcc")</f>
        <v/>
      </c>
      <c r="F810" t="inlineStr">
        <is>
          <t>marysin</t>
        </is>
      </c>
      <c r="G810" t="inlineStr">
        <is>
          <t>Bałuty</t>
        </is>
      </c>
      <c r="H810" t="inlineStr">
        <is>
          <t>Bałuty</t>
        </is>
      </c>
      <c r="I810" t="inlineStr">
        <is>
          <t>NIE</t>
        </is>
      </c>
      <c r="J810" t="inlineStr">
        <is>
          <t>TAK</t>
        </is>
      </c>
      <c r="K810" t="n">
        <v>536300639</v>
      </c>
      <c r="L810" t="n">
        <v>259000</v>
      </c>
      <c r="M810" t="n">
        <v>6760.636909423127</v>
      </c>
      <c r="N810" t="n">
        <v>38.31</v>
      </c>
      <c r="O810" t="inlineStr">
        <is>
          <t>1+k</t>
        </is>
      </c>
      <c r="P810" t="n">
        <v>2</v>
      </c>
      <c r="Q810" t="inlineStr">
        <is>
          <t>Nie da się zamieszkać</t>
        </is>
      </c>
    </row>
    <row r="811">
      <c r="A811" t="n">
        <v>810</v>
      </c>
      <c r="B811" s="3" t="n">
        <v>45530</v>
      </c>
      <c r="D811" t="inlineStr">
        <is>
          <t>https://www.otodom.pl/pl/oferta/gorna-45-m2-2-pokoje-3-pietro-ID4sbnH.html</t>
        </is>
      </c>
      <c r="E811">
        <f>HYPERLINK("https://www.otodom.pl/pl/oferta/gorna-45-m2-2-pokoje-3-pietro-ID4sbnH.html", "https://www.otodom.pl/pl/oferta/gorna-45-m2-2-pokoje-3-pietro-ID4sbnH.html")</f>
        <v/>
      </c>
      <c r="F811" t="inlineStr">
        <is>
          <t>górniak</t>
        </is>
      </c>
      <c r="G811" t="inlineStr">
        <is>
          <t>Górna</t>
        </is>
      </c>
      <c r="H811" t="inlineStr">
        <is>
          <t>Górna</t>
        </is>
      </c>
      <c r="I811" t="inlineStr">
        <is>
          <t>NIE</t>
        </is>
      </c>
      <c r="J811" t="inlineStr">
        <is>
          <t>TAK</t>
        </is>
      </c>
      <c r="K811" t="n">
        <v>539313900</v>
      </c>
      <c r="L811" t="n">
        <v>339000</v>
      </c>
      <c r="M811" t="n">
        <v>7533.333333333333</v>
      </c>
      <c r="N811" t="n">
        <v>45</v>
      </c>
      <c r="O811" t="inlineStr">
        <is>
          <t>2+k</t>
        </is>
      </c>
      <c r="P811" t="n">
        <v>3</v>
      </c>
      <c r="Q811" t="inlineStr">
        <is>
          <t>Nie da się zamieszkać</t>
        </is>
      </c>
    </row>
    <row r="812">
      <c r="A812" t="n">
        <v>811</v>
      </c>
      <c r="B812" s="3" t="n">
        <v>45530</v>
      </c>
      <c r="D812" t="inlineStr">
        <is>
          <t>https://www.olx.pl/d/oferta/sprzedam-mieszkanie-CID3-ID11wDmh.html</t>
        </is>
      </c>
      <c r="E812">
        <f>HYPERLINK("https://www.olx.pl/d/oferta/sprzedam-mieszkanie-CID3-ID11wDmh.html", "https://www.olx.pl/d/oferta/sprzedam-mieszkanie-CID3-ID11wDmh.html")</f>
        <v/>
      </c>
      <c r="F812" t="inlineStr">
        <is>
          <t>.</t>
        </is>
      </c>
      <c r="G812" t="inlineStr">
        <is>
          <t>Polesie</t>
        </is>
      </c>
      <c r="H812" t="inlineStr">
        <is>
          <t>Polesie</t>
        </is>
      </c>
      <c r="I812" t="inlineStr">
        <is>
          <t>NIE</t>
        </is>
      </c>
      <c r="J812" t="inlineStr">
        <is>
          <t>NIE</t>
        </is>
      </c>
      <c r="L812" t="n">
        <v>390000</v>
      </c>
      <c r="M812" t="n">
        <v>7362.658108363225</v>
      </c>
      <c r="N812" t="n">
        <v>52.97</v>
      </c>
      <c r="O812" t="inlineStr">
        <is>
          <t>3+k</t>
        </is>
      </c>
      <c r="P812" t="n">
        <v>2</v>
      </c>
      <c r="Q812" t="inlineStr">
        <is>
          <t>Nie da się zamieszkać</t>
        </is>
      </c>
    </row>
    <row r="813">
      <c r="A813" t="n">
        <v>812</v>
      </c>
      <c r="B813" s="3" t="n">
        <v>45530</v>
      </c>
      <c r="C813" s="3" t="n">
        <v>45532</v>
      </c>
      <c r="D813" t="inlineStr">
        <is>
          <t>https://szybko.pl/o/na-sprzedaz/lokal-mieszkalny/Łódź+Górna/oferta-15456582</t>
        </is>
      </c>
      <c r="E813">
        <f>HYPERLINK("https://szybko.pl/o/na-sprzedaz/lokal-mieszkalny/Łódź+Górna/oferta-15456582", "https://szybko.pl/o/na-sprzedaz/lokal-mieszkalny/Łódź+Górna/oferta-15456582")</f>
        <v/>
      </c>
      <c r="F813" t="inlineStr">
        <is>
          <t>zarzew</t>
        </is>
      </c>
      <c r="G813" t="inlineStr">
        <is>
          <t>Dąbrowa</t>
        </is>
      </c>
      <c r="H813" t="inlineStr">
        <is>
          <t>Dąbrowa</t>
        </is>
      </c>
      <c r="I813" t="inlineStr">
        <is>
          <t>TAK</t>
        </is>
      </c>
      <c r="J813" t="inlineStr">
        <is>
          <t>TAK</t>
        </is>
      </c>
      <c r="K813" t="n">
        <v>537163259</v>
      </c>
      <c r="L813" t="n">
        <v>308000</v>
      </c>
      <c r="M813" t="n">
        <v>6844.444444444444</v>
      </c>
      <c r="N813" t="n">
        <v>45</v>
      </c>
      <c r="O813" t="inlineStr">
        <is>
          <t>2+k</t>
        </is>
      </c>
      <c r="P813" t="n">
        <v>4</v>
      </c>
      <c r="Q813" t="inlineStr">
        <is>
          <t>Nie da się zamieszkać</t>
        </is>
      </c>
    </row>
    <row r="814">
      <c r="A814" t="n">
        <v>813</v>
      </c>
      <c r="B814" s="3" t="n">
        <v>45530</v>
      </c>
      <c r="D814" t="inlineStr">
        <is>
          <t>https://www.otodom.pl/pl/oferta/2-pokoje-rozkladowe-z-balkonem-zielona-okolica-ID4sbBC.html</t>
        </is>
      </c>
      <c r="E814">
        <f>HYPERLINK("https://www.otodom.pl/pl/oferta/2-pokoje-rozkladowe-z-balkonem-zielona-okolica-ID4sbBC.html", "https://www.otodom.pl/pl/oferta/2-pokoje-rozkladowe-z-balkonem-zielona-okolica-ID4sbBC.html")</f>
        <v/>
      </c>
      <c r="F814" t="inlineStr">
        <is>
          <t>marysin</t>
        </is>
      </c>
      <c r="G814" t="inlineStr">
        <is>
          <t>Bałuty</t>
        </is>
      </c>
      <c r="H814" t="inlineStr">
        <is>
          <t>Bałuty</t>
        </is>
      </c>
      <c r="I814" t="inlineStr">
        <is>
          <t>NIE</t>
        </is>
      </c>
      <c r="J814" t="inlineStr">
        <is>
          <t>TAK</t>
        </is>
      </c>
      <c r="K814" t="n">
        <v>503541444</v>
      </c>
      <c r="L814" t="n">
        <v>405000</v>
      </c>
      <c r="M814" t="n">
        <v>7043.478260869565</v>
      </c>
      <c r="N814" t="n">
        <v>57.5</v>
      </c>
      <c r="O814" t="inlineStr">
        <is>
          <t>2+k</t>
        </is>
      </c>
      <c r="P814" t="n">
        <v>3</v>
      </c>
      <c r="Q814" t="inlineStr">
        <is>
          <t>Nie da się zamieszkać</t>
        </is>
      </c>
    </row>
    <row r="815">
      <c r="A815" t="n">
        <v>814</v>
      </c>
      <c r="B815" s="3" t="n">
        <v>45530</v>
      </c>
      <c r="D815" t="inlineStr">
        <is>
          <t>https://www.otodom.pl/pl/oferta/swietna-lokalizacja-swietna-cena-ID4sbCD.html</t>
        </is>
      </c>
      <c r="E815">
        <f>HYPERLINK("https://www.otodom.pl/pl/oferta/swietna-lokalizacja-swietna-cena-ID4sbCD.html", "https://www.otodom.pl/pl/oferta/swietna-lokalizacja-swietna-cena-ID4sbCD.html")</f>
        <v/>
      </c>
      <c r="F815" t="inlineStr">
        <is>
          <t>zmienna</t>
        </is>
      </c>
      <c r="G815" t="inlineStr">
        <is>
          <t>Bałuty</t>
        </is>
      </c>
      <c r="H815" t="inlineStr">
        <is>
          <t>Bałuty</t>
        </is>
      </c>
      <c r="I815" t="inlineStr">
        <is>
          <t>NIE</t>
        </is>
      </c>
      <c r="J815" t="inlineStr">
        <is>
          <t>TAK</t>
        </is>
      </c>
      <c r="K815" t="n">
        <v>513120280</v>
      </c>
      <c r="L815" t="n">
        <v>317000</v>
      </c>
      <c r="M815" t="n">
        <v>6340</v>
      </c>
      <c r="N815" t="n">
        <v>50</v>
      </c>
      <c r="O815" t="inlineStr">
        <is>
          <t>2+k</t>
        </is>
      </c>
      <c r="P815" t="n">
        <v>3</v>
      </c>
      <c r="Q815" t="inlineStr">
        <is>
          <t>Nie da się zamieszkać</t>
        </is>
      </c>
      <c r="R815" t="inlineStr">
        <is>
          <t>03.09 nie chce właściciel zejść z ceny (2 braci), rzucone 300k</t>
        </is>
      </c>
      <c r="T815" t="inlineStr">
        <is>
          <t>525</t>
        </is>
      </c>
    </row>
    <row r="816">
      <c r="A816" t="n">
        <v>815</v>
      </c>
      <c r="B816" s="3" t="n">
        <v>45530</v>
      </c>
      <c r="D816" t="inlineStr">
        <is>
          <t>https://www.krn.pl/oferta/mieszkanie-45-00m2-lodz,28675147</t>
        </is>
      </c>
      <c r="E816">
        <f>HYPERLINK("https://www.krn.pl/oferta/mieszkanie-45-00m2-lodz,28675147", "https://www.krn.pl/oferta/mieszkanie-45-00m2-lodz,28675147")</f>
        <v/>
      </c>
      <c r="F816" t="inlineStr">
        <is>
          <t>kurak</t>
        </is>
      </c>
      <c r="G816" t="inlineStr">
        <is>
          <t>Górna</t>
        </is>
      </c>
      <c r="H816" t="inlineStr">
        <is>
          <t>Górna</t>
        </is>
      </c>
      <c r="I816" t="inlineStr">
        <is>
          <t>NIE</t>
        </is>
      </c>
      <c r="J816" t="inlineStr">
        <is>
          <t>TAK</t>
        </is>
      </c>
      <c r="K816" t="n">
        <v>539313900</v>
      </c>
      <c r="L816" t="n">
        <v>339000</v>
      </c>
      <c r="M816" t="n">
        <v>7533.333333333333</v>
      </c>
      <c r="N816" t="n">
        <v>45</v>
      </c>
      <c r="O816" t="inlineStr">
        <is>
          <t>2+k</t>
        </is>
      </c>
      <c r="P816" t="n">
        <v>3</v>
      </c>
      <c r="Q816" t="inlineStr">
        <is>
          <t>Nie da się zamieszkać</t>
        </is>
      </c>
    </row>
    <row r="817">
      <c r="A817" t="n">
        <v>816</v>
      </c>
      <c r="B817" s="3" t="n">
        <v>45530</v>
      </c>
      <c r="D817" t="inlineStr">
        <is>
          <t>https://szybko.pl/o/na-sprzedaz/lokal-mieszkalny/Łódź+Śródmieście/oferta-15349517</t>
        </is>
      </c>
      <c r="E817">
        <f>HYPERLINK("https://szybko.pl/o/na-sprzedaz/lokal-mieszkalny/Łódź+Śródmieście/oferta-15349517", "https://szybko.pl/o/na-sprzedaz/lokal-mieszkalny/Łódź+Śródmieście/oferta-15349517")</f>
        <v/>
      </c>
      <c r="F817" t="inlineStr">
        <is>
          <t>.</t>
        </is>
      </c>
      <c r="G817" t="inlineStr">
        <is>
          <t>Śródmieście</t>
        </is>
      </c>
      <c r="H817" t="inlineStr">
        <is>
          <t>Śródmieście</t>
        </is>
      </c>
      <c r="I817" t="inlineStr">
        <is>
          <t>NIE</t>
        </is>
      </c>
      <c r="J817" t="inlineStr">
        <is>
          <t>TAK</t>
        </is>
      </c>
      <c r="K817" t="n">
        <v>537176199</v>
      </c>
      <c r="L817" t="n">
        <v>409990</v>
      </c>
      <c r="M817" t="n">
        <v>6833.166666666667</v>
      </c>
      <c r="N817" t="n">
        <v>60</v>
      </c>
      <c r="O817" t="inlineStr">
        <is>
          <t>2+k</t>
        </is>
      </c>
      <c r="Q817" t="inlineStr">
        <is>
          <t>Nie da się zamieszkać</t>
        </is>
      </c>
    </row>
    <row r="818">
      <c r="A818" t="n">
        <v>817</v>
      </c>
      <c r="B818" s="3" t="n">
        <v>45531</v>
      </c>
      <c r="D818" t="inlineStr">
        <is>
          <t>https://www.olx.pl/d/oferta/przestronna-kawalerkainwestycja2pietroobok-park-CID3-ID104UN8.html</t>
        </is>
      </c>
      <c r="E818">
        <f>HYPERLINK("https://www.olx.pl/d/oferta/przestronna-kawalerkainwestycja2pietroobok-park-CID3-ID104UN8.html", "https://www.olx.pl/d/oferta/przestronna-kawalerkainwestycja2pietroobok-park-CID3-ID104UN8.html")</f>
        <v/>
      </c>
      <c r="F818" t="inlineStr">
        <is>
          <t>.</t>
        </is>
      </c>
      <c r="G818" t="inlineStr">
        <is>
          <t>Polesie</t>
        </is>
      </c>
      <c r="H818" t="inlineStr">
        <is>
          <t>Polesie</t>
        </is>
      </c>
      <c r="I818" t="inlineStr">
        <is>
          <t>NIE</t>
        </is>
      </c>
      <c r="J818" t="inlineStr">
        <is>
          <t>TAK</t>
        </is>
      </c>
      <c r="K818" t="n">
        <v>530195255</v>
      </c>
      <c r="L818" t="n">
        <v>249000</v>
      </c>
      <c r="M818" t="n">
        <v>6916.666666666667</v>
      </c>
      <c r="N818" t="n">
        <v>36</v>
      </c>
      <c r="O818" t="inlineStr">
        <is>
          <t>1+k</t>
        </is>
      </c>
      <c r="P818" t="n">
        <v>2</v>
      </c>
      <c r="Q818" t="inlineStr">
        <is>
          <t>Nie da się zamieszkać</t>
        </is>
      </c>
      <c r="R818" t="inlineStr">
        <is>
          <t>to nie dubel</t>
        </is>
      </c>
      <c r="T818" t="inlineStr">
        <is>
          <t>76, 359, 852</t>
        </is>
      </c>
    </row>
    <row r="819">
      <c r="A819" t="n">
        <v>818</v>
      </c>
      <c r="B819" s="3" t="n">
        <v>45531</v>
      </c>
      <c r="C819" s="3" t="n">
        <v>45548</v>
      </c>
      <c r="D819" t="inlineStr">
        <is>
          <t>https://www.otodom.pl/pl/oferta/2-pokoje-do-remontu-8-pietro-z-widokiem-dabrowa-ID4scfK.html</t>
        </is>
      </c>
      <c r="E819">
        <f>HYPERLINK("https://www.otodom.pl/pl/oferta/2-pokoje-do-remontu-8-pietro-z-widokiem-dabrowa-ID4scfK.html", "https://www.otodom.pl/pl/oferta/2-pokoje-do-remontu-8-pietro-z-widokiem-dabrowa-ID4scfK.html")</f>
        <v/>
      </c>
      <c r="F819" t="inlineStr">
        <is>
          <t>Konspiracyjnego Wojska Polskiego</t>
        </is>
      </c>
      <c r="G819" t="inlineStr">
        <is>
          <t>Dąbrowa</t>
        </is>
      </c>
      <c r="H819" t="inlineStr">
        <is>
          <t>Dąbrowa</t>
        </is>
      </c>
      <c r="I819" t="inlineStr">
        <is>
          <t>TAK</t>
        </is>
      </c>
      <c r="J819" t="inlineStr">
        <is>
          <t>TAK</t>
        </is>
      </c>
      <c r="K819" t="n">
        <v>880440488</v>
      </c>
      <c r="L819" t="n">
        <v>325000</v>
      </c>
      <c r="M819" t="n">
        <v>7488.479262672811</v>
      </c>
      <c r="N819" t="n">
        <v>43.4</v>
      </c>
      <c r="O819" t="inlineStr">
        <is>
          <t>2+k</t>
        </is>
      </c>
      <c r="P819" t="n">
        <v>8</v>
      </c>
      <c r="Q819" t="inlineStr">
        <is>
          <t>Nie da się zamieszkać</t>
        </is>
      </c>
    </row>
    <row r="820">
      <c r="A820" t="n">
        <v>819</v>
      </c>
      <c r="B820" s="3" t="n">
        <v>45531</v>
      </c>
      <c r="D820" t="inlineStr">
        <is>
          <t>https://www.olx.pl/d/oferta/3-pokojowe-gorna-blisko-ronda-lotnikow-okazja-CID3-ID11EAGo.html</t>
        </is>
      </c>
      <c r="E820">
        <f>HYPERLINK("https://www.olx.pl/d/oferta/3-pokojowe-gorna-blisko-ronda-lotnikow-okazja-CID3-ID11EAGo.html", "https://www.olx.pl/d/oferta/3-pokojowe-gorna-blisko-ronda-lotnikow-okazja-CID3-ID11EAGo.html")</f>
        <v/>
      </c>
      <c r="F820" t="inlineStr">
        <is>
          <t>zaolziańska</t>
        </is>
      </c>
      <c r="G820" t="inlineStr">
        <is>
          <t>Górna</t>
        </is>
      </c>
      <c r="H820" t="inlineStr">
        <is>
          <t>Górna</t>
        </is>
      </c>
      <c r="I820" t="inlineStr">
        <is>
          <t>NIE</t>
        </is>
      </c>
      <c r="J820" t="inlineStr">
        <is>
          <t>NIE</t>
        </is>
      </c>
      <c r="K820" t="n">
        <v>514416099</v>
      </c>
      <c r="L820" t="n">
        <v>389000</v>
      </c>
      <c r="M820" t="n">
        <v>7154.6808901968</v>
      </c>
      <c r="N820" t="n">
        <v>54.37</v>
      </c>
      <c r="O820" t="inlineStr">
        <is>
          <t>3+k</t>
        </is>
      </c>
      <c r="P820" t="n">
        <v>3</v>
      </c>
      <c r="Q820" t="inlineStr">
        <is>
          <t>Puste posprzątane</t>
        </is>
      </c>
    </row>
    <row r="821">
      <c r="A821" t="n">
        <v>820</v>
      </c>
      <c r="B821" s="3" t="n">
        <v>45531</v>
      </c>
      <c r="D821" t="inlineStr">
        <is>
          <t>https://www.olx.pl/d/oferta/konstytucyjna-CID3-ID11EK5J.html?isPreviewActive=0&amp;sliderIndex=6</t>
        </is>
      </c>
      <c r="E821">
        <f>HYPERLINK("https://www.olx.pl/d/oferta/konstytucyjna-CID3-ID11EK5J.html?isPreviewActive=0&amp;sliderIndex=6", "https://www.olx.pl/d/oferta/konstytucyjna-CID3-ID11EK5J.html?isPreviewActive=0&amp;sliderIndex=6")</f>
        <v/>
      </c>
      <c r="F821" t="inlineStr">
        <is>
          <t>konstytucyjna</t>
        </is>
      </c>
      <c r="G821" t="inlineStr">
        <is>
          <t>Widzew</t>
        </is>
      </c>
      <c r="H821" t="inlineStr">
        <is>
          <t>Widzew blisko centrum</t>
        </is>
      </c>
      <c r="I821" t="inlineStr">
        <is>
          <t>NIE</t>
        </is>
      </c>
      <c r="J821" t="inlineStr">
        <is>
          <t>TAK</t>
        </is>
      </c>
      <c r="K821" t="n">
        <v>728855588</v>
      </c>
      <c r="L821" t="n">
        <v>310000</v>
      </c>
      <c r="M821" t="n">
        <v>8244.680851063829</v>
      </c>
      <c r="N821" t="n">
        <v>37.6</v>
      </c>
      <c r="O821" t="inlineStr">
        <is>
          <t>2+k</t>
        </is>
      </c>
      <c r="P821" t="n">
        <v>3</v>
      </c>
      <c r="Q821" t="inlineStr">
        <is>
          <t>Nie da się zamieszkać</t>
        </is>
      </c>
    </row>
    <row r="822">
      <c r="A822" t="n">
        <v>821</v>
      </c>
      <c r="B822" s="3" t="n">
        <v>45531</v>
      </c>
      <c r="C822" s="3" t="n">
        <v>45548</v>
      </c>
      <c r="D822" t="inlineStr">
        <is>
          <t>https://www.otodom.pl/pl/oferta/m-3-44m2-dabrowa-pelny-rozklad-balkon-ID4scLj</t>
        </is>
      </c>
      <c r="E822">
        <f>HYPERLINK("https://www.otodom.pl/pl/oferta/m-3-44m2-dabrowa-pelny-rozklad-balkon-ID4scLj", "https://www.otodom.pl/pl/oferta/m-3-44m2-dabrowa-pelny-rozklad-balkon-ID4scLj")</f>
        <v/>
      </c>
      <c r="F822" t="inlineStr">
        <is>
          <t>kruczkowskiego</t>
        </is>
      </c>
      <c r="G822" t="inlineStr">
        <is>
          <t>Dąbrowa</t>
        </is>
      </c>
      <c r="H822" t="inlineStr">
        <is>
          <t>Dąbrowa</t>
        </is>
      </c>
      <c r="I822" t="inlineStr">
        <is>
          <t>TAK</t>
        </is>
      </c>
      <c r="J822" t="inlineStr">
        <is>
          <t>TAK</t>
        </is>
      </c>
      <c r="K822" t="n">
        <v>668699393</v>
      </c>
      <c r="L822" t="n">
        <v>299000</v>
      </c>
      <c r="M822" t="n">
        <v>6795.454545454545</v>
      </c>
      <c r="N822" t="n">
        <v>44</v>
      </c>
      <c r="O822" t="inlineStr">
        <is>
          <t>2+k</t>
        </is>
      </c>
      <c r="P822" t="n">
        <v>8</v>
      </c>
      <c r="Q822" t="inlineStr">
        <is>
          <t>Nie da się zamieszkać</t>
        </is>
      </c>
      <c r="R822" t="inlineStr">
        <is>
          <t>Eee, Paprocki ;P 11.09 ktoś jest zainteresowany, nie umawiają nowych klientów, oddzwoni babka jak będzie aktualne - śmierdzi fake'iem XD</t>
        </is>
      </c>
    </row>
    <row r="823">
      <c r="A823" t="n">
        <v>822</v>
      </c>
      <c r="B823" s="3" t="n">
        <v>45531</v>
      </c>
      <c r="C823" s="3" t="n">
        <v>45548</v>
      </c>
      <c r="D823" t="inlineStr">
        <is>
          <t>https://www.domiporta.pl/nieruchomosci/sprzedam-mieszkanie-trzypokojowe-lodz-malachowskiego-58m2/155352630</t>
        </is>
      </c>
      <c r="E823">
        <f>HYPERLINK("https://www.domiporta.pl/nieruchomosci/sprzedam-mieszkanie-trzypokojowe-lodz-malachowskiego-58m2/155352630", "https://www.domiporta.pl/nieruchomosci/sprzedam-mieszkanie-trzypokojowe-lodz-malachowskiego-58m2/155352630")</f>
        <v/>
      </c>
      <c r="F823" t="inlineStr">
        <is>
          <t>małachowskiego</t>
        </is>
      </c>
      <c r="G823" t="inlineStr">
        <is>
          <t>Śródmieście</t>
        </is>
      </c>
      <c r="H823" t="inlineStr">
        <is>
          <t>Śródmieście</t>
        </is>
      </c>
      <c r="I823" t="inlineStr">
        <is>
          <t>TAK</t>
        </is>
      </c>
      <c r="J823" t="inlineStr">
        <is>
          <t>TAK</t>
        </is>
      </c>
      <c r="K823" t="n">
        <v>726276107</v>
      </c>
      <c r="L823" t="n">
        <v>496000</v>
      </c>
      <c r="M823" t="n">
        <v>8593.208593208594</v>
      </c>
      <c r="N823" t="n">
        <v>57.72</v>
      </c>
      <c r="O823" t="inlineStr">
        <is>
          <t>3+k</t>
        </is>
      </c>
      <c r="P823" t="n">
        <v>0</v>
      </c>
      <c r="Q823" t="inlineStr">
        <is>
          <t>Puste posprzątane</t>
        </is>
      </c>
    </row>
    <row r="824">
      <c r="A824" t="n">
        <v>823</v>
      </c>
      <c r="B824" s="3" t="n">
        <v>45531</v>
      </c>
      <c r="C824" s="3" t="n">
        <v>45510</v>
      </c>
      <c r="D824" t="inlineStr">
        <is>
          <t>https://www.otodom.pl/pl/oferta/2-pokoje-do-remontu-teofilow-balkon-ID4scU4.html</t>
        </is>
      </c>
      <c r="E824">
        <f>HYPERLINK("https://www.otodom.pl/pl/oferta/2-pokoje-do-remontu-teofilow-balkon-ID4scU4.html", "https://www.otodom.pl/pl/oferta/2-pokoje-do-remontu-teofilow-balkon-ID4scU4.html")</f>
        <v/>
      </c>
      <c r="F824" t="inlineStr">
        <is>
          <t>traktorowa</t>
        </is>
      </c>
      <c r="G824" t="inlineStr">
        <is>
          <t>Teofilów</t>
        </is>
      </c>
      <c r="H824" t="inlineStr">
        <is>
          <t>Teofilów</t>
        </is>
      </c>
      <c r="I824" t="inlineStr">
        <is>
          <t>TAK</t>
        </is>
      </c>
      <c r="J824" t="inlineStr">
        <is>
          <t>TAK</t>
        </is>
      </c>
      <c r="K824" t="n">
        <v>536230493</v>
      </c>
      <c r="L824" t="n">
        <v>235000</v>
      </c>
      <c r="M824" t="n">
        <v>6236.730360934182</v>
      </c>
      <c r="N824" t="n">
        <v>37.68</v>
      </c>
      <c r="O824" t="inlineStr">
        <is>
          <t>2+k</t>
        </is>
      </c>
      <c r="P824" t="n">
        <v>4</v>
      </c>
      <c r="Q824" t="inlineStr">
        <is>
          <t>Puste</t>
        </is>
      </c>
    </row>
    <row r="825">
      <c r="A825" t="n">
        <v>824</v>
      </c>
      <c r="B825" s="3" t="n">
        <v>45531</v>
      </c>
      <c r="D825" t="inlineStr">
        <is>
          <t>https://adresowo.pl/o/c0d9l9</t>
        </is>
      </c>
      <c r="E825">
        <f>HYPERLINK("https://adresowo.pl/o/c0d9l9", "https://adresowo.pl/o/c0d9l9")</f>
        <v/>
      </c>
      <c r="F825" t="inlineStr">
        <is>
          <t>wioślarska</t>
        </is>
      </c>
      <c r="G825" t="inlineStr">
        <is>
          <t>Retkinia</t>
        </is>
      </c>
      <c r="H825" t="inlineStr">
        <is>
          <t>Retkinia blisko centrum</t>
        </is>
      </c>
      <c r="I825" t="inlineStr">
        <is>
          <t>NIE</t>
        </is>
      </c>
      <c r="J825" t="inlineStr">
        <is>
          <t>NIE</t>
        </is>
      </c>
      <c r="L825" t="n">
        <v>275000</v>
      </c>
      <c r="M825" t="n">
        <v>7392.473118279569</v>
      </c>
      <c r="N825" t="n">
        <v>37.2</v>
      </c>
      <c r="O825" t="inlineStr">
        <is>
          <t>2+k</t>
        </is>
      </c>
      <c r="P825" t="n">
        <v>4</v>
      </c>
      <c r="Q825" t="inlineStr">
        <is>
          <t>Nie da się zamieszkać</t>
        </is>
      </c>
    </row>
    <row r="826">
      <c r="A826" t="n">
        <v>825</v>
      </c>
      <c r="B826" s="3" t="n">
        <v>45532</v>
      </c>
      <c r="D826" t="inlineStr">
        <is>
          <t>https://www.otodom.pl/pl/oferta/3-pokoje-z-duzym-balkonem-cicha-okolica-ID4scVx.html</t>
        </is>
      </c>
      <c r="E826">
        <f>HYPERLINK("https://www.otodom.pl/pl/oferta/3-pokoje-z-duzym-balkonem-cicha-okolica-ID4scVx.html", "https://www.otodom.pl/pl/oferta/3-pokoje-z-duzym-balkonem-cicha-okolica-ID4scVx.html")</f>
        <v/>
      </c>
      <c r="F826" t="inlineStr">
        <is>
          <t>rawska</t>
        </is>
      </c>
      <c r="G826" t="inlineStr">
        <is>
          <t>Górna</t>
        </is>
      </c>
      <c r="H826" t="inlineStr">
        <is>
          <t>Górna</t>
        </is>
      </c>
      <c r="I826" t="inlineStr">
        <is>
          <t>NIE</t>
        </is>
      </c>
      <c r="J826" t="inlineStr">
        <is>
          <t>TAK</t>
        </is>
      </c>
      <c r="K826" t="n">
        <v>535675786</v>
      </c>
      <c r="L826" t="n">
        <v>338000</v>
      </c>
      <c r="M826" t="n">
        <v>6842.105263157895</v>
      </c>
      <c r="N826" t="n">
        <v>49.4</v>
      </c>
      <c r="O826" t="inlineStr">
        <is>
          <t>3+k</t>
        </is>
      </c>
      <c r="P826" t="n">
        <v>0</v>
      </c>
      <c r="Q826" t="inlineStr">
        <is>
          <t>Nie da się zamieszkać</t>
        </is>
      </c>
    </row>
    <row r="827">
      <c r="A827" t="n">
        <v>826</v>
      </c>
      <c r="B827" s="3" t="n">
        <v>45532</v>
      </c>
      <c r="D827" t="inlineStr">
        <is>
          <t>https://www.otodom.pl/pl/oferta/2-pokojowe-balkon-37-m2-swietna-lokalizacja-ID4sd10.html</t>
        </is>
      </c>
      <c r="E827">
        <f>HYPERLINK("https://www.otodom.pl/pl/oferta/2-pokojowe-balkon-37-m2-swietna-lokalizacja-ID4sd10.html", "https://www.otodom.pl/pl/oferta/2-pokojowe-balkon-37-m2-swietna-lokalizacja-ID4sd10.html")</f>
        <v/>
      </c>
      <c r="F827" t="inlineStr">
        <is>
          <t xml:space="preserve">dąbrowskiego </t>
        </is>
      </c>
      <c r="G827" t="inlineStr">
        <is>
          <t>Dąbrowa</t>
        </is>
      </c>
      <c r="H827" t="inlineStr">
        <is>
          <t>Dąbrowa</t>
        </is>
      </c>
      <c r="I827" t="inlineStr">
        <is>
          <t>NIE</t>
        </is>
      </c>
      <c r="J827" t="inlineStr">
        <is>
          <t>TAK</t>
        </is>
      </c>
      <c r="K827" t="n">
        <v>727926503</v>
      </c>
      <c r="L827" t="n">
        <v>253000</v>
      </c>
      <c r="M827" t="n">
        <v>6981.236203090507</v>
      </c>
      <c r="N827" t="n">
        <v>36.24</v>
      </c>
      <c r="O827" t="inlineStr">
        <is>
          <t>2+k</t>
        </is>
      </c>
      <c r="P827" t="n">
        <v>3</v>
      </c>
      <c r="Q827" t="inlineStr">
        <is>
          <t>Nie da się zamieszkać</t>
        </is>
      </c>
    </row>
    <row r="828">
      <c r="A828" t="n">
        <v>827</v>
      </c>
      <c r="B828" s="3" t="n">
        <v>45532</v>
      </c>
      <c r="D828" t="inlineStr">
        <is>
          <t>https://www.otodom.pl/pl/oferta/3-pokoje-do-remontu-retkinia-park-na-zdrowiu-ID4sd1r</t>
        </is>
      </c>
      <c r="E828">
        <f>HYPERLINK("https://www.otodom.pl/pl/oferta/3-pokoje-do-remontu-retkinia-park-na-zdrowiu-ID4sd1r", "https://www.otodom.pl/pl/oferta/3-pokoje-do-remontu-retkinia-park-na-zdrowiu-ID4sd1r")</f>
        <v/>
      </c>
      <c r="F828" t="inlineStr">
        <is>
          <t>grodzieńska</t>
        </is>
      </c>
      <c r="G828" t="inlineStr">
        <is>
          <t>Retkinia</t>
        </is>
      </c>
      <c r="H828" t="inlineStr">
        <is>
          <t>Retkinia blisko centrum</t>
        </is>
      </c>
      <c r="I828" t="inlineStr">
        <is>
          <t>NIE</t>
        </is>
      </c>
      <c r="J828" t="inlineStr">
        <is>
          <t>TAK</t>
        </is>
      </c>
      <c r="K828" t="n">
        <v>514416099</v>
      </c>
      <c r="L828" t="n">
        <v>399000</v>
      </c>
      <c r="M828" t="n">
        <v>7299.67069154775</v>
      </c>
      <c r="N828" t="n">
        <v>54.66</v>
      </c>
      <c r="O828" t="inlineStr">
        <is>
          <t>3+k</t>
        </is>
      </c>
      <c r="P828" t="n">
        <v>4</v>
      </c>
      <c r="Q828" t="inlineStr">
        <is>
          <t>Puste posprzątane</t>
        </is>
      </c>
    </row>
    <row r="829">
      <c r="A829" t="n">
        <v>828</v>
      </c>
      <c r="B829" s="3" t="n">
        <v>45532</v>
      </c>
      <c r="C829" s="3" t="n">
        <v>45510</v>
      </c>
      <c r="D829" t="inlineStr">
        <is>
          <t>https://www.olx.pl/d/oferta/2-pokoje-rozkladowe-z-balkonem-zielona-okolica-CID3-ID11FqPV.html</t>
        </is>
      </c>
      <c r="E829">
        <f>HYPERLINK("https://www.olx.pl/d/oferta/2-pokoje-rozkladowe-z-balkonem-zielona-okolica-CID3-ID11FqPV.html", "https://www.olx.pl/d/oferta/2-pokoje-rozkladowe-z-balkonem-zielona-okolica-CID3-ID11FqPV.html")</f>
        <v/>
      </c>
      <c r="F829" t="inlineStr">
        <is>
          <t>.</t>
        </is>
      </c>
      <c r="G829" t="inlineStr">
        <is>
          <t>Bałuty</t>
        </is>
      </c>
      <c r="H829" t="inlineStr">
        <is>
          <t>Bałuty</t>
        </is>
      </c>
      <c r="I829" t="inlineStr">
        <is>
          <t>TAK</t>
        </is>
      </c>
      <c r="J829" t="inlineStr">
        <is>
          <t>TAK</t>
        </is>
      </c>
      <c r="K829" t="n">
        <v>503541444</v>
      </c>
      <c r="L829" t="n">
        <v>405000</v>
      </c>
      <c r="M829" t="n">
        <v>7043.478260869565</v>
      </c>
      <c r="N829" t="n">
        <v>57.5</v>
      </c>
      <c r="O829" t="inlineStr">
        <is>
          <t>2+k</t>
        </is>
      </c>
      <c r="P829" t="n">
        <v>3</v>
      </c>
      <c r="Q829" t="inlineStr">
        <is>
          <t>Puste</t>
        </is>
      </c>
    </row>
    <row r="830">
      <c r="A830" t="n">
        <v>829</v>
      </c>
      <c r="B830" s="3" t="n">
        <v>45532</v>
      </c>
      <c r="D830" t="inlineStr">
        <is>
          <t>https://www.otodom.pl/pl/oferta/lodz-mieszkanie-do-remontu-okazja-ID4sduJ</t>
        </is>
      </c>
      <c r="E830">
        <f>HYPERLINK("https://www.otodom.pl/pl/oferta/lodz-mieszkanie-do-remontu-okazja-ID4sduJ", "https://www.otodom.pl/pl/oferta/lodz-mieszkanie-do-remontu-okazja-ID4sduJ")</f>
        <v/>
      </c>
      <c r="F830" t="inlineStr">
        <is>
          <t>lecznicza</t>
        </is>
      </c>
      <c r="G830" t="inlineStr">
        <is>
          <t>Górna</t>
        </is>
      </c>
      <c r="H830" t="inlineStr">
        <is>
          <t>Górna</t>
        </is>
      </c>
      <c r="I830" t="inlineStr">
        <is>
          <t>NIE</t>
        </is>
      </c>
      <c r="J830" t="inlineStr">
        <is>
          <t>TAK</t>
        </is>
      </c>
      <c r="K830" t="inlineStr">
        <is>
          <t>22 326 91 29</t>
        </is>
      </c>
      <c r="L830" t="n">
        <v>354000</v>
      </c>
      <c r="M830" t="n">
        <v>8207.744029677719</v>
      </c>
      <c r="N830" t="n">
        <v>43.13</v>
      </c>
      <c r="O830" t="inlineStr">
        <is>
          <t>2+k</t>
        </is>
      </c>
      <c r="P830" t="inlineStr">
        <is>
          <t>4!</t>
        </is>
      </c>
      <c r="Q830" t="inlineStr">
        <is>
          <t>Nie da się zamieszkać</t>
        </is>
      </c>
    </row>
    <row r="831">
      <c r="A831" t="n">
        <v>830</v>
      </c>
      <c r="B831" s="3" t="n">
        <v>45532</v>
      </c>
      <c r="D831" t="inlineStr">
        <is>
          <t>https://www.otodom.pl/pl/oferta/rozkladowe-3-pokoje-na-retkini-botanik-winda-2p-ID4sdBM</t>
        </is>
      </c>
      <c r="E831">
        <f>HYPERLINK("https://www.otodom.pl/pl/oferta/rozkladowe-3-pokoje-na-retkini-botanik-winda-2p-ID4sdBM", "https://www.otodom.pl/pl/oferta/rozkladowe-3-pokoje-na-retkini-botanik-winda-2p-ID4sdBM")</f>
        <v/>
      </c>
      <c r="F831" t="inlineStr">
        <is>
          <t>ogród botaniczny</t>
        </is>
      </c>
      <c r="G831" t="inlineStr">
        <is>
          <t>Retkinia</t>
        </is>
      </c>
      <c r="H831" t="inlineStr">
        <is>
          <t>Retkinia</t>
        </is>
      </c>
      <c r="I831" t="inlineStr">
        <is>
          <t>NIE</t>
        </is>
      </c>
      <c r="J831" t="inlineStr">
        <is>
          <t>TAK</t>
        </is>
      </c>
      <c r="K831" t="n">
        <v>789635952</v>
      </c>
      <c r="L831" t="n">
        <v>439000</v>
      </c>
      <c r="M831" t="n">
        <v>7669.461914744933</v>
      </c>
      <c r="N831" t="n">
        <v>57.24</v>
      </c>
      <c r="O831" t="inlineStr">
        <is>
          <t>3+k</t>
        </is>
      </c>
      <c r="P831" t="n">
        <v>2</v>
      </c>
      <c r="Q831" t="inlineStr">
        <is>
          <t>Nie da się zamieszkać</t>
        </is>
      </c>
    </row>
    <row r="832">
      <c r="A832" t="n">
        <v>831</v>
      </c>
      <c r="B832" s="3" t="n">
        <v>45532</v>
      </c>
      <c r="D832" t="inlineStr">
        <is>
          <t>https://gratka.pl/nieruchomosci/mieszkanie-lodz-teofilow-ul-judyma/ob/36721051</t>
        </is>
      </c>
      <c r="E832">
        <f>HYPERLINK("https://gratka.pl/nieruchomosci/mieszkanie-lodz-teofilow-ul-judyma/ob/36721051", "https://gratka.pl/nieruchomosci/mieszkanie-lodz-teofilow-ul-judyma/ob/36721051")</f>
        <v/>
      </c>
      <c r="F832" t="inlineStr">
        <is>
          <t>judyma</t>
        </is>
      </c>
      <c r="G832" t="inlineStr">
        <is>
          <t>Teofilów</t>
        </is>
      </c>
      <c r="H832" t="inlineStr">
        <is>
          <t>Teofilów</t>
        </is>
      </c>
      <c r="I832" t="inlineStr">
        <is>
          <t>NIE</t>
        </is>
      </c>
      <c r="J832" t="inlineStr">
        <is>
          <t>TAK</t>
        </is>
      </c>
      <c r="K832" t="n">
        <v>511000217</v>
      </c>
      <c r="L832" t="n">
        <v>288000</v>
      </c>
      <c r="M832" t="n">
        <v>6428.571428571429</v>
      </c>
      <c r="N832" t="n">
        <v>44.8</v>
      </c>
      <c r="O832" t="inlineStr">
        <is>
          <t>2+k</t>
        </is>
      </c>
      <c r="P832" t="n">
        <v>0</v>
      </c>
      <c r="Q832" t="inlineStr">
        <is>
          <t>Nie da się zamieszkać</t>
        </is>
      </c>
    </row>
    <row r="833">
      <c r="A833" t="n">
        <v>832</v>
      </c>
      <c r="B833" s="3" t="n">
        <v>45533</v>
      </c>
      <c r="D833" t="inlineStr">
        <is>
          <t>https://gratka.pl/nieruchomosci/mieszkanie-lodz-teofilow-ul-plantowa/ob/36721083</t>
        </is>
      </c>
      <c r="E833">
        <f>HYPERLINK("https://gratka.pl/nieruchomosci/mieszkanie-lodz-teofilow-ul-plantowa/ob/36721083", "https://gratka.pl/nieruchomosci/mieszkanie-lodz-teofilow-ul-plantowa/ob/36721083")</f>
        <v/>
      </c>
      <c r="F833" t="inlineStr">
        <is>
          <t>plantowa</t>
        </is>
      </c>
      <c r="G833" t="inlineStr">
        <is>
          <t>Teofilów</t>
        </is>
      </c>
      <c r="H833" t="inlineStr">
        <is>
          <t>Teofilów</t>
        </is>
      </c>
      <c r="I833" t="inlineStr">
        <is>
          <t>NIE</t>
        </is>
      </c>
      <c r="J833" t="inlineStr">
        <is>
          <t>TAK</t>
        </is>
      </c>
      <c r="K833" t="n">
        <v>511000217</v>
      </c>
      <c r="L833" t="n">
        <v>275000</v>
      </c>
      <c r="M833" t="n">
        <v>7313.829787234043</v>
      </c>
      <c r="N833" t="n">
        <v>37.6</v>
      </c>
      <c r="O833" t="inlineStr">
        <is>
          <t>2+k</t>
        </is>
      </c>
      <c r="P833" t="n">
        <v>1</v>
      </c>
      <c r="Q833" t="inlineStr">
        <is>
          <t>Nie da się zamieszkać</t>
        </is>
      </c>
    </row>
    <row r="834">
      <c r="A834" t="n">
        <v>833</v>
      </c>
      <c r="B834" s="3" t="n">
        <v>45533</v>
      </c>
      <c r="D834" t="inlineStr">
        <is>
          <t>https://www.olx.pl/d/oferta/atrakcyjne-mieszkanie-na-sprzedaz-CID3-ID11Ghi5.html</t>
        </is>
      </c>
      <c r="E834">
        <f>HYPERLINK("https://www.olx.pl/d/oferta/atrakcyjne-mieszkanie-na-sprzedaz-CID3-ID11Ghi5.html", "https://www.olx.pl/d/oferta/atrakcyjne-mieszkanie-na-sprzedaz-CID3-ID11Ghi5.html")</f>
        <v/>
      </c>
      <c r="F834" t="inlineStr">
        <is>
          <t>podgórna</t>
        </is>
      </c>
      <c r="G834" t="inlineStr">
        <is>
          <t>Górna</t>
        </is>
      </c>
      <c r="H834" t="inlineStr">
        <is>
          <t>Górna</t>
        </is>
      </c>
      <c r="I834" t="inlineStr">
        <is>
          <t>NIE</t>
        </is>
      </c>
      <c r="J834" t="inlineStr">
        <is>
          <t>TAK</t>
        </is>
      </c>
      <c r="K834" t="n">
        <v>535575086</v>
      </c>
      <c r="L834" t="n">
        <v>296000</v>
      </c>
      <c r="M834" t="n">
        <v>7400</v>
      </c>
      <c r="N834" t="n">
        <v>40</v>
      </c>
      <c r="O834" t="inlineStr">
        <is>
          <t>2+k</t>
        </is>
      </c>
      <c r="P834" t="n">
        <v>0</v>
      </c>
      <c r="Q834" t="inlineStr">
        <is>
          <t>Nie da się zamieszkać</t>
        </is>
      </c>
    </row>
    <row r="835">
      <c r="A835" t="n">
        <v>834</v>
      </c>
      <c r="B835" s="3" t="n">
        <v>45533</v>
      </c>
      <c r="D835" t="inlineStr">
        <is>
          <t>https://www.otodom.pl/pl/oferta/lodz-baluty-franciszkanska-sprzedam-mieszkanie-ID4rF8H.html</t>
        </is>
      </c>
      <c r="E835">
        <f>HYPERLINK("https://www.otodom.pl/pl/oferta/lodz-baluty-franciszkanska-sprzedam-mieszkanie-ID4rF8H.html", "https://www.otodom.pl/pl/oferta/lodz-baluty-franciszkanska-sprzedam-mieszkanie-ID4rF8H.html")</f>
        <v/>
      </c>
      <c r="F835" t="inlineStr">
        <is>
          <t>franciszkańska</t>
        </is>
      </c>
      <c r="G835" t="inlineStr">
        <is>
          <t>Bałuty</t>
        </is>
      </c>
      <c r="H835" t="inlineStr">
        <is>
          <t>Bałuty blisko centrum</t>
        </is>
      </c>
      <c r="I835" t="inlineStr">
        <is>
          <t>NIE</t>
        </is>
      </c>
      <c r="J835" t="inlineStr">
        <is>
          <t>NIE</t>
        </is>
      </c>
      <c r="K835" t="n">
        <v>608484587</v>
      </c>
      <c r="L835" t="n">
        <v>445000</v>
      </c>
      <c r="M835" t="n">
        <v>8217.913204062788</v>
      </c>
      <c r="N835" t="n">
        <v>54.15</v>
      </c>
      <c r="O835" t="inlineStr">
        <is>
          <t>3+k</t>
        </is>
      </c>
      <c r="P835" t="n">
        <v>2</v>
      </c>
      <c r="Q835" t="inlineStr">
        <is>
          <t>Nie da się zamieszkać</t>
        </is>
      </c>
    </row>
    <row r="836">
      <c r="A836" t="n">
        <v>835</v>
      </c>
      <c r="B836" s="3" t="n">
        <v>45534</v>
      </c>
      <c r="C836" s="3" t="n">
        <v>45510</v>
      </c>
      <c r="D836" t="inlineStr">
        <is>
          <t>https://www.olx.pl/d/oferta/2-pokoje-mieszkanie-manufaktura-lodz-ul-zachodnia-CID3-ID11HtIW.html</t>
        </is>
      </c>
      <c r="E836">
        <f>HYPERLINK("https://www.olx.pl/d/oferta/2-pokoje-mieszkanie-manufaktura-lodz-ul-zachodnia-CID3-ID11HtIW.html", "https://www.olx.pl/d/oferta/2-pokoje-mieszkanie-manufaktura-lodz-ul-zachodnia-CID3-ID11HtIW.html")</f>
        <v/>
      </c>
      <c r="F836" t="inlineStr">
        <is>
          <t>zachodnia</t>
        </is>
      </c>
      <c r="G836" t="inlineStr">
        <is>
          <t>Bałuty</t>
        </is>
      </c>
      <c r="H836" t="inlineStr">
        <is>
          <t>Bałuty blisko centrum</t>
        </is>
      </c>
      <c r="I836" t="inlineStr">
        <is>
          <t>TAK</t>
        </is>
      </c>
      <c r="J836" t="inlineStr">
        <is>
          <t>NIE</t>
        </is>
      </c>
      <c r="K836" t="n">
        <v>607466950</v>
      </c>
      <c r="L836" t="n">
        <v>302000</v>
      </c>
      <c r="M836" t="n">
        <v>6958.52534562212</v>
      </c>
      <c r="N836" t="n">
        <v>43.4</v>
      </c>
      <c r="O836" t="inlineStr">
        <is>
          <t>2+k</t>
        </is>
      </c>
      <c r="P836" t="n">
        <v>3</v>
      </c>
      <c r="Q836" t="inlineStr">
        <is>
          <t>Nie da się zamieszkać</t>
        </is>
      </c>
    </row>
    <row r="837">
      <c r="A837" t="n">
        <v>836</v>
      </c>
      <c r="B837" s="3" t="n">
        <v>45534</v>
      </c>
      <c r="D837" t="inlineStr">
        <is>
          <t>https://www.otodom.pl/pl/oferta/rozkladowe-m3-na-retkini-ID4sfrJ</t>
        </is>
      </c>
      <c r="E837">
        <f>HYPERLINK("https://www.otodom.pl/pl/oferta/rozkladowe-m3-na-retkini-ID4sfrJ", "https://www.otodom.pl/pl/oferta/rozkladowe-m3-na-retkini-ID4sfrJ")</f>
        <v/>
      </c>
      <c r="F837" t="inlineStr">
        <is>
          <t xml:space="preserve">armi krajowej </t>
        </is>
      </c>
      <c r="G837" t="inlineStr">
        <is>
          <t>Retkinia</t>
        </is>
      </c>
      <c r="H837" t="inlineStr">
        <is>
          <t>Retkinia</t>
        </is>
      </c>
      <c r="I837" t="inlineStr">
        <is>
          <t>NIE</t>
        </is>
      </c>
      <c r="J837" t="inlineStr">
        <is>
          <t>TAK</t>
        </is>
      </c>
      <c r="K837" t="n">
        <v>791093363</v>
      </c>
      <c r="L837" t="n">
        <v>335000</v>
      </c>
      <c r="M837" t="n">
        <v>7897.218293257897</v>
      </c>
      <c r="N837" t="n">
        <v>42.42</v>
      </c>
      <c r="O837" t="inlineStr">
        <is>
          <t>2+k</t>
        </is>
      </c>
      <c r="P837" t="n">
        <v>3</v>
      </c>
      <c r="Q837" t="inlineStr">
        <is>
          <t>Nie da się zamieszkać</t>
        </is>
      </c>
    </row>
    <row r="838">
      <c r="A838" t="n">
        <v>837</v>
      </c>
      <c r="B838" s="3" t="n">
        <v>45534</v>
      </c>
      <c r="D838" t="inlineStr">
        <is>
          <t>https://www.olx.pl/d/oferta/kawalerka-do-remontu-opcja-na-2-pokoje-CID3-ID11HIzL.html</t>
        </is>
      </c>
      <c r="E838">
        <f>HYPERLINK("https://www.olx.pl/d/oferta/kawalerka-do-remontu-opcja-na-2-pokoje-CID3-ID11HIzL.html", "https://www.olx.pl/d/oferta/kawalerka-do-remontu-opcja-na-2-pokoje-CID3-ID11HIzL.html")</f>
        <v/>
      </c>
      <c r="F838" t="inlineStr">
        <is>
          <t>broniewskiego</t>
        </is>
      </c>
      <c r="G838" t="inlineStr">
        <is>
          <t>Górna</t>
        </is>
      </c>
      <c r="H838" t="inlineStr">
        <is>
          <t>Górna</t>
        </is>
      </c>
      <c r="I838" t="inlineStr">
        <is>
          <t>NIE</t>
        </is>
      </c>
      <c r="J838" t="inlineStr">
        <is>
          <t>TAK</t>
        </is>
      </c>
      <c r="K838" t="n">
        <v>576317000</v>
      </c>
      <c r="L838" t="n">
        <v>235000</v>
      </c>
      <c r="M838" t="n">
        <v>7057.057057057058</v>
      </c>
      <c r="N838" t="n">
        <v>33.3</v>
      </c>
      <c r="O838" t="inlineStr">
        <is>
          <t>1+k</t>
        </is>
      </c>
      <c r="P838" t="n">
        <v>8</v>
      </c>
      <c r="Q838" t="inlineStr">
        <is>
          <t>Nie da się zamieszkać</t>
        </is>
      </c>
    </row>
    <row r="839">
      <c r="A839" t="n">
        <v>838</v>
      </c>
      <c r="B839" s="3" t="n">
        <v>45534</v>
      </c>
      <c r="D839" t="inlineStr">
        <is>
          <t>https://www.otodom.pl/pl/oferta/mieszkanie-z-potencjalem-do-remontu-44-73-2-ID4sfQA</t>
        </is>
      </c>
      <c r="E839">
        <f>HYPERLINK("https://www.otodom.pl/pl/oferta/mieszkanie-z-potencjalem-do-remontu-44-73-2-ID4sfQA", "https://www.otodom.pl/pl/oferta/mieszkanie-z-potencjalem-do-remontu-44-73-2-ID4sfQA")</f>
        <v/>
      </c>
      <c r="F839" t="inlineStr">
        <is>
          <t>franciszkańska</t>
        </is>
      </c>
      <c r="G839" t="inlineStr">
        <is>
          <t>Bałuty</t>
        </is>
      </c>
      <c r="H839" t="inlineStr">
        <is>
          <t>Bałuty blisko centrum</t>
        </is>
      </c>
      <c r="I839" t="inlineStr">
        <is>
          <t>NIE</t>
        </is>
      </c>
      <c r="J839" t="inlineStr">
        <is>
          <t>TAK</t>
        </is>
      </c>
      <c r="K839" t="n">
        <v>692196257</v>
      </c>
      <c r="L839" t="n">
        <v>315000</v>
      </c>
      <c r="M839" t="n">
        <v>7042.253521126761</v>
      </c>
      <c r="N839" t="n">
        <v>44.73</v>
      </c>
      <c r="O839" t="inlineStr">
        <is>
          <t>1+k</t>
        </is>
      </c>
      <c r="P839" t="n">
        <v>4</v>
      </c>
      <c r="Q839" t="inlineStr">
        <is>
          <t>Nie da się zamieszkać</t>
        </is>
      </c>
    </row>
    <row r="840">
      <c r="A840" t="n">
        <v>839</v>
      </c>
      <c r="B840" s="3" t="n">
        <v>45534</v>
      </c>
      <c r="C840" s="3" t="n">
        <v>45510</v>
      </c>
      <c r="D840" t="inlineStr">
        <is>
          <t>https://www.olx.pl/d/oferta/2-pokoje-z-duza-loggia-na-retkinii-CID3-ID11HXNf.html</t>
        </is>
      </c>
      <c r="E840">
        <f>HYPERLINK("https://www.olx.pl/d/oferta/2-pokoje-z-duza-loggia-na-retkinii-CID3-ID11HXNf.html", "https://www.olx.pl/d/oferta/2-pokoje-z-duza-loggia-na-retkinii-CID3-ID11HXNf.html")</f>
        <v/>
      </c>
      <c r="F840" t="inlineStr">
        <is>
          <t>batalionów chłopskich</t>
        </is>
      </c>
      <c r="G840" t="inlineStr">
        <is>
          <t>Retkinia</t>
        </is>
      </c>
      <c r="H840" t="inlineStr">
        <is>
          <t>Retkinia</t>
        </is>
      </c>
      <c r="I840" t="inlineStr">
        <is>
          <t>TAK</t>
        </is>
      </c>
      <c r="J840" t="inlineStr">
        <is>
          <t>NIE</t>
        </is>
      </c>
      <c r="K840" t="n">
        <v>606709946</v>
      </c>
      <c r="L840" t="n">
        <v>299000</v>
      </c>
      <c r="M840" t="n">
        <v>7058.545797922568</v>
      </c>
      <c r="N840" t="n">
        <v>42.36</v>
      </c>
      <c r="O840" t="inlineStr">
        <is>
          <t>2+k</t>
        </is>
      </c>
      <c r="P840" t="n">
        <v>4</v>
      </c>
      <c r="Q840" t="inlineStr">
        <is>
          <t>Nie da się zamieszkać</t>
        </is>
      </c>
    </row>
    <row r="841">
      <c r="A841" t="n">
        <v>840</v>
      </c>
      <c r="B841" s="3" t="n">
        <v>45534</v>
      </c>
      <c r="D841" t="inlineStr">
        <is>
          <t>https://www.olx.pl/d/oferta/mieszkanie-m3-julianow-CID3-ID11I4Tp.html?isPreviewActive=0&amp;sliderIndex=2</t>
        </is>
      </c>
      <c r="E841">
        <f>HYPERLINK("https://www.olx.pl/d/oferta/mieszkanie-m3-julianow-CID3-ID11I4Tp.html?isPreviewActive=0&amp;sliderIndex=2", "https://www.olx.pl/d/oferta/mieszkanie-m3-julianow-CID3-ID11I4Tp.html?isPreviewActive=0&amp;sliderIndex=2")</f>
        <v/>
      </c>
      <c r="F841" t="inlineStr">
        <is>
          <t>zgierska</t>
        </is>
      </c>
      <c r="G841" t="inlineStr">
        <is>
          <t>Bałuty</t>
        </is>
      </c>
      <c r="H841" t="inlineStr">
        <is>
          <t>Bałuty</t>
        </is>
      </c>
      <c r="I841" t="inlineStr">
        <is>
          <t>NIE</t>
        </is>
      </c>
      <c r="J841" t="inlineStr">
        <is>
          <t>TAK</t>
        </is>
      </c>
      <c r="K841" t="n">
        <v>601848426</v>
      </c>
      <c r="L841" t="n">
        <v>320000</v>
      </c>
      <c r="M841" t="n">
        <v>7441.860465116279</v>
      </c>
      <c r="N841" t="n">
        <v>43</v>
      </c>
      <c r="O841" t="inlineStr">
        <is>
          <t>2+k</t>
        </is>
      </c>
      <c r="P841" t="n">
        <v>3</v>
      </c>
      <c r="Q841" t="inlineStr">
        <is>
          <t>Nie da się zamieszkać</t>
        </is>
      </c>
    </row>
    <row r="842">
      <c r="A842" t="n">
        <v>841</v>
      </c>
      <c r="B842" s="3" t="n">
        <v>45534</v>
      </c>
      <c r="D842" t="inlineStr">
        <is>
          <t>https://www.otodom.pl/pl/oferta/m-3-38m2-teofilow-2pietro-bez-prowizji-ID4sg2T</t>
        </is>
      </c>
      <c r="E842">
        <f>HYPERLINK("https://www.otodom.pl/pl/oferta/m-3-38m2-teofilow-2pietro-bez-prowizji-ID4sg2T", "https://www.otodom.pl/pl/oferta/m-3-38m2-teofilow-2pietro-bez-prowizji-ID4sg2T")</f>
        <v/>
      </c>
      <c r="F842" t="inlineStr">
        <is>
          <t>traktorowa</t>
        </is>
      </c>
      <c r="G842" t="inlineStr">
        <is>
          <t>Teofilów</t>
        </is>
      </c>
      <c r="H842" t="inlineStr">
        <is>
          <t>Teofilów</t>
        </is>
      </c>
      <c r="I842" t="inlineStr">
        <is>
          <t>NIE</t>
        </is>
      </c>
      <c r="J842" t="inlineStr">
        <is>
          <t>TAK</t>
        </is>
      </c>
      <c r="K842" t="n">
        <v>668699393</v>
      </c>
      <c r="L842" t="n">
        <v>259000</v>
      </c>
      <c r="M842" t="n">
        <v>6815.789473684211</v>
      </c>
      <c r="N842" t="n">
        <v>38</v>
      </c>
      <c r="O842" t="inlineStr">
        <is>
          <t>2+k</t>
        </is>
      </c>
      <c r="P842" t="n">
        <v>2</v>
      </c>
      <c r="Q842" t="inlineStr">
        <is>
          <t>Nie da się zamieszkać</t>
        </is>
      </c>
    </row>
    <row r="843">
      <c r="A843" t="n">
        <v>842</v>
      </c>
      <c r="B843" s="3" t="n">
        <v>45535</v>
      </c>
      <c r="D843" t="inlineStr">
        <is>
          <t>https://www.otodom.pl/pl/oferta/rozkladowe-3-pokoje-obok-manufaktury-ID4sgaK</t>
        </is>
      </c>
      <c r="E843">
        <f>HYPERLINK("https://www.otodom.pl/pl/oferta/rozkladowe-3-pokoje-obok-manufaktury-ID4sgaK", "https://www.otodom.pl/pl/oferta/rozkladowe-3-pokoje-obok-manufaktury-ID4sgaK")</f>
        <v/>
      </c>
      <c r="F843" t="inlineStr">
        <is>
          <t xml:space="preserve">żubardź </t>
        </is>
      </c>
      <c r="G843" t="inlineStr">
        <is>
          <t>Polesie</t>
        </is>
      </c>
      <c r="H843" t="inlineStr">
        <is>
          <t>Polesie</t>
        </is>
      </c>
      <c r="I843" t="inlineStr">
        <is>
          <t>NIE</t>
        </is>
      </c>
      <c r="J843" t="inlineStr">
        <is>
          <t>TAK</t>
        </is>
      </c>
      <c r="K843" t="n">
        <v>572900118</v>
      </c>
      <c r="L843" t="n">
        <v>359000</v>
      </c>
      <c r="M843" t="n">
        <v>6648.148148148148</v>
      </c>
      <c r="N843" t="n">
        <v>54</v>
      </c>
      <c r="O843" t="inlineStr">
        <is>
          <t>3+k</t>
        </is>
      </c>
      <c r="P843" t="n">
        <v>4</v>
      </c>
      <c r="Q843" t="inlineStr">
        <is>
          <t>Nie da się zamieszkać</t>
        </is>
      </c>
    </row>
    <row r="844">
      <c r="A844" t="n">
        <v>843</v>
      </c>
      <c r="B844" s="3" t="n">
        <v>45535</v>
      </c>
      <c r="D844" t="inlineStr">
        <is>
          <t>https://gratka.pl/nieruchomosci/mieszkanie-lodz-baluty-ul-lutomierska/ob/36767275</t>
        </is>
      </c>
      <c r="E844">
        <f>HYPERLINK("https://gratka.pl/nieruchomosci/mieszkanie-lodz-baluty-ul-lutomierska/ob/36767275", "https://gratka.pl/nieruchomosci/mieszkanie-lodz-baluty-ul-lutomierska/ob/36767275")</f>
        <v/>
      </c>
      <c r="F844" t="inlineStr">
        <is>
          <t>lutomierska</t>
        </is>
      </c>
      <c r="G844" t="inlineStr">
        <is>
          <t>Bałuty</t>
        </is>
      </c>
      <c r="H844" t="inlineStr">
        <is>
          <t>Bałuty blisko centrum</t>
        </is>
      </c>
      <c r="I844" t="inlineStr">
        <is>
          <t>NIE</t>
        </is>
      </c>
      <c r="J844" t="inlineStr">
        <is>
          <t>TAK</t>
        </is>
      </c>
      <c r="K844" t="n">
        <v>530195255</v>
      </c>
      <c r="L844" t="n">
        <v>349000</v>
      </c>
      <c r="M844" t="n">
        <v>6384.924990852543</v>
      </c>
      <c r="N844" t="n">
        <v>54.66</v>
      </c>
      <c r="O844" t="inlineStr">
        <is>
          <t>3+k</t>
        </is>
      </c>
      <c r="P844" t="inlineStr">
        <is>
          <t>4!</t>
        </is>
      </c>
      <c r="Q844" t="inlineStr">
        <is>
          <t>Nie da się zamieszkać</t>
        </is>
      </c>
      <c r="R844" t="inlineStr">
        <is>
          <t>03.09 nie odpowiada</t>
        </is>
      </c>
    </row>
    <row r="845">
      <c r="A845" t="n">
        <v>844</v>
      </c>
      <c r="B845" s="3" t="n">
        <v>45535</v>
      </c>
      <c r="D845" t="inlineStr">
        <is>
          <t>https://www.otodom.pl/pl/oferta/m3-51-m2-kurczaki-ogniskowa-ID4sgsg</t>
        </is>
      </c>
      <c r="E845">
        <f>HYPERLINK("https://www.otodom.pl/pl/oferta/m3-51-m2-kurczaki-ogniskowa-ID4sgsg", "https://www.otodom.pl/pl/oferta/m3-51-m2-kurczaki-ogniskowa-ID4sgsg")</f>
        <v/>
      </c>
      <c r="F845" t="inlineStr">
        <is>
          <t>ognistkowa</t>
        </is>
      </c>
      <c r="G845" t="inlineStr">
        <is>
          <t>Górna</t>
        </is>
      </c>
      <c r="H845" t="inlineStr">
        <is>
          <t>Daleka górna</t>
        </is>
      </c>
      <c r="I845" t="inlineStr">
        <is>
          <t>NIE</t>
        </is>
      </c>
      <c r="J845" t="inlineStr">
        <is>
          <t>NIE</t>
        </is>
      </c>
      <c r="K845" t="n">
        <v>792679070</v>
      </c>
      <c r="L845" t="n">
        <v>410000</v>
      </c>
      <c r="M845" t="n">
        <v>8039.21568627451</v>
      </c>
      <c r="N845" t="n">
        <v>51</v>
      </c>
      <c r="O845" t="inlineStr">
        <is>
          <t>2+k</t>
        </is>
      </c>
      <c r="P845" t="n">
        <v>4</v>
      </c>
      <c r="Q845" t="inlineStr">
        <is>
          <t>Nie da się zamieszkać</t>
        </is>
      </c>
    </row>
    <row r="846">
      <c r="A846" t="n">
        <v>845</v>
      </c>
      <c r="B846" s="3" t="n">
        <v>45535</v>
      </c>
      <c r="D846" t="inlineStr">
        <is>
          <t>https://www.morizon.pl/oferta/sprzedaz-mieszkanie-lodz-polesie-gen-lucjana-zeligowskiego-54m2-mzn2044383086</t>
        </is>
      </c>
      <c r="E846">
        <f>HYPERLINK("https://www.morizon.pl/oferta/sprzedaz-mieszkanie-lodz-polesie-gen-lucjana-zeligowskiego-54m2-mzn2044383086", "https://www.morizon.pl/oferta/sprzedaz-mieszkanie-lodz-polesie-gen-lucjana-zeligowskiego-54m2-mzn2044383086")</f>
        <v/>
      </c>
      <c r="F846" t="inlineStr">
        <is>
          <t>żeligowskiego</t>
        </is>
      </c>
      <c r="G846" t="inlineStr">
        <is>
          <t>Polesie</t>
        </is>
      </c>
      <c r="H846" t="inlineStr">
        <is>
          <t>Polesie</t>
        </is>
      </c>
      <c r="I846" t="inlineStr">
        <is>
          <t>NIE</t>
        </is>
      </c>
      <c r="J846" t="inlineStr">
        <is>
          <t>NIE</t>
        </is>
      </c>
      <c r="K846" t="n">
        <v>796512366</v>
      </c>
      <c r="L846" t="n">
        <v>418000</v>
      </c>
      <c r="M846" t="n">
        <v>7697.974217311234</v>
      </c>
      <c r="N846" t="n">
        <v>54.3</v>
      </c>
      <c r="O846" t="inlineStr">
        <is>
          <t>3+k</t>
        </is>
      </c>
      <c r="P846" t="n">
        <v>4</v>
      </c>
      <c r="Q846" t="inlineStr">
        <is>
          <t>Nie da się zamieszkać</t>
        </is>
      </c>
    </row>
    <row r="847">
      <c r="A847" t="n">
        <v>846</v>
      </c>
      <c r="B847" s="3" t="n">
        <v>45535</v>
      </c>
      <c r="D847" t="inlineStr">
        <is>
          <t>https://www.otodom.pl/pl/oferta/mieszkanie-57-m2-trzy-pokojowe-ID4sgDC.html</t>
        </is>
      </c>
      <c r="E847">
        <f>HYPERLINK("https://www.otodom.pl/pl/oferta/mieszkanie-57-m2-trzy-pokojowe-ID4sgDC.html", "https://www.otodom.pl/pl/oferta/mieszkanie-57-m2-trzy-pokojowe-ID4sgDC.html")</f>
        <v/>
      </c>
      <c r="F847" t="inlineStr">
        <is>
          <t>doły</t>
        </is>
      </c>
      <c r="G847" t="inlineStr">
        <is>
          <t>Widzew</t>
        </is>
      </c>
      <c r="H847" t="inlineStr">
        <is>
          <t>Widzew blisko centrum</t>
        </is>
      </c>
      <c r="I847" t="inlineStr">
        <is>
          <t>NIE</t>
        </is>
      </c>
      <c r="J847" t="inlineStr">
        <is>
          <t>NIE</t>
        </is>
      </c>
      <c r="K847" t="n">
        <v>793515242</v>
      </c>
      <c r="L847" t="n">
        <v>420000</v>
      </c>
      <c r="M847" t="n">
        <v>7368.421052631579</v>
      </c>
      <c r="N847" t="n">
        <v>57</v>
      </c>
      <c r="O847" t="inlineStr">
        <is>
          <t>3+k</t>
        </is>
      </c>
      <c r="P847" t="n">
        <v>3</v>
      </c>
      <c r="Q847" t="inlineStr">
        <is>
          <t>Puste</t>
        </is>
      </c>
    </row>
    <row r="848">
      <c r="A848" t="n">
        <v>847</v>
      </c>
      <c r="B848" s="3" t="n">
        <v>45535</v>
      </c>
      <c r="D848" t="inlineStr">
        <is>
          <t>https://www.otodom.pl/pl/oferta/2-pokoje-42-42-m2-retkinia-1-pietro-ID4sgKN.html</t>
        </is>
      </c>
      <c r="E848">
        <f>HYPERLINK("https://www.otodom.pl/pl/oferta/2-pokoje-42-42-m2-retkinia-1-pietro-ID4sgKN.html", "https://www.otodom.pl/pl/oferta/2-pokoje-42-42-m2-retkinia-1-pietro-ID4sgKN.html")</f>
        <v/>
      </c>
      <c r="F848" t="inlineStr">
        <is>
          <t>popiełuszki</t>
        </is>
      </c>
      <c r="G848" t="inlineStr">
        <is>
          <t>Retkinia</t>
        </is>
      </c>
      <c r="H848" t="inlineStr">
        <is>
          <t>Retkinia</t>
        </is>
      </c>
      <c r="I848" t="inlineStr">
        <is>
          <t>NIE</t>
        </is>
      </c>
      <c r="J848" t="inlineStr">
        <is>
          <t>NIE</t>
        </is>
      </c>
      <c r="K848" t="n">
        <v>691530870</v>
      </c>
      <c r="L848" t="n">
        <v>317500</v>
      </c>
      <c r="M848" t="n">
        <v>7484.677039132484</v>
      </c>
      <c r="N848" t="n">
        <v>42.42</v>
      </c>
      <c r="O848" t="inlineStr">
        <is>
          <t>2+k</t>
        </is>
      </c>
      <c r="P848" t="n">
        <v>1</v>
      </c>
      <c r="Q848" t="inlineStr">
        <is>
          <t>Nie da się zamieszkać</t>
        </is>
      </c>
    </row>
    <row r="849">
      <c r="A849" t="n">
        <v>848</v>
      </c>
      <c r="B849" s="3" t="n">
        <v>45536</v>
      </c>
      <c r="D849" t="inlineStr">
        <is>
          <t>https://szybko.pl/o/na-sprzedaz/lokal-mieszkalny/Łódź+Widzew/oferta-15463168</t>
        </is>
      </c>
      <c r="E849">
        <f>HYPERLINK("https://szybko.pl/o/na-sprzedaz/lokal-mieszkalny/Łódź+Widzew/oferta-15463168", "https://szybko.pl/o/na-sprzedaz/lokal-mieszkalny/Łódź+Widzew/oferta-15463168")</f>
        <v/>
      </c>
      <c r="F849" t="inlineStr">
        <is>
          <t>grota rowieckiego</t>
        </is>
      </c>
      <c r="G849" t="inlineStr">
        <is>
          <t>Widzew</t>
        </is>
      </c>
      <c r="H849" t="inlineStr">
        <is>
          <t>Widzew blisko centrum</t>
        </is>
      </c>
      <c r="I849" t="inlineStr">
        <is>
          <t>NIE</t>
        </is>
      </c>
      <c r="J849" t="inlineStr">
        <is>
          <t>TAK</t>
        </is>
      </c>
      <c r="K849" t="n">
        <v>535674567</v>
      </c>
      <c r="L849" t="n">
        <v>288000</v>
      </c>
      <c r="M849" t="n">
        <v>7651.434643995749</v>
      </c>
      <c r="N849" t="n">
        <v>37.64</v>
      </c>
      <c r="O849" t="inlineStr">
        <is>
          <t>2+k</t>
        </is>
      </c>
      <c r="Q849" t="inlineStr">
        <is>
          <t>Puste</t>
        </is>
      </c>
    </row>
    <row r="850">
      <c r="A850" t="n">
        <v>849</v>
      </c>
      <c r="B850" s="3" t="n">
        <v>45536</v>
      </c>
      <c r="D850" t="inlineStr">
        <is>
          <t>https://www.olx.pl/d/oferta/sprzedam-mieszkanie-CID3-ID11JsCR.html</t>
        </is>
      </c>
      <c r="E850">
        <f>HYPERLINK("https://www.olx.pl/d/oferta/sprzedam-mieszkanie-CID3-ID11JsCR.html", "https://www.olx.pl/d/oferta/sprzedam-mieszkanie-CID3-ID11JsCR.html")</f>
        <v/>
      </c>
      <c r="F850" t="inlineStr">
        <is>
          <t>łokietka</t>
        </is>
      </c>
      <c r="G850" t="inlineStr">
        <is>
          <t>Górna</t>
        </is>
      </c>
      <c r="H850" t="inlineStr">
        <is>
          <t>Daleka górna</t>
        </is>
      </c>
      <c r="I850" t="inlineStr">
        <is>
          <t>NIE</t>
        </is>
      </c>
      <c r="J850" t="inlineStr">
        <is>
          <t>TAK</t>
        </is>
      </c>
      <c r="K850" t="n">
        <v>606114082</v>
      </c>
      <c r="L850" t="n">
        <v>369000</v>
      </c>
      <c r="M850" t="n">
        <v>7369.682444577591</v>
      </c>
      <c r="N850" t="n">
        <v>50.07</v>
      </c>
      <c r="O850" t="inlineStr">
        <is>
          <t>2+k</t>
        </is>
      </c>
      <c r="P850" t="n">
        <v>6</v>
      </c>
      <c r="Q850" t="inlineStr">
        <is>
          <t>Nie da się zamieszkać</t>
        </is>
      </c>
    </row>
    <row r="851">
      <c r="A851" t="n">
        <v>850</v>
      </c>
      <c r="B851" s="3" t="n">
        <v>45536</v>
      </c>
      <c r="D851" t="inlineStr">
        <is>
          <t>https://www.olx.pl/d/oferta/m3-dabrowa-inwestycja-pod-wynajem-CID3-ID11JCLL.html</t>
        </is>
      </c>
      <c r="E851">
        <f>HYPERLINK("https://www.olx.pl/d/oferta/m3-dabrowa-inwestycja-pod-wynajem-CID3-ID11JCLL.html", "https://www.olx.pl/d/oferta/m3-dabrowa-inwestycja-pod-wynajem-CID3-ID11JCLL.html")</f>
        <v/>
      </c>
      <c r="F851" t="inlineStr">
        <is>
          <t>.</t>
        </is>
      </c>
      <c r="G851" t="inlineStr">
        <is>
          <t>Dąbrowa</t>
        </is>
      </c>
      <c r="H851" t="inlineStr">
        <is>
          <t>Dąbrowa</t>
        </is>
      </c>
      <c r="I851" t="inlineStr">
        <is>
          <t>NIE</t>
        </is>
      </c>
      <c r="J851" t="inlineStr">
        <is>
          <t>NIE</t>
        </is>
      </c>
      <c r="K851" t="n">
        <v>501828433</v>
      </c>
      <c r="L851" t="n">
        <v>285000</v>
      </c>
      <c r="M851" t="n">
        <v>7916.666666666667</v>
      </c>
      <c r="N851" t="n">
        <v>36</v>
      </c>
      <c r="O851" t="inlineStr">
        <is>
          <t>2+k</t>
        </is>
      </c>
      <c r="P851" t="n">
        <v>9</v>
      </c>
      <c r="Q851" t="inlineStr">
        <is>
          <t>Nie da się zamieszkać</t>
        </is>
      </c>
    </row>
    <row r="852">
      <c r="A852" t="n">
        <v>851</v>
      </c>
      <c r="B852" s="3" t="n">
        <v>45536</v>
      </c>
      <c r="D852" t="inlineStr">
        <is>
          <t>https://www.otodom.pl/pl/oferta/mieszkanie-pelen-rozklad-2-pokoje-duzy-potencjal-ID4sgU4.html</t>
        </is>
      </c>
      <c r="E852">
        <f>HYPERLINK("https://www.otodom.pl/pl/oferta/mieszkanie-pelen-rozklad-2-pokoje-duzy-potencjal-ID4sgU4.html", "https://www.otodom.pl/pl/oferta/mieszkanie-pelen-rozklad-2-pokoje-duzy-potencjal-ID4sgU4.html")</f>
        <v/>
      </c>
      <c r="F852" t="inlineStr">
        <is>
          <t>.</t>
        </is>
      </c>
      <c r="G852" t="inlineStr">
        <is>
          <t>Dąbrowa</t>
        </is>
      </c>
      <c r="H852" t="inlineStr">
        <is>
          <t>Dąbrowa</t>
        </is>
      </c>
      <c r="I852" t="inlineStr">
        <is>
          <t>NIE</t>
        </is>
      </c>
      <c r="J852" t="inlineStr">
        <is>
          <t>TAK</t>
        </is>
      </c>
      <c r="K852" t="n">
        <v>500268144</v>
      </c>
      <c r="L852" t="n">
        <v>285000</v>
      </c>
      <c r="M852" t="n">
        <v>7125</v>
      </c>
      <c r="N852" t="n">
        <v>40</v>
      </c>
      <c r="O852" t="inlineStr">
        <is>
          <t>2+k</t>
        </is>
      </c>
      <c r="P852" t="n">
        <v>3</v>
      </c>
      <c r="Q852" t="inlineStr">
        <is>
          <t>Nie da się zamieszkać</t>
        </is>
      </c>
    </row>
    <row r="853">
      <c r="A853" t="n">
        <v>852</v>
      </c>
      <c r="B853" s="3" t="n">
        <v>45536</v>
      </c>
      <c r="C853" s="3" t="n">
        <v>45548</v>
      </c>
      <c r="D853" t="inlineStr">
        <is>
          <t>https://www.olx.pl/d/oferta/sprzedam-dwupokojowe-mieszkanie-m3-2-pietro-lodz-teofilow-CID3-ID118TXQ.html?isPreviewActive=0&amp;sliderIndex=0</t>
        </is>
      </c>
      <c r="E853">
        <f>HYPERLINK("https://www.olx.pl/d/oferta/sprzedam-dwupokojowe-mieszkanie-m3-2-pietro-lodz-teofilow-CID3-ID118TXQ.html?isPreviewActive=0&amp;sliderIndex=0", "https://www.olx.pl/d/oferta/sprzedam-dwupokojowe-mieszkanie-m3-2-pietro-lodz-teofilow-CID3-ID118TXQ.html?isPreviewActive=0&amp;sliderIndex=0")</f>
        <v/>
      </c>
      <c r="F853" t="inlineStr">
        <is>
          <t>.</t>
        </is>
      </c>
      <c r="G853" t="inlineStr">
        <is>
          <t>Teofilów</t>
        </is>
      </c>
      <c r="H853" t="inlineStr">
        <is>
          <t>Teofilów</t>
        </is>
      </c>
      <c r="I853" t="inlineStr">
        <is>
          <t>TAK</t>
        </is>
      </c>
      <c r="J853" t="inlineStr">
        <is>
          <t>NIE</t>
        </is>
      </c>
      <c r="K853" t="n">
        <v>601269043</v>
      </c>
      <c r="L853" t="n">
        <v>263000</v>
      </c>
      <c r="M853" t="n">
        <v>7305.555555555556</v>
      </c>
      <c r="N853" t="n">
        <v>36</v>
      </c>
      <c r="O853" t="inlineStr">
        <is>
          <t>2+k</t>
        </is>
      </c>
      <c r="P853" t="n">
        <v>2</v>
      </c>
      <c r="Q853" t="inlineStr">
        <is>
          <t>Nie da się zamieszkać</t>
        </is>
      </c>
      <c r="R853" t="inlineStr">
        <is>
          <t>chyba to jest rojna, i numer do własciciela</t>
        </is>
      </c>
      <c r="T853" t="inlineStr">
        <is>
          <t>76, 359, 817</t>
        </is>
      </c>
    </row>
    <row r="854">
      <c r="A854" t="n">
        <v>853</v>
      </c>
      <c r="B854" s="3" t="n">
        <v>45536</v>
      </c>
      <c r="D854" t="inlineStr">
        <is>
          <t>https://www.olx.pl/d/oferta/na-sprzedaz-mieszkanie-51-m2-2-pokoje-lodz-chojny-ul-strycharska-CID3-ID11K0Qa.html</t>
        </is>
      </c>
      <c r="E854">
        <f>HYPERLINK("https://www.olx.pl/d/oferta/na-sprzedaz-mieszkanie-51-m2-2-pokoje-lodz-chojny-ul-strycharska-CID3-ID11K0Qa.html", "https://www.olx.pl/d/oferta/na-sprzedaz-mieszkanie-51-m2-2-pokoje-lodz-chojny-ul-strycharska-CID3-ID11K0Qa.html")</f>
        <v/>
      </c>
      <c r="F854" t="inlineStr">
        <is>
          <t>strycharska</t>
        </is>
      </c>
      <c r="G854" t="inlineStr">
        <is>
          <t>Górna</t>
        </is>
      </c>
      <c r="H854" t="inlineStr">
        <is>
          <t>Górna</t>
        </is>
      </c>
      <c r="I854" t="inlineStr">
        <is>
          <t>NIE</t>
        </is>
      </c>
      <c r="J854" t="inlineStr">
        <is>
          <t>NIE</t>
        </is>
      </c>
      <c r="K854" t="n">
        <v>501331141</v>
      </c>
      <c r="L854" t="n">
        <v>400000</v>
      </c>
      <c r="M854" t="n">
        <v>7821.666014861165</v>
      </c>
      <c r="N854" t="n">
        <v>51.14</v>
      </c>
      <c r="O854" t="inlineStr">
        <is>
          <t>2+k</t>
        </is>
      </c>
      <c r="P854" t="n">
        <v>2</v>
      </c>
      <c r="Q854" t="inlineStr">
        <is>
          <t>Nie da się zamieszkać</t>
        </is>
      </c>
    </row>
    <row r="855">
      <c r="A855" t="n">
        <v>854</v>
      </c>
      <c r="B855" s="3" t="n">
        <v>45537</v>
      </c>
      <c r="D855" t="inlineStr">
        <is>
          <t>https://www.olx.pl/d/oferta/sprzedam-mieszkanie-CID3-ID11Kk1p.html</t>
        </is>
      </c>
      <c r="E855">
        <f>HYPERLINK("https://www.olx.pl/d/oferta/sprzedam-mieszkanie-CID3-ID11Kk1p.html", "https://www.olx.pl/d/oferta/sprzedam-mieszkanie-CID3-ID11Kk1p.html")</f>
        <v/>
      </c>
      <c r="F855" t="inlineStr">
        <is>
          <t>wygodna</t>
        </is>
      </c>
      <c r="G855" t="inlineStr">
        <is>
          <t>Retkinia</t>
        </is>
      </c>
      <c r="H855" t="inlineStr">
        <is>
          <t>Retkinia</t>
        </is>
      </c>
      <c r="I855" t="inlineStr">
        <is>
          <t>NIE</t>
        </is>
      </c>
      <c r="J855" t="inlineStr">
        <is>
          <t>TAK</t>
        </is>
      </c>
      <c r="K855" t="n">
        <v>504124676</v>
      </c>
      <c r="L855" t="n">
        <v>324000</v>
      </c>
      <c r="M855" t="n">
        <v>6750</v>
      </c>
      <c r="N855" t="n">
        <v>48</v>
      </c>
      <c r="O855" t="inlineStr">
        <is>
          <t>2+k</t>
        </is>
      </c>
      <c r="P855" t="n">
        <v>2</v>
      </c>
      <c r="Q855" t="inlineStr">
        <is>
          <t>Da się zamieszkać</t>
        </is>
      </c>
    </row>
    <row r="856">
      <c r="A856" t="n">
        <v>855</v>
      </c>
      <c r="B856" s="3" t="n">
        <v>45537</v>
      </c>
      <c r="D856" t="inlineStr">
        <is>
          <t>https://www.otodom.pl/pl/oferta/3-pokoje-z-loggia-ul-piotrkowska-182-ID4sirg</t>
        </is>
      </c>
      <c r="E856">
        <f>HYPERLINK("https://www.otodom.pl/pl/oferta/3-pokoje-z-loggia-ul-piotrkowska-182-ID4sirg", "https://www.otodom.pl/pl/oferta/3-pokoje-z-loggia-ul-piotrkowska-182-ID4sirg")</f>
        <v/>
      </c>
      <c r="F856" t="inlineStr">
        <is>
          <t>piotrkowska</t>
        </is>
      </c>
      <c r="G856" t="inlineStr">
        <is>
          <t>Śródmieście</t>
        </is>
      </c>
      <c r="H856" t="inlineStr">
        <is>
          <t>Śródmieście</t>
        </is>
      </c>
      <c r="I856" t="inlineStr">
        <is>
          <t>NIE</t>
        </is>
      </c>
      <c r="J856" t="inlineStr">
        <is>
          <t>TAK</t>
        </is>
      </c>
      <c r="K856" t="n">
        <v>888990888</v>
      </c>
      <c r="L856" t="n">
        <v>415000</v>
      </c>
      <c r="M856" t="n">
        <v>7057.823129251701</v>
      </c>
      <c r="N856" t="n">
        <v>58.8</v>
      </c>
      <c r="O856" t="inlineStr">
        <is>
          <t>3+k</t>
        </is>
      </c>
      <c r="P856" t="n">
        <v>5</v>
      </c>
      <c r="Q856" t="inlineStr">
        <is>
          <t>Nie da się zamieszkać</t>
        </is>
      </c>
    </row>
    <row r="857">
      <c r="A857" t="n">
        <v>856</v>
      </c>
      <c r="B857" s="3" t="n">
        <v>45538</v>
      </c>
      <c r="D857" t="inlineStr">
        <is>
          <t>https://www.otodom.pl/pl/oferta/loggia-5m2-rozkladowe-2pokojedwustronne-ID4rNbN.html</t>
        </is>
      </c>
      <c r="E857">
        <f>HYPERLINK("https://www.otodom.pl/pl/oferta/loggia-5m2-rozkladowe-2pokojedwustronne-ID4rNbN.html", "https://www.otodom.pl/pl/oferta/loggia-5m2-rozkladowe-2pokojedwustronne-ID4rNbN.html")</f>
        <v/>
      </c>
      <c r="F857" t="inlineStr">
        <is>
          <t>łęczycka</t>
        </is>
      </c>
      <c r="G857" t="inlineStr">
        <is>
          <t>Górna</t>
        </is>
      </c>
      <c r="H857" t="inlineStr">
        <is>
          <t>Górna</t>
        </is>
      </c>
      <c r="I857" t="inlineStr">
        <is>
          <t>NIE</t>
        </is>
      </c>
      <c r="J857" t="inlineStr">
        <is>
          <t>TAK</t>
        </is>
      </c>
      <c r="K857" t="n">
        <v>530195255</v>
      </c>
      <c r="L857" t="n">
        <v>319000</v>
      </c>
      <c r="M857" t="n">
        <v>6787.234042553191</v>
      </c>
      <c r="N857" t="n">
        <v>47</v>
      </c>
      <c r="O857" t="inlineStr">
        <is>
          <t>2+k</t>
        </is>
      </c>
      <c r="P857" t="n">
        <v>3</v>
      </c>
      <c r="Q857" t="inlineStr">
        <is>
          <t>Nie da się zamieszkać</t>
        </is>
      </c>
    </row>
    <row r="858">
      <c r="A858" t="n">
        <v>857</v>
      </c>
      <c r="B858" s="3" t="n">
        <v>45538</v>
      </c>
      <c r="D858" t="inlineStr">
        <is>
          <t>https://gratka.pl/nieruchomosci/mieszkanie-lodz-baluty-ul-franciszkanska-57/ob/36837851</t>
        </is>
      </c>
      <c r="E858">
        <f>HYPERLINK("https://gratka.pl/nieruchomosci/mieszkanie-lodz-baluty-ul-franciszkanska-57/ob/36837851", "https://gratka.pl/nieruchomosci/mieszkanie-lodz-baluty-ul-franciszkanska-57/ob/36837851")</f>
        <v/>
      </c>
      <c r="F858" t="inlineStr">
        <is>
          <t>franciszkańska</t>
        </is>
      </c>
      <c r="G858" t="inlineStr">
        <is>
          <t>Bałuty</t>
        </is>
      </c>
      <c r="H858" t="inlineStr">
        <is>
          <t>Bałuty blisko centrum</t>
        </is>
      </c>
      <c r="I858" t="inlineStr">
        <is>
          <t>NIE</t>
        </is>
      </c>
      <c r="J858" t="inlineStr">
        <is>
          <t>TAK</t>
        </is>
      </c>
      <c r="K858" t="n">
        <v>787458640</v>
      </c>
      <c r="L858" t="n">
        <v>315000</v>
      </c>
      <c r="M858" t="n">
        <v>7042.253521126761</v>
      </c>
      <c r="N858" t="n">
        <v>44.73</v>
      </c>
      <c r="O858" t="inlineStr">
        <is>
          <t>2+k</t>
        </is>
      </c>
      <c r="P858" t="n">
        <v>1</v>
      </c>
      <c r="Q858" t="inlineStr">
        <is>
          <t>Nie da się zamieszkać</t>
        </is>
      </c>
    </row>
    <row r="859">
      <c r="A859" t="n">
        <v>858</v>
      </c>
      <c r="B859" s="3" t="n">
        <v>45538</v>
      </c>
      <c r="D859" t="inlineStr">
        <is>
          <t>https://lodz.nieruchomosci-online.pl/mieszkanie,m2,z-oddzielna-kuchnia/25077671.html</t>
        </is>
      </c>
      <c r="E859">
        <f>HYPERLINK("https://lodz.nieruchomosci-online.pl/mieszkanie,m2,z-oddzielna-kuchnia/25077671.html", "https://lodz.nieruchomosci-online.pl/mieszkanie,m2,z-oddzielna-kuchnia/25077671.html")</f>
        <v/>
      </c>
      <c r="F859" t="inlineStr">
        <is>
          <t>obywatelska</t>
        </is>
      </c>
      <c r="G859" t="inlineStr">
        <is>
          <t>Górna</t>
        </is>
      </c>
      <c r="H859" t="inlineStr">
        <is>
          <t>Górna</t>
        </is>
      </c>
      <c r="I859" t="inlineStr">
        <is>
          <t>NIE</t>
        </is>
      </c>
      <c r="J859" t="inlineStr">
        <is>
          <t>TAK</t>
        </is>
      </c>
      <c r="K859" t="n">
        <v>665505113</v>
      </c>
      <c r="L859" t="n">
        <v>330000</v>
      </c>
      <c r="M859" t="n">
        <v>6707.317073170731</v>
      </c>
      <c r="N859" t="n">
        <v>49.2</v>
      </c>
      <c r="O859" t="inlineStr">
        <is>
          <t>2+k</t>
        </is>
      </c>
      <c r="P859" t="n">
        <v>0</v>
      </c>
      <c r="Q859" t="inlineStr">
        <is>
          <t>Nie da się zamieszkać</t>
        </is>
      </c>
    </row>
    <row r="860">
      <c r="A860" t="n">
        <v>859</v>
      </c>
      <c r="B860" s="3" t="n">
        <v>45538</v>
      </c>
      <c r="D860" t="inlineStr">
        <is>
          <t>https://www.otodom.pl/pl/oferta/przestronne-mieszkanie-idealne-dla-rodziny-baluty-ID4sj3n</t>
        </is>
      </c>
      <c r="E860">
        <f>HYPERLINK("https://www.otodom.pl/pl/oferta/przestronne-mieszkanie-idealne-dla-rodziny-baluty-ID4sj3n", "https://www.otodom.pl/pl/oferta/przestronne-mieszkanie-idealne-dla-rodziny-baluty-ID4sj3n")</f>
        <v/>
      </c>
      <c r="F860" t="inlineStr">
        <is>
          <t>urzędnicza</t>
        </is>
      </c>
      <c r="G860" t="inlineStr">
        <is>
          <t>Bałuty</t>
        </is>
      </c>
      <c r="H860" t="inlineStr">
        <is>
          <t>Bałuty</t>
        </is>
      </c>
      <c r="I860" t="inlineStr">
        <is>
          <t>NIE</t>
        </is>
      </c>
      <c r="J860" t="inlineStr">
        <is>
          <t>TAK</t>
        </is>
      </c>
      <c r="K860" t="n">
        <v>501789222</v>
      </c>
      <c r="L860" t="n">
        <v>400000</v>
      </c>
      <c r="M860" t="n">
        <v>7194.244604316546</v>
      </c>
      <c r="N860" t="n">
        <v>55.6</v>
      </c>
      <c r="O860" t="inlineStr">
        <is>
          <t>3+k</t>
        </is>
      </c>
      <c r="P860" t="n">
        <v>7</v>
      </c>
      <c r="Q860" t="inlineStr">
        <is>
          <t>Nie da się zamieszkać</t>
        </is>
      </c>
    </row>
    <row r="861">
      <c r="A861" t="n">
        <v>860</v>
      </c>
      <c r="B861" s="3" t="n">
        <v>45538</v>
      </c>
      <c r="D861" t="inlineStr">
        <is>
          <t>https://gratka.pl/nieruchomosci/mieszkanie-lodz-chojny/ob/36839703#gallery</t>
        </is>
      </c>
      <c r="E861">
        <f>HYPERLINK("https://gratka.pl/nieruchomosci/mieszkanie-lodz-chojny/ob/36839703#gallery", "https://gratka.pl/nieruchomosci/mieszkanie-lodz-chojny/ob/36839703#gallery")</f>
        <v/>
      </c>
      <c r="F861" t="inlineStr">
        <is>
          <t>chojny</t>
        </is>
      </c>
      <c r="G861" t="inlineStr">
        <is>
          <t>Górna</t>
        </is>
      </c>
      <c r="H861" t="inlineStr">
        <is>
          <t>Daleka górna</t>
        </is>
      </c>
      <c r="I861" t="inlineStr">
        <is>
          <t>NIE</t>
        </is>
      </c>
      <c r="J861" t="inlineStr">
        <is>
          <t>TAK</t>
        </is>
      </c>
      <c r="K861" t="n">
        <v>602721434</v>
      </c>
      <c r="L861" t="n">
        <v>373000</v>
      </c>
      <c r="M861" t="n">
        <v>7460</v>
      </c>
      <c r="N861" t="n">
        <v>50</v>
      </c>
      <c r="O861" t="inlineStr">
        <is>
          <t>2+k</t>
        </is>
      </c>
      <c r="P861" t="inlineStr">
        <is>
          <t>4!</t>
        </is>
      </c>
      <c r="Q861" t="inlineStr">
        <is>
          <t>Nie da się zamieszkać</t>
        </is>
      </c>
    </row>
    <row r="862">
      <c r="A862" t="n">
        <v>861</v>
      </c>
      <c r="B862" s="3" t="n">
        <v>45538</v>
      </c>
      <c r="D862" t="inlineStr">
        <is>
          <t>https://www.otodom.pl/pl/oferta/mieszkanie-1-pietro-teofilow-44-96m2-bezposrednio-ID4sjea</t>
        </is>
      </c>
      <c r="E862">
        <f>HYPERLINK("https://www.otodom.pl/pl/oferta/mieszkanie-1-pietro-teofilow-44-96m2-bezposrednio-ID4sjea", "https://www.otodom.pl/pl/oferta/mieszkanie-1-pietro-teofilow-44-96m2-bezposrednio-ID4sjea")</f>
        <v/>
      </c>
      <c r="F862" t="inlineStr">
        <is>
          <t>rojna</t>
        </is>
      </c>
      <c r="G862" t="inlineStr">
        <is>
          <t>Teofilów</t>
        </is>
      </c>
      <c r="H862" t="inlineStr">
        <is>
          <t>Teofilów</t>
        </is>
      </c>
      <c r="I862" t="inlineStr">
        <is>
          <t>NIE</t>
        </is>
      </c>
      <c r="J862" t="inlineStr">
        <is>
          <t>NIE</t>
        </is>
      </c>
      <c r="K862" t="n">
        <v>516633029</v>
      </c>
      <c r="L862" t="n">
        <v>330000</v>
      </c>
      <c r="M862" t="n">
        <v>7339.857651245551</v>
      </c>
      <c r="N862" t="n">
        <v>44.96</v>
      </c>
      <c r="O862" t="inlineStr">
        <is>
          <t>2+k</t>
        </is>
      </c>
      <c r="P862" t="n">
        <v>1</v>
      </c>
      <c r="Q862" t="inlineStr">
        <is>
          <t>Nie da się zamieszkać</t>
        </is>
      </c>
    </row>
    <row r="863">
      <c r="A863" t="n">
        <v>862</v>
      </c>
      <c r="B863" s="3" t="n">
        <v>45538</v>
      </c>
      <c r="D863" t="inlineStr">
        <is>
          <t>https://www.olx.pl/d/oferta/rozkladowe-m3-na-dabrowie-CID3-ID11LJnr.html</t>
        </is>
      </c>
      <c r="E863">
        <f>HYPERLINK("https://www.olx.pl/d/oferta/rozkladowe-m3-na-dabrowie-CID3-ID11LJnr.html", "https://www.olx.pl/d/oferta/rozkladowe-m3-na-dabrowie-CID3-ID11LJnr.html")</f>
        <v/>
      </c>
      <c r="F863" t="inlineStr">
        <is>
          <t>staffa</t>
        </is>
      </c>
      <c r="G863" t="inlineStr">
        <is>
          <t>Dąbrowa</t>
        </is>
      </c>
      <c r="H863" t="inlineStr">
        <is>
          <t>Dąbrowa</t>
        </is>
      </c>
      <c r="I863" t="inlineStr">
        <is>
          <t>NIE</t>
        </is>
      </c>
      <c r="J863" t="inlineStr">
        <is>
          <t>TAK</t>
        </is>
      </c>
      <c r="K863" t="n">
        <v>784993561</v>
      </c>
      <c r="L863" t="n">
        <v>287000</v>
      </c>
      <c r="M863" t="n">
        <v>7334.525939177101</v>
      </c>
      <c r="N863" t="n">
        <v>39.13</v>
      </c>
      <c r="O863" t="inlineStr">
        <is>
          <t>2+k</t>
        </is>
      </c>
      <c r="P863" t="n">
        <v>4</v>
      </c>
      <c r="Q863" t="inlineStr">
        <is>
          <t>Nie da się zamieszkać</t>
        </is>
      </c>
    </row>
    <row r="864">
      <c r="A864" t="n">
        <v>863</v>
      </c>
      <c r="B864" s="3" t="n">
        <v>45538</v>
      </c>
      <c r="C864" s="3" t="n">
        <v>45548</v>
      </c>
      <c r="D864" t="inlineStr">
        <is>
          <t>https://gratka.pl/nieruchomosci/mieszkanie-lodz-zarzew/ob/36844985</t>
        </is>
      </c>
      <c r="E864">
        <f>HYPERLINK("https://gratka.pl/nieruchomosci/mieszkanie-lodz-zarzew/ob/36844985", "https://gratka.pl/nieruchomosci/mieszkanie-lodz-zarzew/ob/36844985")</f>
        <v/>
      </c>
      <c r="F864" t="inlineStr">
        <is>
          <t>przybyszewskiego</t>
        </is>
      </c>
      <c r="G864" t="inlineStr">
        <is>
          <t>Dąbrowa</t>
        </is>
      </c>
      <c r="H864" t="inlineStr">
        <is>
          <t>Dąbrowa</t>
        </is>
      </c>
      <c r="I864" t="inlineStr">
        <is>
          <t>TAK</t>
        </is>
      </c>
      <c r="J864" t="inlineStr">
        <is>
          <t>TAK</t>
        </is>
      </c>
      <c r="K864" t="n">
        <v>724988588</v>
      </c>
      <c r="L864" t="n">
        <v>330000</v>
      </c>
      <c r="M864" t="n">
        <v>6988.56416772554</v>
      </c>
      <c r="N864" t="n">
        <v>47.22</v>
      </c>
      <c r="O864" t="inlineStr">
        <is>
          <t>3+k</t>
        </is>
      </c>
      <c r="P864" t="n">
        <v>5</v>
      </c>
      <c r="Q864" t="inlineStr">
        <is>
          <t>Nie da się zamieszkać</t>
        </is>
      </c>
    </row>
    <row r="865">
      <c r="A865" t="n">
        <v>864</v>
      </c>
      <c r="B865" s="3" t="n">
        <v>45539</v>
      </c>
      <c r="D865" t="inlineStr">
        <is>
          <t>https://www.otodom.pl/pl/oferta/m4-gorna-chelmonskiego-do-remontu-ID4sjBy</t>
        </is>
      </c>
      <c r="E865">
        <f>HYPERLINK("https://www.otodom.pl/pl/oferta/m4-gorna-chelmonskiego-do-remontu-ID4sjBy", "https://www.otodom.pl/pl/oferta/m4-gorna-chelmonskiego-do-remontu-ID4sjBy")</f>
        <v/>
      </c>
      <c r="F865" t="inlineStr">
        <is>
          <t>chełmońskiego</t>
        </is>
      </c>
      <c r="G865" t="inlineStr">
        <is>
          <t>Górna</t>
        </is>
      </c>
      <c r="H865" t="inlineStr">
        <is>
          <t>Górna</t>
        </is>
      </c>
      <c r="I865" t="inlineStr">
        <is>
          <t>NIE</t>
        </is>
      </c>
      <c r="J865" t="inlineStr">
        <is>
          <t>TAK</t>
        </is>
      </c>
      <c r="K865" t="n">
        <v>600036906</v>
      </c>
      <c r="L865" t="n">
        <v>385000</v>
      </c>
      <c r="M865" t="n">
        <v>7000</v>
      </c>
      <c r="N865" t="n">
        <v>55</v>
      </c>
      <c r="O865" t="inlineStr">
        <is>
          <t>3+k</t>
        </is>
      </c>
      <c r="P865" t="n">
        <v>0</v>
      </c>
      <c r="Q865" t="inlineStr">
        <is>
          <t>Nie da się zamieszkać</t>
        </is>
      </c>
    </row>
    <row r="866">
      <c r="A866" t="n">
        <v>865</v>
      </c>
      <c r="B866" s="3" t="n">
        <v>45539</v>
      </c>
      <c r="D866" t="inlineStr">
        <is>
          <t>https://szybko.pl/o/na-sprzedaz/lokal-mieszkalny/Łódź+Górna/oferta-15459400</t>
        </is>
      </c>
      <c r="E866">
        <f>HYPERLINK("https://szybko.pl/o/na-sprzedaz/lokal-mieszkalny/Łódź+Górna/oferta-15459400", "https://szybko.pl/o/na-sprzedaz/lokal-mieszkalny/Łódź+Górna/oferta-15459400")</f>
        <v/>
      </c>
      <c r="F866" t="inlineStr">
        <is>
          <t>łukasińskiego</t>
        </is>
      </c>
      <c r="G866" t="inlineStr">
        <is>
          <t>Górna</t>
        </is>
      </c>
      <c r="H866" t="inlineStr">
        <is>
          <t>Górna</t>
        </is>
      </c>
      <c r="I866" t="inlineStr">
        <is>
          <t>NIE</t>
        </is>
      </c>
      <c r="J866" t="inlineStr">
        <is>
          <t>TAK</t>
        </is>
      </c>
      <c r="K866" t="n">
        <v>733933306</v>
      </c>
      <c r="L866" t="n">
        <v>419000</v>
      </c>
      <c r="M866" t="n">
        <v>8269.192816262088</v>
      </c>
      <c r="N866" t="n">
        <v>50.67</v>
      </c>
      <c r="O866" t="inlineStr">
        <is>
          <t>2+k</t>
        </is>
      </c>
      <c r="P866" t="n">
        <v>4</v>
      </c>
      <c r="Q866" t="inlineStr">
        <is>
          <t>Nie da się zamieszkać</t>
        </is>
      </c>
    </row>
    <row r="867">
      <c r="A867" t="n">
        <v>866</v>
      </c>
      <c r="B867" s="3" t="n">
        <v>45539</v>
      </c>
      <c r="D867" t="inlineStr">
        <is>
          <t>https://www.olx.pl/d/oferta/60-m2-do-wlasnej-aranzacji-widzew-wschod-CID3-ID114Rlf.html</t>
        </is>
      </c>
      <c r="E867">
        <f>HYPERLINK("https://www.olx.pl/d/oferta/60-m2-do-wlasnej-aranzacji-widzew-wschod-CID3-ID114Rlf.html", "https://www.olx.pl/d/oferta/60-m2-do-wlasnej-aranzacji-widzew-wschod-CID3-ID114Rlf.html")</f>
        <v/>
      </c>
      <c r="F867" t="inlineStr">
        <is>
          <t>dostojewskiego</t>
        </is>
      </c>
      <c r="G867" t="inlineStr">
        <is>
          <t>Widzew</t>
        </is>
      </c>
      <c r="H867" t="inlineStr">
        <is>
          <t>Widzew</t>
        </is>
      </c>
      <c r="I867" t="inlineStr">
        <is>
          <t>NIE</t>
        </is>
      </c>
      <c r="J867" t="inlineStr">
        <is>
          <t>TAK</t>
        </is>
      </c>
      <c r="K867" t="n">
        <v>505370044</v>
      </c>
      <c r="L867" t="n">
        <v>419000</v>
      </c>
      <c r="M867" t="n">
        <v>7042.016806722689</v>
      </c>
      <c r="N867" t="n">
        <v>59.5</v>
      </c>
      <c r="O867" t="inlineStr">
        <is>
          <t>3+k</t>
        </is>
      </c>
      <c r="P867" t="n">
        <v>4</v>
      </c>
      <c r="Q867" t="inlineStr">
        <is>
          <t>Nie da się zamieszkać</t>
        </is>
      </c>
      <c r="R867" t="inlineStr">
        <is>
          <t xml:space="preserve">19.09 było 449k </t>
        </is>
      </c>
    </row>
    <row r="868">
      <c r="A868" t="n">
        <v>867</v>
      </c>
      <c r="B868" s="3" t="n">
        <v>45539</v>
      </c>
      <c r="D868" t="inlineStr">
        <is>
          <t>https://www.otodom.pl/pl/oferta/rozkladowe-m3-na-gornej-ID4sjOh.html</t>
        </is>
      </c>
      <c r="E868">
        <f>HYPERLINK("https://www.otodom.pl/pl/oferta/rozkladowe-m3-na-gornej-ID4sjOh.html", "https://www.otodom.pl/pl/oferta/rozkladowe-m3-na-gornej-ID4sjOh.html")</f>
        <v/>
      </c>
      <c r="F868" t="inlineStr">
        <is>
          <t>kurak</t>
        </is>
      </c>
      <c r="G868" t="inlineStr">
        <is>
          <t>Górna</t>
        </is>
      </c>
      <c r="H868" t="inlineStr">
        <is>
          <t>Górna</t>
        </is>
      </c>
      <c r="I868" t="inlineStr">
        <is>
          <t>NIE</t>
        </is>
      </c>
      <c r="J868" t="inlineStr">
        <is>
          <t>TAK</t>
        </is>
      </c>
      <c r="K868" t="n">
        <v>690377704</v>
      </c>
      <c r="L868" t="n">
        <v>400000</v>
      </c>
      <c r="M868" t="n">
        <v>7821.666014861165</v>
      </c>
      <c r="N868" t="n">
        <v>51.14</v>
      </c>
      <c r="O868" t="inlineStr">
        <is>
          <t>2+k</t>
        </is>
      </c>
      <c r="P868" t="n">
        <v>2</v>
      </c>
      <c r="Q868" t="inlineStr">
        <is>
          <t>Nie da się zamieszkać</t>
        </is>
      </c>
    </row>
    <row r="869">
      <c r="A869" t="n">
        <v>868</v>
      </c>
      <c r="B869" s="3" t="n">
        <v>45539</v>
      </c>
      <c r="D869" t="inlineStr">
        <is>
          <t>https://www.olx.pl/d/oferta/sprzedam-mieszkanie-2-pokoje-CID3-ID11LkfU.html</t>
        </is>
      </c>
      <c r="E869">
        <f>HYPERLINK("https://www.olx.pl/d/oferta/sprzedam-mieszkanie-2-pokoje-CID3-ID11LkfU.html", "https://www.olx.pl/d/oferta/sprzedam-mieszkanie-2-pokoje-CID3-ID11LkfU.html")</f>
        <v/>
      </c>
      <c r="F869" t="inlineStr">
        <is>
          <t>traktorowa</t>
        </is>
      </c>
      <c r="G869" t="inlineStr">
        <is>
          <t>Teofilów</t>
        </is>
      </c>
      <c r="H869" t="inlineStr">
        <is>
          <t>Teofilów</t>
        </is>
      </c>
      <c r="I869" t="inlineStr">
        <is>
          <t>NIE</t>
        </is>
      </c>
      <c r="J869" t="inlineStr">
        <is>
          <t>NIE</t>
        </is>
      </c>
      <c r="K869" t="n">
        <v>574976064</v>
      </c>
      <c r="L869" t="n">
        <v>325000</v>
      </c>
      <c r="M869" t="n">
        <v>7270.69351230425</v>
      </c>
      <c r="N869" t="n">
        <v>44.7</v>
      </c>
      <c r="O869" t="inlineStr">
        <is>
          <t>3+k</t>
        </is>
      </c>
      <c r="P869" t="n">
        <v>3</v>
      </c>
      <c r="Q869" t="inlineStr">
        <is>
          <t>Nie da się zamieszkać</t>
        </is>
      </c>
    </row>
    <row r="870">
      <c r="A870" t="n">
        <v>869</v>
      </c>
      <c r="B870" s="3" t="n">
        <v>45539</v>
      </c>
      <c r="D870" t="inlineStr">
        <is>
          <t>https://szybko.pl/o/na-sprzedaz/lokal-mieszkalny/Łódź+Górna/oferta-15342206</t>
        </is>
      </c>
      <c r="E870">
        <f>HYPERLINK("https://szybko.pl/o/na-sprzedaz/lokal-mieszkalny/Łódź+Górna/oferta-15342206", "https://szybko.pl/o/na-sprzedaz/lokal-mieszkalny/Łódź+Górna/oferta-15342206")</f>
        <v/>
      </c>
      <c r="F870" t="inlineStr">
        <is>
          <t>pabianicka</t>
        </is>
      </c>
      <c r="G870" t="inlineStr">
        <is>
          <t>Górna</t>
        </is>
      </c>
      <c r="H870" t="inlineStr">
        <is>
          <t>Daleka górna</t>
        </is>
      </c>
      <c r="I870" t="inlineStr">
        <is>
          <t>NIE</t>
        </is>
      </c>
      <c r="J870" t="inlineStr">
        <is>
          <t>TAK</t>
        </is>
      </c>
      <c r="K870" t="n">
        <v>698545474</v>
      </c>
      <c r="L870" t="n">
        <v>343000</v>
      </c>
      <c r="M870" t="n">
        <v>6850.409426802476</v>
      </c>
      <c r="N870" t="n">
        <v>50.07</v>
      </c>
      <c r="O870" t="inlineStr">
        <is>
          <t>3+k</t>
        </is>
      </c>
      <c r="P870" t="n">
        <v>3</v>
      </c>
      <c r="Q870" t="inlineStr">
        <is>
          <t>Nie da się zamieszkać</t>
        </is>
      </c>
    </row>
    <row r="871">
      <c r="A871" t="n">
        <v>870</v>
      </c>
      <c r="B871" s="3" t="n">
        <v>45539</v>
      </c>
      <c r="D871" t="inlineStr">
        <is>
          <t>https://www.okolica.pl/offer/show/62780-S-1668_3913_OMS/formular</t>
        </is>
      </c>
      <c r="E871">
        <f>HYPERLINK("https://www.okolica.pl/offer/show/62780-S-1668_3913_OMS/formular", "https://www.okolica.pl/offer/show/62780-S-1668_3913_OMS/formular")</f>
        <v/>
      </c>
      <c r="F871" t="inlineStr">
        <is>
          <t>kniaźniewicza</t>
        </is>
      </c>
      <c r="G871" t="inlineStr">
        <is>
          <t>Bałuty</t>
        </is>
      </c>
      <c r="H871" t="inlineStr">
        <is>
          <t>Bałuty</t>
        </is>
      </c>
      <c r="I871" t="inlineStr">
        <is>
          <t>NIE</t>
        </is>
      </c>
      <c r="J871" t="inlineStr">
        <is>
          <t>TAK</t>
        </is>
      </c>
      <c r="K871" t="n">
        <v>601984515</v>
      </c>
      <c r="L871" t="n">
        <v>340000</v>
      </c>
      <c r="M871" t="n">
        <v>7472.527472527472</v>
      </c>
      <c r="N871" t="n">
        <v>45.5</v>
      </c>
      <c r="O871" t="inlineStr">
        <is>
          <t>2+k</t>
        </is>
      </c>
      <c r="P871" t="n">
        <v>3</v>
      </c>
      <c r="Q871" t="inlineStr">
        <is>
          <t>Nie da się zamieszkać</t>
        </is>
      </c>
    </row>
    <row r="872">
      <c r="A872" t="n">
        <v>871</v>
      </c>
      <c r="B872" s="3" t="n">
        <v>45539</v>
      </c>
      <c r="D872" t="inlineStr">
        <is>
          <t>https://www.otodom.pl/pl/oferta/mieszkanie-lodz-dabrowa-37-m2-bez-posrednikow-ID4skzK</t>
        </is>
      </c>
      <c r="E872">
        <f>HYPERLINK("https://www.otodom.pl/pl/oferta/mieszkanie-lodz-dabrowa-37-m2-bez-posrednikow-ID4skzK", "https://www.otodom.pl/pl/oferta/mieszkanie-lodz-dabrowa-37-m2-bez-posrednikow-ID4skzK")</f>
        <v/>
      </c>
      <c r="F872" t="inlineStr">
        <is>
          <t>kruczkowskiego</t>
        </is>
      </c>
      <c r="G872" t="inlineStr">
        <is>
          <t>Dąbrowa</t>
        </is>
      </c>
      <c r="H872" t="inlineStr">
        <is>
          <t>Dąbrowa</t>
        </is>
      </c>
      <c r="I872" t="inlineStr">
        <is>
          <t>NIE</t>
        </is>
      </c>
      <c r="J872" t="inlineStr">
        <is>
          <t>TAK</t>
        </is>
      </c>
      <c r="K872" t="n">
        <v>600633122</v>
      </c>
      <c r="L872" t="n">
        <v>259000</v>
      </c>
      <c r="M872" t="n">
        <v>7000</v>
      </c>
      <c r="N872" t="n">
        <v>37</v>
      </c>
      <c r="O872" t="inlineStr">
        <is>
          <t>2+k</t>
        </is>
      </c>
      <c r="P872" t="n">
        <v>7</v>
      </c>
      <c r="Q872" t="inlineStr">
        <is>
          <t>Puste posprzątane</t>
        </is>
      </c>
    </row>
    <row r="873">
      <c r="A873" t="n">
        <v>872</v>
      </c>
      <c r="B873" s="3" t="n">
        <v>45539</v>
      </c>
      <c r="D873" t="inlineStr">
        <is>
          <t>https://www.olx.pl/d/oferta/mieszkanie-57-m-3-pokoje-widzew-wschod-CID3-IDZP7P9.html</t>
        </is>
      </c>
      <c r="E873">
        <f>HYPERLINK("https://www.olx.pl/d/oferta/mieszkanie-57-m-3-pokoje-widzew-wschod-CID3-IDZP7P9.html", "https://www.olx.pl/d/oferta/mieszkanie-57-m-3-pokoje-widzew-wschod-CID3-IDZP7P9.html")</f>
        <v/>
      </c>
      <c r="F873" t="inlineStr">
        <is>
          <t>sacharowa</t>
        </is>
      </c>
      <c r="G873" t="inlineStr">
        <is>
          <t>Widzew</t>
        </is>
      </c>
      <c r="H873" t="inlineStr">
        <is>
          <t>Widzew</t>
        </is>
      </c>
      <c r="I873" t="inlineStr">
        <is>
          <t>NIE</t>
        </is>
      </c>
      <c r="J873" t="inlineStr">
        <is>
          <t>NIE</t>
        </is>
      </c>
      <c r="K873" t="n">
        <v>885176031</v>
      </c>
      <c r="L873" t="n">
        <v>430000</v>
      </c>
      <c r="M873" t="n">
        <v>7543.859649122807</v>
      </c>
      <c r="N873" t="n">
        <v>57</v>
      </c>
      <c r="O873" t="inlineStr">
        <is>
          <t>3+k</t>
        </is>
      </c>
      <c r="P873" t="n">
        <v>3</v>
      </c>
      <c r="Q873" t="inlineStr">
        <is>
          <t>Nie da się zamieszkać</t>
        </is>
      </c>
    </row>
    <row r="874">
      <c r="A874" t="n">
        <v>873</v>
      </c>
      <c r="B874" s="3" t="n">
        <v>45539</v>
      </c>
      <c r="D874" t="inlineStr">
        <is>
          <t>https://www.otodom.pl/pl/oferta/sloneczne-m3-z-panoramicznym-widokiem-ID4skK2.html</t>
        </is>
      </c>
      <c r="E874">
        <f>HYPERLINK("https://www.otodom.pl/pl/oferta/sloneczne-m3-z-panoramicznym-widokiem-ID4skK2.html", "https://www.otodom.pl/pl/oferta/sloneczne-m3-z-panoramicznym-widokiem-ID4skK2.html")</f>
        <v/>
      </c>
      <c r="F874" t="inlineStr">
        <is>
          <t>bartoka</t>
        </is>
      </c>
      <c r="G874" t="inlineStr">
        <is>
          <t>Widzew</t>
        </is>
      </c>
      <c r="H874" t="inlineStr">
        <is>
          <t>Widzew</t>
        </is>
      </c>
      <c r="I874" t="inlineStr">
        <is>
          <t>NIE</t>
        </is>
      </c>
      <c r="J874" t="inlineStr">
        <is>
          <t>TAK</t>
        </is>
      </c>
      <c r="K874" t="n">
        <v>510266546</v>
      </c>
      <c r="L874" t="n">
        <v>350000</v>
      </c>
      <c r="M874" t="n">
        <v>7608.695652173913</v>
      </c>
      <c r="N874" t="n">
        <v>46</v>
      </c>
      <c r="O874" t="inlineStr">
        <is>
          <t>2+k</t>
        </is>
      </c>
      <c r="P874" t="n">
        <v>10</v>
      </c>
      <c r="Q874" t="inlineStr">
        <is>
          <t>Nie da się zamieszkać</t>
        </is>
      </c>
    </row>
    <row r="875">
      <c r="A875" t="n">
        <v>874</v>
      </c>
      <c r="B875" s="3" t="n">
        <v>45539</v>
      </c>
      <c r="D875" t="inlineStr">
        <is>
          <t>https://www.otodom.pl/pl/oferta/m3-3-pietro-4-dabrowa-ID4skKW.html</t>
        </is>
      </c>
      <c r="E875">
        <f>HYPERLINK("https://www.otodom.pl/pl/oferta/m3-3-pietro-4-dabrowa-ID4skKW.html", "https://www.otodom.pl/pl/oferta/m3-3-pietro-4-dabrowa-ID4skKW.html")</f>
        <v/>
      </c>
      <c r="F875" t="inlineStr">
        <is>
          <t xml:space="preserve">dąbrowskiego </t>
        </is>
      </c>
      <c r="G875" t="inlineStr">
        <is>
          <t>Dąbrowa</t>
        </is>
      </c>
      <c r="H875" t="inlineStr">
        <is>
          <t>Dąbrowa</t>
        </is>
      </c>
      <c r="I875" t="inlineStr">
        <is>
          <t>NIE</t>
        </is>
      </c>
      <c r="J875" t="inlineStr">
        <is>
          <t>TAK</t>
        </is>
      </c>
      <c r="K875" t="n">
        <v>516716153</v>
      </c>
      <c r="L875" t="n">
        <v>260000</v>
      </c>
      <c r="M875" t="n">
        <v>6842.105263157895</v>
      </c>
      <c r="N875" t="n">
        <v>38</v>
      </c>
      <c r="O875" t="inlineStr">
        <is>
          <t>2+k</t>
        </is>
      </c>
      <c r="P875" t="n">
        <v>3</v>
      </c>
      <c r="Q875" t="inlineStr">
        <is>
          <t>Nie da się zamieszkać</t>
        </is>
      </c>
    </row>
    <row r="876">
      <c r="A876" t="n">
        <v>875</v>
      </c>
      <c r="B876" s="3" t="n">
        <v>45539</v>
      </c>
      <c r="D876" t="inlineStr">
        <is>
          <t>https://www.olx.pl/d/oferta/mieszkanie-w-blokach-42-m2-CID3-ID11NjgJ.html</t>
        </is>
      </c>
      <c r="E876">
        <f>HYPERLINK("https://www.olx.pl/d/oferta/mieszkanie-w-blokach-42-m2-CID3-ID11NjgJ.html", "https://www.olx.pl/d/oferta/mieszkanie-w-blokach-42-m2-CID3-ID11NjgJ.html")</f>
        <v/>
      </c>
      <c r="F876" t="inlineStr">
        <is>
          <t>kochanowskiego</t>
        </is>
      </c>
      <c r="G876" t="inlineStr">
        <is>
          <t>Bałuty</t>
        </is>
      </c>
      <c r="H876" t="inlineStr">
        <is>
          <t>Bałuty</t>
        </is>
      </c>
      <c r="I876" t="inlineStr">
        <is>
          <t>NIE</t>
        </is>
      </c>
      <c r="J876" t="inlineStr">
        <is>
          <t>TAK</t>
        </is>
      </c>
      <c r="K876" t="n">
        <v>792333037</v>
      </c>
      <c r="L876" t="n">
        <v>350000</v>
      </c>
      <c r="M876" t="n">
        <v>8139.53488372093</v>
      </c>
      <c r="N876" t="n">
        <v>43</v>
      </c>
      <c r="O876" t="inlineStr">
        <is>
          <t>2+k</t>
        </is>
      </c>
      <c r="P876" t="n">
        <v>5</v>
      </c>
      <c r="Q876" t="inlineStr">
        <is>
          <t>Nie da się zamieszkać</t>
        </is>
      </c>
    </row>
    <row r="877">
      <c r="A877" t="n">
        <v>876</v>
      </c>
      <c r="B877" s="3" t="n">
        <v>45540</v>
      </c>
      <c r="D877" t="inlineStr">
        <is>
          <t>https://gratka.pl/nieruchomosci/mieszkanie-lodz-widzew-ul-czernika/ob/36866359</t>
        </is>
      </c>
      <c r="E877">
        <f>HYPERLINK("https://gratka.pl/nieruchomosci/mieszkanie-lodz-widzew-ul-czernika/ob/36866359", "https://gratka.pl/nieruchomosci/mieszkanie-lodz-widzew-ul-czernika/ob/36866359")</f>
        <v/>
      </c>
      <c r="F877" t="inlineStr">
        <is>
          <t>czernika</t>
        </is>
      </c>
      <c r="G877" t="inlineStr">
        <is>
          <t>Widzew</t>
        </is>
      </c>
      <c r="H877" t="inlineStr">
        <is>
          <t>Widzew</t>
        </is>
      </c>
      <c r="I877" t="inlineStr">
        <is>
          <t>NIE</t>
        </is>
      </c>
      <c r="J877" t="inlineStr">
        <is>
          <t>TAK</t>
        </is>
      </c>
      <c r="K877" t="n">
        <v>792333037</v>
      </c>
      <c r="L877" t="n">
        <v>349000</v>
      </c>
      <c r="M877" t="n">
        <v>7755.555555555556</v>
      </c>
      <c r="N877" t="n">
        <v>45</v>
      </c>
      <c r="O877" t="inlineStr">
        <is>
          <t>2+k</t>
        </is>
      </c>
      <c r="P877" t="n">
        <v>2</v>
      </c>
      <c r="Q877" t="inlineStr">
        <is>
          <t>Nie da się zamieszkać</t>
        </is>
      </c>
    </row>
    <row r="878">
      <c r="A878" t="n">
        <v>877</v>
      </c>
      <c r="B878" s="3" t="n">
        <v>45540</v>
      </c>
      <c r="C878" s="3" t="n">
        <v>45548</v>
      </c>
      <c r="D878" t="inlineStr">
        <is>
          <t>https://gratka.pl/nieruchomosci/mieszkanie-lodz-polesie-ul-zielona/ob/36866351#gallery</t>
        </is>
      </c>
      <c r="E878">
        <f>HYPERLINK("https://gratka.pl/nieruchomosci/mieszkanie-lodz-polesie-ul-zielona/ob/36866351#gallery", "https://gratka.pl/nieruchomosci/mieszkanie-lodz-polesie-ul-zielona/ob/36866351#gallery")</f>
        <v/>
      </c>
      <c r="F878" t="inlineStr">
        <is>
          <t>zielona</t>
        </is>
      </c>
      <c r="G878" t="inlineStr">
        <is>
          <t>Polesie</t>
        </is>
      </c>
      <c r="H878" t="inlineStr">
        <is>
          <t>Polesie</t>
        </is>
      </c>
      <c r="I878" t="inlineStr">
        <is>
          <t>TAK</t>
        </is>
      </c>
      <c r="J878" t="inlineStr">
        <is>
          <t>TAK</t>
        </is>
      </c>
      <c r="K878" t="n">
        <v>792333037</v>
      </c>
      <c r="L878" t="n">
        <v>260000</v>
      </c>
      <c r="M878" t="n">
        <v>7647.058823529412</v>
      </c>
      <c r="N878" t="n">
        <v>34</v>
      </c>
      <c r="O878" t="inlineStr">
        <is>
          <t>2+k</t>
        </is>
      </c>
      <c r="P878" t="n">
        <v>6</v>
      </c>
      <c r="Q878" t="inlineStr">
        <is>
          <t>Nie da się zamieszkać</t>
        </is>
      </c>
    </row>
    <row r="879">
      <c r="A879" t="n">
        <v>878</v>
      </c>
      <c r="B879" s="3" t="n">
        <v>45540</v>
      </c>
      <c r="D879" t="inlineStr">
        <is>
          <t>https://adresowo.pl/o/x4b4s1</t>
        </is>
      </c>
      <c r="E879">
        <f>HYPERLINK("https://adresowo.pl/o/x4b4s1", "https://adresowo.pl/o/x4b4s1")</f>
        <v/>
      </c>
      <c r="F879" t="inlineStr">
        <is>
          <t>kopcińskiego</t>
        </is>
      </c>
      <c r="G879" t="inlineStr">
        <is>
          <t>Śródmieście</t>
        </is>
      </c>
      <c r="H879" t="inlineStr">
        <is>
          <t>Śródmieście</t>
        </is>
      </c>
      <c r="I879" t="inlineStr">
        <is>
          <t>NIE</t>
        </is>
      </c>
      <c r="J879" t="inlineStr">
        <is>
          <t>TAK</t>
        </is>
      </c>
      <c r="L879" t="n">
        <v>419000</v>
      </c>
      <c r="M879" t="n">
        <v>7905.66037735849</v>
      </c>
      <c r="N879" t="n">
        <v>53</v>
      </c>
      <c r="O879" t="inlineStr">
        <is>
          <t>2+k</t>
        </is>
      </c>
      <c r="P879" t="n">
        <v>1</v>
      </c>
      <c r="Q879" t="inlineStr">
        <is>
          <t>Nie da się zamieszkać</t>
        </is>
      </c>
    </row>
    <row r="880">
      <c r="A880" t="n">
        <v>879</v>
      </c>
      <c r="B880" s="3" t="n">
        <v>45540</v>
      </c>
      <c r="D880" t="inlineStr">
        <is>
          <t>https://www.olx.pl/d/oferta/mieszkanie-53m2-z-balkonem-osiedle-mireckiego-CID3-ID11Nr6y.html?isPreviewActive=0&amp;sliderIndex=4</t>
        </is>
      </c>
      <c r="E880">
        <f>HYPERLINK("https://www.olx.pl/d/oferta/mieszkanie-53m2-z-balkonem-osiedle-mireckiego-CID3-ID11Nr6y.html?isPreviewActive=0&amp;sliderIndex=4", "https://www.olx.pl/d/oferta/mieszkanie-53m2-z-balkonem-osiedle-mireckiego-CID3-ID11Nr6y.html?isPreviewActive=0&amp;sliderIndex=4")</f>
        <v/>
      </c>
      <c r="F880" t="inlineStr">
        <is>
          <t>srebrzyńska</t>
        </is>
      </c>
      <c r="G880" t="inlineStr">
        <is>
          <t>Polesie</t>
        </is>
      </c>
      <c r="H880" t="inlineStr">
        <is>
          <t>Polesie</t>
        </is>
      </c>
      <c r="I880" t="inlineStr">
        <is>
          <t>NIE</t>
        </is>
      </c>
      <c r="J880" t="inlineStr">
        <is>
          <t>NIE</t>
        </is>
      </c>
      <c r="K880" t="n">
        <v>693465361</v>
      </c>
      <c r="L880" t="n">
        <v>425000</v>
      </c>
      <c r="M880" t="n">
        <v>8018.867924528302</v>
      </c>
      <c r="N880" t="n">
        <v>53</v>
      </c>
      <c r="O880" t="inlineStr">
        <is>
          <t>2+k</t>
        </is>
      </c>
      <c r="P880" t="n">
        <v>2</v>
      </c>
      <c r="Q880" t="inlineStr">
        <is>
          <t>Nie da się zamieszkać</t>
        </is>
      </c>
    </row>
    <row r="881">
      <c r="A881" t="n">
        <v>880</v>
      </c>
      <c r="B881" s="3" t="n">
        <v>45540</v>
      </c>
      <c r="D881" t="inlineStr">
        <is>
          <t>https://gratka.pl/nieruchomosci/mieszkanie-lodz-gorna-ul-kosmonautow/ob/36881565</t>
        </is>
      </c>
      <c r="E881">
        <f>HYPERLINK("https://gratka.pl/nieruchomosci/mieszkanie-lodz-gorna-ul-kosmonautow/ob/36881565", "https://gratka.pl/nieruchomosci/mieszkanie-lodz-gorna-ul-kosmonautow/ob/36881565")</f>
        <v/>
      </c>
      <c r="F881" t="inlineStr">
        <is>
          <t>kosmonautów</t>
        </is>
      </c>
      <c r="G881" t="inlineStr">
        <is>
          <t>Górna</t>
        </is>
      </c>
      <c r="H881" t="inlineStr">
        <is>
          <t>Górna</t>
        </is>
      </c>
      <c r="I881" t="inlineStr">
        <is>
          <t>NIE</t>
        </is>
      </c>
      <c r="J881" t="inlineStr">
        <is>
          <t>TAK</t>
        </is>
      </c>
      <c r="K881" t="n">
        <v>511719739</v>
      </c>
      <c r="L881" t="n">
        <v>319000</v>
      </c>
      <c r="M881" t="n">
        <v>6661.098350386302</v>
      </c>
      <c r="N881" t="n">
        <v>47.89</v>
      </c>
      <c r="O881" t="inlineStr">
        <is>
          <t>3+k</t>
        </is>
      </c>
      <c r="P881" t="n">
        <v>2</v>
      </c>
      <c r="Q881" t="inlineStr">
        <is>
          <t>Nie da się zamieszkać</t>
        </is>
      </c>
    </row>
    <row r="882">
      <c r="A882" t="n">
        <v>881</v>
      </c>
      <c r="B882" s="3" t="n">
        <v>45540</v>
      </c>
      <c r="D882" t="inlineStr">
        <is>
          <t>https://www.otodom.pl/pl/oferta/m3-baluty-1-pietro-ID4sl4x</t>
        </is>
      </c>
      <c r="E882">
        <f>HYPERLINK("https://www.otodom.pl/pl/oferta/m3-baluty-1-pietro-ID4sl4x", "https://www.otodom.pl/pl/oferta/m3-baluty-1-pietro-ID4sl4x")</f>
        <v/>
      </c>
      <c r="F882" t="inlineStr">
        <is>
          <t>zgierska</t>
        </is>
      </c>
      <c r="G882" t="inlineStr">
        <is>
          <t>Bałuty</t>
        </is>
      </c>
      <c r="H882" t="inlineStr">
        <is>
          <t>Dalekie bałuty</t>
        </is>
      </c>
      <c r="I882" t="inlineStr">
        <is>
          <t>NIE</t>
        </is>
      </c>
      <c r="J882" t="inlineStr">
        <is>
          <t>TAK</t>
        </is>
      </c>
      <c r="K882" t="n">
        <v>797542793</v>
      </c>
      <c r="L882" t="n">
        <v>390000</v>
      </c>
      <c r="M882" t="n">
        <v>7170.435741864313</v>
      </c>
      <c r="N882" t="n">
        <v>54.39</v>
      </c>
      <c r="O882" t="inlineStr">
        <is>
          <t>2+k</t>
        </is>
      </c>
      <c r="P882" t="n">
        <v>1</v>
      </c>
      <c r="Q882" t="inlineStr">
        <is>
          <t>Nie da się zamieszkać</t>
        </is>
      </c>
    </row>
    <row r="883">
      <c r="A883" t="n">
        <v>882</v>
      </c>
      <c r="B883" s="3" t="n">
        <v>45540</v>
      </c>
      <c r="D883" t="inlineStr">
        <is>
          <t>https://www.olx.pl/d/oferta/sprzedam-m3-wlasnosciowe-52m2-CID3-ID11NwNT.html?isPreviewActive=0&amp;sliderIndex=0</t>
        </is>
      </c>
      <c r="E883">
        <f>HYPERLINK("https://www.olx.pl/d/oferta/sprzedam-m3-wlasnosciowe-52m2-CID3-ID11NwNT.html?isPreviewActive=0&amp;sliderIndex=0", "https://www.olx.pl/d/oferta/sprzedam-m3-wlasnosciowe-52m2-CID3-ID11NwNT.html?isPreviewActive=0&amp;sliderIndex=0")</f>
        <v/>
      </c>
      <c r="F883" t="inlineStr">
        <is>
          <t>gołebia</t>
        </is>
      </c>
      <c r="G883" t="inlineStr">
        <is>
          <t>Górna</t>
        </is>
      </c>
      <c r="H883" t="inlineStr">
        <is>
          <t>Górna blisko centrum</t>
        </is>
      </c>
      <c r="I883" t="inlineStr">
        <is>
          <t>NIE</t>
        </is>
      </c>
      <c r="J883" t="inlineStr">
        <is>
          <t>NIE</t>
        </is>
      </c>
      <c r="K883" t="n">
        <v>517424014</v>
      </c>
      <c r="L883" t="n">
        <v>344000</v>
      </c>
      <c r="M883" t="n">
        <v>6615.384615384615</v>
      </c>
      <c r="N883" t="n">
        <v>52</v>
      </c>
      <c r="O883" t="inlineStr">
        <is>
          <t>3+k</t>
        </is>
      </c>
      <c r="P883" t="n">
        <v>4</v>
      </c>
      <c r="Q883" t="inlineStr">
        <is>
          <t>Nie da się zamieszkać</t>
        </is>
      </c>
    </row>
    <row r="884">
      <c r="A884" t="n">
        <v>883</v>
      </c>
      <c r="B884" s="3" t="n">
        <v>45540</v>
      </c>
      <c r="D884" t="inlineStr">
        <is>
          <t>https://www.otodom.pl/pl/oferta/2-pokoje-blok-cegla-zubardz-ID4saDQ.html</t>
        </is>
      </c>
      <c r="E884">
        <f>HYPERLINK("https://www.otodom.pl/pl/oferta/2-pokoje-blok-cegla-zubardz-ID4saDQ.html", "https://www.otodom.pl/pl/oferta/2-pokoje-blok-cegla-zubardz-ID4saDQ.html")</f>
        <v/>
      </c>
      <c r="F884" t="inlineStr">
        <is>
          <t xml:space="preserve">żubardź </t>
        </is>
      </c>
      <c r="G884" t="inlineStr">
        <is>
          <t>Polesie</t>
        </is>
      </c>
      <c r="H884" t="inlineStr">
        <is>
          <t>Polesie</t>
        </is>
      </c>
      <c r="I884" t="inlineStr">
        <is>
          <t>NIE</t>
        </is>
      </c>
      <c r="J884" t="inlineStr">
        <is>
          <t>TAK</t>
        </is>
      </c>
      <c r="K884" t="n">
        <v>517000217</v>
      </c>
      <c r="L884" t="n">
        <v>325000</v>
      </c>
      <c r="M884" t="n">
        <v>7034.632034632034</v>
      </c>
      <c r="N884" t="n">
        <v>46.2</v>
      </c>
      <c r="O884" t="inlineStr">
        <is>
          <t>2+k</t>
        </is>
      </c>
      <c r="P884" t="n">
        <v>1</v>
      </c>
      <c r="Q884" t="inlineStr">
        <is>
          <t>Nie da się zamieszkać</t>
        </is>
      </c>
    </row>
    <row r="885">
      <c r="A885" t="n">
        <v>884</v>
      </c>
      <c r="B885" s="3" t="n">
        <v>45540</v>
      </c>
      <c r="D885" t="inlineStr">
        <is>
          <t>https://www.olx.pl/d/oferta/teofilow-rozkladowe-2-pokoje-zielen-CID3-ID11NEnw.html</t>
        </is>
      </c>
      <c r="E885">
        <f>HYPERLINK("https://www.olx.pl/d/oferta/teofilow-rozkladowe-2-pokoje-zielen-CID3-ID11NEnw.html", "https://www.olx.pl/d/oferta/teofilow-rozkladowe-2-pokoje-zielen-CID3-ID11NEnw.html")</f>
        <v/>
      </c>
      <c r="F885" t="inlineStr">
        <is>
          <t>judyma</t>
        </is>
      </c>
      <c r="G885" t="inlineStr">
        <is>
          <t>Teofilów</t>
        </is>
      </c>
      <c r="H885" t="inlineStr">
        <is>
          <t>Teofilów</t>
        </is>
      </c>
      <c r="I885" t="inlineStr">
        <is>
          <t>NIE</t>
        </is>
      </c>
      <c r="J885" t="inlineStr">
        <is>
          <t>TAK</t>
        </is>
      </c>
      <c r="K885" t="n">
        <v>511000217</v>
      </c>
      <c r="L885" t="n">
        <v>288000</v>
      </c>
      <c r="M885" t="n">
        <v>6343.612334801763</v>
      </c>
      <c r="N885" t="n">
        <v>45.4</v>
      </c>
      <c r="O885" t="inlineStr">
        <is>
          <t>2+k</t>
        </is>
      </c>
      <c r="P885" t="n">
        <v>0</v>
      </c>
      <c r="Q885" t="inlineStr">
        <is>
          <t>Nie da się zamieszkać</t>
        </is>
      </c>
    </row>
    <row r="886">
      <c r="A886" t="n">
        <v>885</v>
      </c>
      <c r="B886" s="3" t="n">
        <v>45540</v>
      </c>
      <c r="D886" t="inlineStr">
        <is>
          <t>https://szybko.pl/o/na-sprzedaz/lokal-mieszkalny/Łódź+Górna/oferta-15465810</t>
        </is>
      </c>
      <c r="E886">
        <f>HYPERLINK("https://szybko.pl/o/na-sprzedaz/lokal-mieszkalny/Łódź+Górna/oferta-15465810", "https://szybko.pl/o/na-sprzedaz/lokal-mieszkalny/Łódź+Górna/oferta-15465810")</f>
        <v/>
      </c>
      <c r="F886" t="inlineStr">
        <is>
          <t>felsztyńskiego</t>
        </is>
      </c>
      <c r="G886" t="inlineStr">
        <is>
          <t>Górna</t>
        </is>
      </c>
      <c r="H886" t="inlineStr">
        <is>
          <t>Górna</t>
        </is>
      </c>
      <c r="I886" t="inlineStr">
        <is>
          <t>NIE</t>
        </is>
      </c>
      <c r="J886" t="inlineStr">
        <is>
          <t>TAK</t>
        </is>
      </c>
      <c r="K886" t="n">
        <v>795622122</v>
      </c>
      <c r="L886" t="n">
        <v>312000</v>
      </c>
      <c r="M886" t="n">
        <v>7790.262172284644</v>
      </c>
      <c r="N886" t="n">
        <v>40.05</v>
      </c>
      <c r="O886" t="inlineStr">
        <is>
          <t>2+k</t>
        </is>
      </c>
      <c r="P886" t="n">
        <v>2</v>
      </c>
      <c r="Q886" t="inlineStr">
        <is>
          <t>Nie da się zamieszkać</t>
        </is>
      </c>
    </row>
    <row r="887">
      <c r="A887" t="n">
        <v>886</v>
      </c>
      <c r="B887" s="3" t="n">
        <v>45540</v>
      </c>
      <c r="D887" t="inlineStr">
        <is>
          <t>https://www.otodom.pl/pl/oferta/mieszkanie-do-remontu-rojna-przy-wodnym-raju-ID4slgS.html</t>
        </is>
      </c>
      <c r="E887">
        <f>HYPERLINK("https://www.otodom.pl/pl/oferta/mieszkanie-do-remontu-rojna-przy-wodnym-raju-ID4slgS.html", "https://www.otodom.pl/pl/oferta/mieszkanie-do-remontu-rojna-przy-wodnym-raju-ID4slgS.html")</f>
        <v/>
      </c>
      <c r="F887" t="inlineStr">
        <is>
          <t>rojna</t>
        </is>
      </c>
      <c r="G887" t="inlineStr">
        <is>
          <t>Teofilów</t>
        </is>
      </c>
      <c r="H887" t="inlineStr">
        <is>
          <t>Teofilów</t>
        </is>
      </c>
      <c r="I887" t="inlineStr">
        <is>
          <t>NIE</t>
        </is>
      </c>
      <c r="J887" t="inlineStr">
        <is>
          <t>NIE</t>
        </is>
      </c>
      <c r="K887" t="n">
        <v>607985125</v>
      </c>
      <c r="L887" t="n">
        <v>259000</v>
      </c>
      <c r="M887" t="n">
        <v>6815.789473684211</v>
      </c>
      <c r="N887" t="n">
        <v>38</v>
      </c>
      <c r="O887" t="inlineStr">
        <is>
          <t>2+k</t>
        </is>
      </c>
      <c r="P887" t="n">
        <v>2</v>
      </c>
      <c r="Q887" t="inlineStr">
        <is>
          <t>Nie da się zamieszkać</t>
        </is>
      </c>
    </row>
    <row r="888">
      <c r="A888" t="n">
        <v>887</v>
      </c>
      <c r="B888" s="3" t="n">
        <v>45541</v>
      </c>
      <c r="D888" t="inlineStr">
        <is>
          <t>https://www.olx.pl/d/oferta/sprzedam-bezposrednio-2-pokoje-parter-popieluszki-CID3-ID11NWev.html</t>
        </is>
      </c>
      <c r="E888">
        <f>HYPERLINK("https://www.olx.pl/d/oferta/sprzedam-bezposrednio-2-pokoje-parter-popieluszki-CID3-ID11NWev.html", "https://www.olx.pl/d/oferta/sprzedam-bezposrednio-2-pokoje-parter-popieluszki-CID3-ID11NWev.html")</f>
        <v/>
      </c>
      <c r="F888" t="inlineStr">
        <is>
          <t>popiełuszki</t>
        </is>
      </c>
      <c r="G888" t="inlineStr">
        <is>
          <t>Retkinia</t>
        </is>
      </c>
      <c r="H888" t="inlineStr">
        <is>
          <t>Retkinia</t>
        </is>
      </c>
      <c r="I888" t="inlineStr">
        <is>
          <t>NIE</t>
        </is>
      </c>
      <c r="J888" t="inlineStr">
        <is>
          <t>TAK</t>
        </is>
      </c>
      <c r="K888" t="n">
        <v>696449090</v>
      </c>
      <c r="L888" t="n">
        <v>309000</v>
      </c>
      <c r="M888" t="n">
        <v>7284.299858557284</v>
      </c>
      <c r="N888" t="n">
        <v>42.42</v>
      </c>
      <c r="O888" t="inlineStr">
        <is>
          <t>2+k</t>
        </is>
      </c>
      <c r="P888" t="n">
        <v>0</v>
      </c>
      <c r="Q888" t="inlineStr">
        <is>
          <t>Nie da się zamieszkać</t>
        </is>
      </c>
    </row>
    <row r="889">
      <c r="A889" t="n">
        <v>888</v>
      </c>
      <c r="B889" s="3" t="n">
        <v>45541</v>
      </c>
      <c r="D889" t="inlineStr">
        <is>
          <t>https://www.olx.pl/d/oferta/karolew-jeden-pokoj-na-zielonym-osiedlu-CID3-ID11NTgV.html</t>
        </is>
      </c>
      <c r="E889">
        <f>HYPERLINK("https://www.olx.pl/d/oferta/karolew-jeden-pokoj-na-zielonym-osiedlu-CID3-ID11NTgV.html", "https://www.olx.pl/d/oferta/karolew-jeden-pokoj-na-zielonym-osiedlu-CID3-ID11NTgV.html")</f>
        <v/>
      </c>
      <c r="F889" t="inlineStr">
        <is>
          <t>karolew</t>
        </is>
      </c>
      <c r="G889" t="inlineStr">
        <is>
          <t>Polesie</t>
        </is>
      </c>
      <c r="H889" t="inlineStr">
        <is>
          <t>Polesie</t>
        </is>
      </c>
      <c r="I889" t="inlineStr">
        <is>
          <t>NIE</t>
        </is>
      </c>
      <c r="J889" t="inlineStr">
        <is>
          <t>TAK</t>
        </is>
      </c>
      <c r="K889" t="n">
        <v>513128766</v>
      </c>
      <c r="L889" t="n">
        <v>232000</v>
      </c>
      <c r="M889" t="n">
        <v>7483.870967741936</v>
      </c>
      <c r="N889" t="n">
        <v>31</v>
      </c>
      <c r="O889" t="inlineStr">
        <is>
          <t>1+k</t>
        </is>
      </c>
      <c r="P889" t="n">
        <v>9</v>
      </c>
      <c r="Q889" t="inlineStr">
        <is>
          <t>Nie da się zamieszkać</t>
        </is>
      </c>
    </row>
    <row r="890">
      <c r="A890" t="n">
        <v>889</v>
      </c>
      <c r="B890" s="3" t="n">
        <v>45541</v>
      </c>
      <c r="D890" t="inlineStr">
        <is>
          <t>https://www.okolica.pl/offer/show/81362-S-eaa7f/formular</t>
        </is>
      </c>
      <c r="E890">
        <f>HYPERLINK("https://www.okolica.pl/offer/show/81362-S-eaa7f/formular", "https://www.okolica.pl/offer/show/81362-S-eaa7f/formular")</f>
        <v/>
      </c>
      <c r="F890" t="inlineStr">
        <is>
          <t>żeligowskiego</t>
        </is>
      </c>
      <c r="G890" t="inlineStr">
        <is>
          <t>Polesie</t>
        </is>
      </c>
      <c r="H890" t="inlineStr">
        <is>
          <t>Polesie</t>
        </is>
      </c>
      <c r="I890" t="inlineStr">
        <is>
          <t>NIE</t>
        </is>
      </c>
      <c r="J890" t="inlineStr">
        <is>
          <t>NIE</t>
        </is>
      </c>
      <c r="K890" t="n">
        <v>796512366</v>
      </c>
      <c r="L890" t="n">
        <v>418000</v>
      </c>
      <c r="M890" t="n">
        <v>7697.974217311234</v>
      </c>
      <c r="N890" t="n">
        <v>54.3</v>
      </c>
      <c r="O890" t="inlineStr">
        <is>
          <t>3+k</t>
        </is>
      </c>
      <c r="P890" t="inlineStr">
        <is>
          <t>4!</t>
        </is>
      </c>
      <c r="Q890" t="inlineStr">
        <is>
          <t>Nie da się zamieszkać</t>
        </is>
      </c>
    </row>
    <row r="891">
      <c r="A891" t="n">
        <v>890</v>
      </c>
      <c r="B891" s="3" t="n">
        <v>45541</v>
      </c>
      <c r="D891" t="inlineStr">
        <is>
          <t>https://www.okolica.pl/offer/show/30667-S-29534/formular</t>
        </is>
      </c>
      <c r="E891">
        <f>HYPERLINK("https://www.okolica.pl/offer/show/30667-S-29534/formular", "https://www.okolica.pl/offer/show/30667-S-29534/formular")</f>
        <v/>
      </c>
      <c r="F891" t="inlineStr">
        <is>
          <t>snycerska</t>
        </is>
      </c>
      <c r="G891" t="inlineStr">
        <is>
          <t>Bałuty</t>
        </is>
      </c>
      <c r="H891" t="inlineStr">
        <is>
          <t>Bałuty blisko centrum</t>
        </is>
      </c>
      <c r="I891" t="inlineStr">
        <is>
          <t>NIE</t>
        </is>
      </c>
      <c r="J891" t="inlineStr">
        <is>
          <t>NIE</t>
        </is>
      </c>
      <c r="K891" t="n">
        <v>503036163</v>
      </c>
      <c r="L891" t="n">
        <v>320000</v>
      </c>
      <c r="M891" t="n">
        <v>7619.047619047619</v>
      </c>
      <c r="N891" t="n">
        <v>42</v>
      </c>
      <c r="O891" t="inlineStr">
        <is>
          <t>2+k</t>
        </is>
      </c>
      <c r="P891" t="n">
        <v>2</v>
      </c>
      <c r="Q891" t="inlineStr">
        <is>
          <t>Nie da się zamieszkać</t>
        </is>
      </c>
    </row>
    <row r="892">
      <c r="A892" t="n">
        <v>891</v>
      </c>
      <c r="B892" s="3" t="n">
        <v>45541</v>
      </c>
      <c r="D892" t="inlineStr">
        <is>
          <t>https://www.otodom.pl/pl/oferta/raz-dwa-trzy-kupujesz-ty-ID4slRD</t>
        </is>
      </c>
      <c r="E892">
        <f>HYPERLINK("https://www.otodom.pl/pl/oferta/raz-dwa-trzy-kupujesz-ty-ID4slRD", "https://www.otodom.pl/pl/oferta/raz-dwa-trzy-kupujesz-ty-ID4slRD")</f>
        <v/>
      </c>
      <c r="F892" t="inlineStr">
        <is>
          <t>źabieniec</t>
        </is>
      </c>
      <c r="G892" t="inlineStr">
        <is>
          <t>Teofilów</t>
        </is>
      </c>
      <c r="H892" t="inlineStr">
        <is>
          <t>Teofilów</t>
        </is>
      </c>
      <c r="I892" t="inlineStr">
        <is>
          <t>NIE</t>
        </is>
      </c>
      <c r="J892" t="inlineStr">
        <is>
          <t>TAK</t>
        </is>
      </c>
      <c r="K892" t="n">
        <v>503891520</v>
      </c>
      <c r="L892" t="n">
        <v>275000</v>
      </c>
      <c r="M892" t="n">
        <v>6179.775280898876</v>
      </c>
      <c r="N892" t="n">
        <v>44.5</v>
      </c>
      <c r="O892" t="inlineStr">
        <is>
          <t>2+k</t>
        </is>
      </c>
      <c r="P892" t="n">
        <v>2</v>
      </c>
      <c r="Q892" t="inlineStr">
        <is>
          <t>Nie da się zamieszkać</t>
        </is>
      </c>
    </row>
    <row r="893">
      <c r="A893" t="n">
        <v>892</v>
      </c>
      <c r="B893" s="3" t="n">
        <v>45541</v>
      </c>
      <c r="D893" t="inlineStr">
        <is>
          <t>https://www.olx.pl/d/oferta/2-pokoje-z-widokiem-na-park-podolski-CID3-ID10md0x.html</t>
        </is>
      </c>
      <c r="E893">
        <f>HYPERLINK("https://www.olx.pl/d/oferta/2-pokoje-z-widokiem-na-park-podolski-CID3-ID10md0x.html", "https://www.olx.pl/d/oferta/2-pokoje-z-widokiem-na-park-podolski-CID3-ID10md0x.html")</f>
        <v/>
      </c>
      <c r="F893" t="inlineStr">
        <is>
          <t>strzemińskiego</t>
        </is>
      </c>
      <c r="G893" t="inlineStr">
        <is>
          <t>Dąbrowa</t>
        </is>
      </c>
      <c r="H893" t="inlineStr">
        <is>
          <t>Dąbrowa</t>
        </is>
      </c>
      <c r="I893" t="inlineStr">
        <is>
          <t>NIE</t>
        </is>
      </c>
      <c r="J893" t="inlineStr">
        <is>
          <t>TAK</t>
        </is>
      </c>
      <c r="K893" t="n">
        <v>730965991</v>
      </c>
      <c r="L893" t="n">
        <v>265000</v>
      </c>
      <c r="M893" t="n">
        <v>6973.684210526316</v>
      </c>
      <c r="N893" t="n">
        <v>38</v>
      </c>
      <c r="O893" t="inlineStr">
        <is>
          <t>2+k</t>
        </is>
      </c>
      <c r="P893" t="n">
        <v>0</v>
      </c>
      <c r="Q893" t="inlineStr">
        <is>
          <t>Nie da się zamieszkać</t>
        </is>
      </c>
    </row>
    <row r="894">
      <c r="A894" t="n">
        <v>893</v>
      </c>
      <c r="B894" s="3" t="n">
        <v>45541</v>
      </c>
      <c r="D894" t="inlineStr">
        <is>
          <t>https://gratka.pl/nieruchomosci/mieszkanie-lodz-baluty-ul-krzyzowa/ob/36903283</t>
        </is>
      </c>
      <c r="E894">
        <f>HYPERLINK("https://gratka.pl/nieruchomosci/mieszkanie-lodz-baluty-ul-krzyzowa/ob/36903283", "https://gratka.pl/nieruchomosci/mieszkanie-lodz-baluty-ul-krzyzowa/ob/36903283")</f>
        <v/>
      </c>
      <c r="F894" t="inlineStr">
        <is>
          <t>łagiewnicka</t>
        </is>
      </c>
      <c r="G894" t="inlineStr">
        <is>
          <t>Bałuty</t>
        </is>
      </c>
      <c r="H894" t="inlineStr">
        <is>
          <t>Dalekie bałuty</t>
        </is>
      </c>
      <c r="I894" t="inlineStr">
        <is>
          <t>NIE</t>
        </is>
      </c>
      <c r="J894" t="inlineStr">
        <is>
          <t>TAK</t>
        </is>
      </c>
      <c r="K894" t="n">
        <v>570888422</v>
      </c>
      <c r="L894" t="n">
        <v>375000</v>
      </c>
      <c r="M894" t="n">
        <v>6465.517241379311</v>
      </c>
      <c r="N894" t="n">
        <v>58</v>
      </c>
      <c r="O894" t="inlineStr">
        <is>
          <t>3+k</t>
        </is>
      </c>
      <c r="P894" t="n">
        <v>1</v>
      </c>
      <c r="Q894" t="inlineStr">
        <is>
          <t>Nie da się zamieszkać</t>
        </is>
      </c>
    </row>
    <row r="895">
      <c r="A895" t="n">
        <v>894</v>
      </c>
      <c r="B895" s="3" t="n">
        <v>45541</v>
      </c>
      <c r="D895" t="inlineStr">
        <is>
          <t>https://www.domiporta.pl/nieruchomosci/sprzedam-mieszkanie-trzypokojowe-lodz-baluty-57m2/155370366</t>
        </is>
      </c>
      <c r="E895">
        <f>HYPERLINK("https://www.domiporta.pl/nieruchomosci/sprzedam-mieszkanie-trzypokojowe-lodz-baluty-57m2/155370366", "https://www.domiporta.pl/nieruchomosci/sprzedam-mieszkanie-trzypokojowe-lodz-baluty-57m2/155370366")</f>
        <v/>
      </c>
      <c r="F895" t="inlineStr">
        <is>
          <t>grabieniec</t>
        </is>
      </c>
      <c r="G895" t="inlineStr">
        <is>
          <t>Teofilów</t>
        </is>
      </c>
      <c r="H895" t="inlineStr">
        <is>
          <t>Teofilów</t>
        </is>
      </c>
      <c r="I895" t="inlineStr">
        <is>
          <t>NIE</t>
        </is>
      </c>
      <c r="J895" t="inlineStr">
        <is>
          <t>TAK</t>
        </is>
      </c>
      <c r="K895" t="n">
        <v>724988588</v>
      </c>
      <c r="L895" t="n">
        <v>399000</v>
      </c>
      <c r="M895" t="n">
        <v>6975.524475524475</v>
      </c>
      <c r="N895" t="n">
        <v>57.2</v>
      </c>
      <c r="O895" t="inlineStr">
        <is>
          <t>3+k</t>
        </is>
      </c>
      <c r="P895" t="n">
        <v>2</v>
      </c>
      <c r="Q895" t="inlineStr">
        <is>
          <t>Nie da się zamieszkać</t>
        </is>
      </c>
    </row>
    <row r="896">
      <c r="A896" t="n">
        <v>895</v>
      </c>
      <c r="B896" s="3" t="n">
        <v>45541</v>
      </c>
      <c r="D896" t="inlineStr">
        <is>
          <t>https://www.domiporta.pl/nieruchomosci/sprzedam-mieszkanie-dwupokojowe-lodz-baluty-39m2/155370367</t>
        </is>
      </c>
      <c r="E896">
        <f>HYPERLINK("https://www.domiporta.pl/nieruchomosci/sprzedam-mieszkanie-dwupokojowe-lodz-baluty-39m2/155370367", "https://www.domiporta.pl/nieruchomosci/sprzedam-mieszkanie-dwupokojowe-lodz-baluty-39m2/155370367")</f>
        <v/>
      </c>
      <c r="F896" t="inlineStr">
        <is>
          <t>doły</t>
        </is>
      </c>
      <c r="G896" t="inlineStr">
        <is>
          <t>Bałuty</t>
        </is>
      </c>
      <c r="H896" t="inlineStr">
        <is>
          <t>Bałuty blisko centrum</t>
        </is>
      </c>
      <c r="I896" t="inlineStr">
        <is>
          <t>NIE</t>
        </is>
      </c>
      <c r="J896" t="inlineStr">
        <is>
          <t>TAK</t>
        </is>
      </c>
      <c r="K896" t="n">
        <v>724988588</v>
      </c>
      <c r="L896" t="n">
        <v>310000</v>
      </c>
      <c r="M896" t="n">
        <v>7862.033984275932</v>
      </c>
      <c r="N896" t="n">
        <v>39.43</v>
      </c>
      <c r="O896" t="inlineStr">
        <is>
          <t>2+k</t>
        </is>
      </c>
      <c r="P896" t="n">
        <v>2</v>
      </c>
      <c r="Q896" t="inlineStr">
        <is>
          <t>Nie da się zamieszkać</t>
        </is>
      </c>
    </row>
    <row r="897">
      <c r="A897" t="n">
        <v>896</v>
      </c>
      <c r="B897" s="3" t="n">
        <v>45541</v>
      </c>
      <c r="D897" t="inlineStr">
        <is>
          <t>https://www.otodom.pl/pl/oferta/przestronna-kawalerka-mozliwe-wydzielenie-2-pok-ID4smwI.html</t>
        </is>
      </c>
      <c r="E897">
        <f>HYPERLINK("https://www.otodom.pl/pl/oferta/przestronna-kawalerka-mozliwe-wydzielenie-2-pok-ID4smwI.html", "https://www.otodom.pl/pl/oferta/przestronna-kawalerka-mozliwe-wydzielenie-2-pok-ID4smwI.html")</f>
        <v/>
      </c>
      <c r="F897" t="inlineStr">
        <is>
          <t>gładka</t>
        </is>
      </c>
      <c r="G897" t="inlineStr">
        <is>
          <t>Górna</t>
        </is>
      </c>
      <c r="H897" t="inlineStr">
        <is>
          <t>Daleka górna</t>
        </is>
      </c>
      <c r="I897" t="inlineStr">
        <is>
          <t>NIE</t>
        </is>
      </c>
      <c r="J897" t="inlineStr">
        <is>
          <t>TAK</t>
        </is>
      </c>
      <c r="K897" t="n">
        <v>535675786</v>
      </c>
      <c r="L897" t="n">
        <v>262000</v>
      </c>
      <c r="M897" t="n">
        <v>7485.714285714285</v>
      </c>
      <c r="N897" t="n">
        <v>35</v>
      </c>
      <c r="O897" t="inlineStr">
        <is>
          <t>1+k</t>
        </is>
      </c>
      <c r="P897" t="n">
        <v>4</v>
      </c>
      <c r="Q897" t="inlineStr">
        <is>
          <t>Nie da się zamieszkać</t>
        </is>
      </c>
    </row>
    <row r="898">
      <c r="A898" t="n">
        <v>897</v>
      </c>
      <c r="B898" s="3" t="n">
        <v>45541</v>
      </c>
      <c r="D898" t="inlineStr">
        <is>
          <t>https://www.otodom.pl/pl/oferta/m-3-46m2-teofilow-rydzowa-pelny-rozklad-ID4smxK</t>
        </is>
      </c>
      <c r="E898">
        <f>HYPERLINK("https://www.otodom.pl/pl/oferta/m-3-46m2-teofilow-rydzowa-pelny-rozklad-ID4smxK", "https://www.otodom.pl/pl/oferta/m-3-46m2-teofilow-rydzowa-pelny-rozklad-ID4smxK")</f>
        <v/>
      </c>
      <c r="F898" t="inlineStr">
        <is>
          <t>rydzowa</t>
        </is>
      </c>
      <c r="G898" t="inlineStr">
        <is>
          <t>Teofilów</t>
        </is>
      </c>
      <c r="H898" t="inlineStr">
        <is>
          <t>Teofilów</t>
        </is>
      </c>
      <c r="I898" t="inlineStr">
        <is>
          <t>NIE</t>
        </is>
      </c>
      <c r="J898" t="inlineStr">
        <is>
          <t>TAK</t>
        </is>
      </c>
      <c r="K898" t="n">
        <v>668699393</v>
      </c>
      <c r="L898" t="n">
        <v>295000</v>
      </c>
      <c r="M898" t="n">
        <v>6337.271750805586</v>
      </c>
      <c r="N898" t="n">
        <v>46.55</v>
      </c>
      <c r="O898" t="inlineStr">
        <is>
          <t>2+k</t>
        </is>
      </c>
      <c r="P898" t="n">
        <v>6</v>
      </c>
      <c r="Q898" t="inlineStr">
        <is>
          <t>Nie da się zamieszkać</t>
        </is>
      </c>
    </row>
    <row r="899">
      <c r="A899" t="n">
        <v>898</v>
      </c>
      <c r="B899" s="3" t="n">
        <v>45541</v>
      </c>
      <c r="D899" t="inlineStr">
        <is>
          <t>https://sprzedajemy.pl/sprzedam-m4-lodz-retkinia-batalionow-chlopskich-4-1b8e55-6fpbc4-nr70194480</t>
        </is>
      </c>
      <c r="E899">
        <f>HYPERLINK("https://sprzedajemy.pl/sprzedam-m4-lodz-retkinia-batalionow-chlopskich-4-1b8e55-6fpbc4-nr70194480", "https://sprzedajemy.pl/sprzedam-m4-lodz-retkinia-batalionow-chlopskich-4-1b8e55-6fpbc4-nr70194480")</f>
        <v/>
      </c>
      <c r="F899" t="inlineStr">
        <is>
          <t>batalionów chłopskich</t>
        </is>
      </c>
      <c r="G899" t="inlineStr">
        <is>
          <t>Retkinia</t>
        </is>
      </c>
      <c r="H899" t="inlineStr">
        <is>
          <t>Retkinia</t>
        </is>
      </c>
      <c r="I899" t="inlineStr">
        <is>
          <t>NIE</t>
        </is>
      </c>
      <c r="J899" t="inlineStr">
        <is>
          <t>TAK</t>
        </is>
      </c>
      <c r="K899" t="n">
        <v>733723761</v>
      </c>
      <c r="L899" t="n">
        <v>365000</v>
      </c>
      <c r="M899" t="n">
        <v>6886.792452830188</v>
      </c>
      <c r="N899" t="n">
        <v>53</v>
      </c>
      <c r="O899" t="inlineStr">
        <is>
          <t>3+k</t>
        </is>
      </c>
      <c r="P899" t="n">
        <v>4</v>
      </c>
      <c r="Q899" t="inlineStr">
        <is>
          <t>Nie da się zamieszkać</t>
        </is>
      </c>
    </row>
    <row r="900">
      <c r="A900" t="n">
        <v>899</v>
      </c>
      <c r="B900" s="3" t="n">
        <v>45541</v>
      </c>
      <c r="C900" s="3" t="n">
        <v>45548</v>
      </c>
      <c r="D900" t="inlineStr">
        <is>
          <t>https://www.otodom.pl/pl/oferta/mieszkanie-3pok-do-generalnego-remontu-widzew-ID4smL5.html</t>
        </is>
      </c>
      <c r="E900">
        <f>HYPERLINK("https://www.otodom.pl/pl/oferta/mieszkanie-3pok-do-generalnego-remontu-widzew-ID4smL5.html", "https://www.otodom.pl/pl/oferta/mieszkanie-3pok-do-generalnego-remontu-widzew-ID4smL5.html")</f>
        <v/>
      </c>
      <c r="F900" t="inlineStr">
        <is>
          <t>miedziana</t>
        </is>
      </c>
      <c r="G900" t="inlineStr">
        <is>
          <t>Śródmieście</t>
        </is>
      </c>
      <c r="H900" t="inlineStr">
        <is>
          <t>Śródmieście</t>
        </is>
      </c>
      <c r="I900" t="inlineStr">
        <is>
          <t>TAK</t>
        </is>
      </c>
      <c r="J900" t="inlineStr">
        <is>
          <t>TAK</t>
        </is>
      </c>
      <c r="K900" t="n">
        <v>725100288</v>
      </c>
      <c r="L900" t="n">
        <v>349000</v>
      </c>
      <c r="M900" t="n">
        <v>6308.749096167751</v>
      </c>
      <c r="N900" t="n">
        <v>55.32</v>
      </c>
      <c r="O900" t="inlineStr">
        <is>
          <t>3+k</t>
        </is>
      </c>
      <c r="P900" t="n">
        <v>4</v>
      </c>
      <c r="Q900" t="inlineStr">
        <is>
          <t>Nie da się zamieszkać</t>
        </is>
      </c>
    </row>
    <row r="901">
      <c r="A901" t="n">
        <v>900</v>
      </c>
      <c r="B901" s="3" t="n">
        <v>45541</v>
      </c>
      <c r="D901" t="inlineStr">
        <is>
          <t>https://www.otodom.pl/pl/oferta/lodz-widzew-najtansze-2pokoje-do-remontu-balkon-ID4slTT.html</t>
        </is>
      </c>
      <c r="E901">
        <f>HYPERLINK("https://www.otodom.pl/pl/oferta/lodz-widzew-najtansze-2pokoje-do-remontu-balkon-ID4slTT.html", "https://www.otodom.pl/pl/oferta/lodz-widzew-najtansze-2pokoje-do-remontu-balkon-ID4slTT.html")</f>
        <v/>
      </c>
      <c r="F901" t="inlineStr">
        <is>
          <t>zbiorcza</t>
        </is>
      </c>
      <c r="G901" t="inlineStr">
        <is>
          <t>Widzew</t>
        </is>
      </c>
      <c r="H901" t="inlineStr">
        <is>
          <t>Widzew blisko centrum</t>
        </is>
      </c>
      <c r="I901" t="inlineStr">
        <is>
          <t>NIE</t>
        </is>
      </c>
      <c r="J901" t="inlineStr">
        <is>
          <t>NIE</t>
        </is>
      </c>
      <c r="K901" t="n">
        <v>663231751</v>
      </c>
      <c r="L901" t="n">
        <v>397700</v>
      </c>
      <c r="M901" t="n">
        <v>7101.785714285715</v>
      </c>
      <c r="N901" t="n">
        <v>56</v>
      </c>
      <c r="O901" t="inlineStr">
        <is>
          <t>2+k</t>
        </is>
      </c>
      <c r="P901" t="n">
        <v>2</v>
      </c>
      <c r="Q901" t="inlineStr">
        <is>
          <t>Puste posprzątane</t>
        </is>
      </c>
    </row>
    <row r="902">
      <c r="A902" t="n">
        <v>901</v>
      </c>
      <c r="B902" s="3" t="n">
        <v>45541</v>
      </c>
      <c r="D902" t="inlineStr">
        <is>
          <t>https://www.olx.pl/d/oferta/mieszkanie-2-pokojowe-z-CID3-ID11P6uu.html?isPreviewActive=0&amp;sliderIndex=6</t>
        </is>
      </c>
      <c r="E902">
        <f>HYPERLINK("https://www.olx.pl/d/oferta/mieszkanie-2-pokojowe-z-CID3-ID11P6uu.html?isPreviewActive=0&amp;sliderIndex=6", "https://www.olx.pl/d/oferta/mieszkanie-2-pokojowe-z-CID3-ID11P6uu.html?isPreviewActive=0&amp;sliderIndex=6")</f>
        <v/>
      </c>
      <c r="F902" t="inlineStr">
        <is>
          <t>grota rowieckiego</t>
        </is>
      </c>
      <c r="G902" t="inlineStr">
        <is>
          <t>Widzew</t>
        </is>
      </c>
      <c r="H902" t="inlineStr">
        <is>
          <t>Widzew blisko centrum</t>
        </is>
      </c>
      <c r="I902" t="inlineStr">
        <is>
          <t>NIE</t>
        </is>
      </c>
      <c r="J902" t="inlineStr">
        <is>
          <t>NIE</t>
        </is>
      </c>
      <c r="K902" t="n">
        <v>601254832</v>
      </c>
      <c r="L902" t="n">
        <v>360000</v>
      </c>
      <c r="M902" t="n">
        <v>7826.086956521739</v>
      </c>
      <c r="N902" t="n">
        <v>46</v>
      </c>
      <c r="O902" t="inlineStr">
        <is>
          <t>2+k</t>
        </is>
      </c>
      <c r="P902" t="n">
        <v>2</v>
      </c>
      <c r="Q902" t="inlineStr">
        <is>
          <t>Nie da się zamieszkać</t>
        </is>
      </c>
    </row>
    <row r="903">
      <c r="A903" t="n">
        <v>902</v>
      </c>
      <c r="B903" s="3" t="n">
        <v>45542</v>
      </c>
      <c r="D903" t="inlineStr">
        <is>
          <t>https://www.otodom.pl/pl/oferta/sprzedam-mieszkanie-52m-tylko-gotwoka-ID4smMf.html</t>
        </is>
      </c>
      <c r="E903">
        <f>HYPERLINK("https://www.otodom.pl/pl/oferta/sprzedam-mieszkanie-52m-tylko-gotwoka-ID4smMf.html", "https://www.otodom.pl/pl/oferta/sprzedam-mieszkanie-52m-tylko-gotwoka-ID4smMf.html")</f>
        <v/>
      </c>
      <c r="F903" t="inlineStr">
        <is>
          <t>.</t>
        </is>
      </c>
      <c r="G903" t="inlineStr">
        <is>
          <t>Widzew</t>
        </is>
      </c>
      <c r="H903" t="inlineStr">
        <is>
          <t>Widzew</t>
        </is>
      </c>
      <c r="I903" t="inlineStr">
        <is>
          <t>NIE</t>
        </is>
      </c>
      <c r="J903" t="inlineStr">
        <is>
          <t>NIE</t>
        </is>
      </c>
      <c r="K903" t="n">
        <v>511731619</v>
      </c>
      <c r="L903" t="n">
        <v>380000</v>
      </c>
      <c r="M903" t="n">
        <v>7307.692307692308</v>
      </c>
      <c r="N903" t="n">
        <v>52</v>
      </c>
      <c r="O903" t="inlineStr">
        <is>
          <t>3+k</t>
        </is>
      </c>
      <c r="P903" t="n">
        <v>2</v>
      </c>
      <c r="Q903" t="inlineStr">
        <is>
          <t>Nie da się zamieszkać</t>
        </is>
      </c>
    </row>
    <row r="904">
      <c r="A904" t="n">
        <v>903</v>
      </c>
      <c r="B904" s="3" t="n">
        <v>45542</v>
      </c>
      <c r="D904" t="inlineStr">
        <is>
          <t>https://www.otodom.pl/pl/oferta/mieszkanie-2-pokojowe-na-kozinach-polesie-ID4smYR</t>
        </is>
      </c>
      <c r="E904">
        <f>HYPERLINK("https://www.otodom.pl/pl/oferta/mieszkanie-2-pokojowe-na-kozinach-polesie-ID4smYR", "https://www.otodom.pl/pl/oferta/mieszkanie-2-pokojowe-na-kozinach-polesie-ID4smYR")</f>
        <v/>
      </c>
      <c r="F904" t="inlineStr">
        <is>
          <t>odolanowska</t>
        </is>
      </c>
      <c r="G904" t="inlineStr">
        <is>
          <t>Polesie</t>
        </is>
      </c>
      <c r="H904" t="inlineStr">
        <is>
          <t>Polesie</t>
        </is>
      </c>
      <c r="I904" t="inlineStr">
        <is>
          <t>NIE</t>
        </is>
      </c>
      <c r="J904" t="inlineStr">
        <is>
          <t>NIE</t>
        </is>
      </c>
      <c r="K904" t="n">
        <v>692591379</v>
      </c>
      <c r="L904" t="n">
        <v>354000</v>
      </c>
      <c r="M904" t="n">
        <v>7965.796579657967</v>
      </c>
      <c r="N904" t="n">
        <v>44.44</v>
      </c>
      <c r="O904" t="inlineStr">
        <is>
          <t>2+k</t>
        </is>
      </c>
      <c r="P904" t="n">
        <v>1</v>
      </c>
      <c r="Q904" t="inlineStr">
        <is>
          <t>Nie da się zamieszkać</t>
        </is>
      </c>
    </row>
    <row r="905">
      <c r="A905" t="n">
        <v>904</v>
      </c>
      <c r="B905" s="3" t="n">
        <v>45542</v>
      </c>
      <c r="D905" t="inlineStr">
        <is>
          <t>https://www.otodom.pl/pl/oferta/teofilow-rozkladowe-2-pokoje-zielen-ID4sfGR.html</t>
        </is>
      </c>
      <c r="E905">
        <f>HYPERLINK("https://www.otodom.pl/pl/oferta/teofilow-rozkladowe-2-pokoje-zielen-ID4sfGR.html", "https://www.otodom.pl/pl/oferta/teofilow-rozkladowe-2-pokoje-zielen-ID4sfGR.html")</f>
        <v/>
      </c>
      <c r="F905" t="inlineStr">
        <is>
          <t xml:space="preserve">wici </t>
        </is>
      </c>
      <c r="G905" t="inlineStr">
        <is>
          <t>Teofilów</t>
        </is>
      </c>
      <c r="H905" t="inlineStr">
        <is>
          <t>Teofilów</t>
        </is>
      </c>
      <c r="I905" t="inlineStr">
        <is>
          <t>NIE</t>
        </is>
      </c>
      <c r="J905" t="inlineStr">
        <is>
          <t>TAK</t>
        </is>
      </c>
      <c r="K905" t="n">
        <v>511000217</v>
      </c>
      <c r="L905" t="n">
        <v>297000</v>
      </c>
      <c r="M905" t="n">
        <v>6580.988256148903</v>
      </c>
      <c r="N905" t="n">
        <v>45.13</v>
      </c>
      <c r="O905" t="inlineStr">
        <is>
          <t>2+k</t>
        </is>
      </c>
      <c r="P905" t="n">
        <v>0</v>
      </c>
      <c r="Q905" t="inlineStr">
        <is>
          <t>Nie da się zamieszkać</t>
        </is>
      </c>
      <c r="R905" t="inlineStr">
        <is>
          <t>14.09 było 310k</t>
        </is>
      </c>
    </row>
    <row r="906">
      <c r="A906" t="n">
        <v>905</v>
      </c>
      <c r="B906" s="3" t="n">
        <v>45542</v>
      </c>
      <c r="C906" s="3" t="n">
        <v>45548</v>
      </c>
      <c r="D906" t="inlineStr">
        <is>
          <t>https://adresowo.pl/o/j7r0v2</t>
        </is>
      </c>
      <c r="E906">
        <f>HYPERLINK("https://adresowo.pl/o/j7r0v2", "https://adresowo.pl/o/j7r0v2")</f>
        <v/>
      </c>
      <c r="F906" t="inlineStr">
        <is>
          <t>boya żeleńskiego</t>
        </is>
      </c>
      <c r="G906" t="inlineStr">
        <is>
          <t>Bałuty</t>
        </is>
      </c>
      <c r="H906" t="inlineStr">
        <is>
          <t>Bałuty blisko centrum</t>
        </is>
      </c>
      <c r="I906" t="inlineStr">
        <is>
          <t>TAK</t>
        </is>
      </c>
      <c r="J906" t="inlineStr">
        <is>
          <t>TAK</t>
        </is>
      </c>
      <c r="L906" t="n">
        <v>375000</v>
      </c>
      <c r="M906" t="n">
        <v>7075.471698113208</v>
      </c>
      <c r="N906" t="n">
        <v>53</v>
      </c>
      <c r="O906" t="inlineStr">
        <is>
          <t>2+k</t>
        </is>
      </c>
      <c r="P906" t="n">
        <v>2</v>
      </c>
      <c r="Q906" t="inlineStr">
        <is>
          <t>Nie da się zamieszkać</t>
        </is>
      </c>
    </row>
    <row r="907">
      <c r="A907" t="n">
        <v>906</v>
      </c>
      <c r="B907" s="3" t="n">
        <v>45542</v>
      </c>
      <c r="D907" t="inlineStr">
        <is>
          <t>https://adresowo.pl/o/q4n1s3</t>
        </is>
      </c>
      <c r="E907">
        <f>HYPERLINK("https://adresowo.pl/o/q4n1s3", "https://adresowo.pl/o/q4n1s3")</f>
        <v/>
      </c>
      <c r="F907" t="inlineStr">
        <is>
          <t>przełajowa</t>
        </is>
      </c>
      <c r="G907" t="inlineStr">
        <is>
          <t>Retkinia</t>
        </is>
      </c>
      <c r="H907" t="inlineStr">
        <is>
          <t>Retkinia</t>
        </is>
      </c>
      <c r="I907" t="inlineStr">
        <is>
          <t>NIE</t>
        </is>
      </c>
      <c r="J907" t="inlineStr">
        <is>
          <t>TAK</t>
        </is>
      </c>
      <c r="L907" t="n">
        <v>420000</v>
      </c>
      <c r="M907" t="n">
        <v>7924.528301886792</v>
      </c>
      <c r="N907" t="n">
        <v>53</v>
      </c>
      <c r="O907" t="inlineStr">
        <is>
          <t>3+k</t>
        </is>
      </c>
      <c r="P907" t="n">
        <v>2</v>
      </c>
      <c r="Q907" t="inlineStr">
        <is>
          <t>Nie da się zamieszkać</t>
        </is>
      </c>
    </row>
    <row r="908">
      <c r="A908" t="n">
        <v>907</v>
      </c>
      <c r="B908" s="3" t="n">
        <v>45542</v>
      </c>
      <c r="D908" t="inlineStr">
        <is>
          <t>https://www.okolica.pl/offer/show/57630-S-32703_3685_OMS/formular</t>
        </is>
      </c>
      <c r="E908">
        <f>HYPERLINK("https://www.okolica.pl/offer/show/57630-S-32703_3685_OMS/formular", "https://www.okolica.pl/offer/show/57630-S-32703_3685_OMS/formular")</f>
        <v/>
      </c>
      <c r="F908" t="inlineStr">
        <is>
          <t xml:space="preserve">lorentza </t>
        </is>
      </c>
      <c r="G908" t="inlineStr">
        <is>
          <t>Polesie</t>
        </is>
      </c>
      <c r="H908" t="inlineStr">
        <is>
          <t>Polesie</t>
        </is>
      </c>
      <c r="I908" t="inlineStr">
        <is>
          <t>NIE</t>
        </is>
      </c>
      <c r="J908" t="inlineStr">
        <is>
          <t>TAK</t>
        </is>
      </c>
      <c r="K908" t="n">
        <v>423072001</v>
      </c>
      <c r="L908" t="n">
        <v>284300</v>
      </c>
      <c r="M908" t="n">
        <v>6749.762583095917</v>
      </c>
      <c r="N908" t="n">
        <v>42.12</v>
      </c>
      <c r="O908" t="inlineStr">
        <is>
          <t>2+k</t>
        </is>
      </c>
      <c r="P908" t="n">
        <v>4</v>
      </c>
      <c r="Q908" t="inlineStr">
        <is>
          <t>Nie da się zamieszkać</t>
        </is>
      </c>
      <c r="R908" t="inlineStr">
        <is>
          <t>to prawdopodobnie nie dubel</t>
        </is>
      </c>
      <c r="T908" t="inlineStr">
        <is>
          <t>442</t>
        </is>
      </c>
    </row>
    <row r="909">
      <c r="A909" t="n">
        <v>908</v>
      </c>
      <c r="B909" s="3" t="n">
        <v>45542</v>
      </c>
      <c r="D909" t="inlineStr">
        <is>
          <t>https://www.otodom.pl/pl/oferta/galancie-tanio-i-na-balutach-lepiej-nie-mozna-ID4sn7s</t>
        </is>
      </c>
      <c r="E909">
        <f>HYPERLINK("https://www.otodom.pl/pl/oferta/galancie-tanio-i-na-balutach-lepiej-nie-mozna-ID4sn7s", "https://www.otodom.pl/pl/oferta/galancie-tanio-i-na-balutach-lepiej-nie-mozna-ID4sn7s")</f>
        <v/>
      </c>
      <c r="F909" t="inlineStr">
        <is>
          <t>młynarska</t>
        </is>
      </c>
      <c r="G909" t="inlineStr">
        <is>
          <t>Bałuty</t>
        </is>
      </c>
      <c r="H909" t="inlineStr">
        <is>
          <t>Bałuty</t>
        </is>
      </c>
      <c r="I909" t="inlineStr">
        <is>
          <t>NIE</t>
        </is>
      </c>
      <c r="J909" t="inlineStr">
        <is>
          <t>TAK</t>
        </is>
      </c>
      <c r="K909" t="n">
        <v>797581761</v>
      </c>
      <c r="L909" t="n">
        <v>398000</v>
      </c>
      <c r="M909" t="n">
        <v>7624.521072796934</v>
      </c>
      <c r="N909" t="n">
        <v>52.2</v>
      </c>
      <c r="O909" t="inlineStr">
        <is>
          <t>2+k</t>
        </is>
      </c>
      <c r="P909" t="n">
        <v>3</v>
      </c>
      <c r="Q909" t="inlineStr">
        <is>
          <t>Nie da się zamieszkać</t>
        </is>
      </c>
    </row>
    <row r="910">
      <c r="A910" t="n">
        <v>909</v>
      </c>
      <c r="B910" s="3" t="n">
        <v>45542</v>
      </c>
      <c r="D910" t="inlineStr">
        <is>
          <t>https://gratka.pl/nieruchomosci/mieszkanie-lodz/ob/36933685</t>
        </is>
      </c>
      <c r="E910">
        <f>HYPERLINK("https://gratka.pl/nieruchomosci/mieszkanie-lodz/ob/36933685", "https://gratka.pl/nieruchomosci/mieszkanie-lodz/ob/36933685")</f>
        <v/>
      </c>
      <c r="F910" t="inlineStr">
        <is>
          <t>dworzec widzew</t>
        </is>
      </c>
      <c r="G910" t="inlineStr">
        <is>
          <t>Widzew</t>
        </is>
      </c>
      <c r="H910" t="inlineStr">
        <is>
          <t>Widzew</t>
        </is>
      </c>
      <c r="I910" t="inlineStr">
        <is>
          <t>NIE</t>
        </is>
      </c>
      <c r="J910" t="inlineStr">
        <is>
          <t>TAK</t>
        </is>
      </c>
      <c r="K910" t="n">
        <v>511014820</v>
      </c>
      <c r="L910" t="n">
        <v>349000</v>
      </c>
      <c r="M910" t="n">
        <v>6843.137254901961</v>
      </c>
      <c r="N910" t="n">
        <v>51</v>
      </c>
      <c r="O910" t="inlineStr">
        <is>
          <t>3+k</t>
        </is>
      </c>
      <c r="P910" t="n">
        <v>4</v>
      </c>
      <c r="Q910" t="inlineStr">
        <is>
          <t>Nie da się zamieszkać</t>
        </is>
      </c>
    </row>
    <row r="911">
      <c r="A911" t="n">
        <v>910</v>
      </c>
      <c r="B911" s="3" t="n">
        <v>45542</v>
      </c>
      <c r="D911" t="inlineStr">
        <is>
          <t>https://www.oferty.net/mieszkanie-na-sprzedaz-lodz-gorna-36m2-2-pokoje-279000-pln-ba,1539370046</t>
        </is>
      </c>
      <c r="E911">
        <f>HYPERLINK("https://www.oferty.net/mieszkanie-na-sprzedaz-lodz-gorna-36m2-2-pokoje-279000-pln-ba,1539370046", "https://www.oferty.net/mieszkanie-na-sprzedaz-lodz-gorna-36m2-2-pokoje-279000-pln-ba,1539370046")</f>
        <v/>
      </c>
      <c r="F911" t="inlineStr">
        <is>
          <t xml:space="preserve">gałczyńskiego </t>
        </is>
      </c>
      <c r="G911" t="inlineStr">
        <is>
          <t>Dąbrowa</t>
        </is>
      </c>
      <c r="H911" t="inlineStr">
        <is>
          <t>Dąbrowa</t>
        </is>
      </c>
      <c r="I911" t="inlineStr">
        <is>
          <t>NIE</t>
        </is>
      </c>
      <c r="J911" t="inlineStr">
        <is>
          <t>TAK</t>
        </is>
      </c>
      <c r="K911" t="n">
        <v>661097154</v>
      </c>
      <c r="L911" t="n">
        <v>279000</v>
      </c>
      <c r="M911" t="n">
        <v>7750</v>
      </c>
      <c r="N911" t="n">
        <v>36</v>
      </c>
      <c r="O911" t="inlineStr">
        <is>
          <t>2+k</t>
        </is>
      </c>
      <c r="P911" t="n">
        <v>3</v>
      </c>
      <c r="Q911" t="inlineStr">
        <is>
          <t>Nie da się zamieszkać</t>
        </is>
      </c>
    </row>
    <row r="912">
      <c r="A912" t="n">
        <v>911</v>
      </c>
      <c r="B912" s="3" t="n">
        <v>45543</v>
      </c>
      <c r="D912" t="inlineStr">
        <is>
          <t>https://szybko.pl/o/na-sprzedaz/lokal-mieszkalny/Łódź+Górna/oferta-15412548</t>
        </is>
      </c>
      <c r="E912">
        <f>HYPERLINK("https://szybko.pl/o/na-sprzedaz/lokal-mieszkalny/Łódź+Górna/oferta-15412548", "https://szybko.pl/o/na-sprzedaz/lokal-mieszkalny/Łódź+Górna/oferta-15412548")</f>
        <v/>
      </c>
      <c r="F912" t="inlineStr">
        <is>
          <t>łomżyńska</t>
        </is>
      </c>
      <c r="G912" t="inlineStr">
        <is>
          <t>Górna</t>
        </is>
      </c>
      <c r="H912" t="inlineStr">
        <is>
          <t>Górna</t>
        </is>
      </c>
      <c r="I912" t="inlineStr">
        <is>
          <t>NIE</t>
        </is>
      </c>
      <c r="J912" t="inlineStr">
        <is>
          <t>TAK</t>
        </is>
      </c>
      <c r="K912" t="n">
        <v>733917222</v>
      </c>
      <c r="L912" t="n">
        <v>354000</v>
      </c>
      <c r="M912" t="n">
        <v>7375</v>
      </c>
      <c r="N912" t="n">
        <v>48</v>
      </c>
      <c r="O912" t="inlineStr">
        <is>
          <t>2+k</t>
        </is>
      </c>
      <c r="P912" t="n">
        <v>3</v>
      </c>
      <c r="Q912" t="inlineStr">
        <is>
          <t>Nie da się zamieszkać</t>
        </is>
      </c>
    </row>
    <row r="913">
      <c r="A913" t="n">
        <v>912</v>
      </c>
      <c r="B913" s="3" t="n">
        <v>45543</v>
      </c>
      <c r="D913" t="inlineStr">
        <is>
          <t>https://www.olx.pl/d/oferta/mieszkanie-39-5-m2-m3-rozklad-CID3-ID11Qdgg.html?isPreviewActive=0&amp;sliderIndex=0</t>
        </is>
      </c>
      <c r="E913">
        <f>HYPERLINK("https://www.olx.pl/d/oferta/mieszkanie-39-5-m2-m3-rozklad-CID3-ID11Qdgg.html?isPreviewActive=0&amp;sliderIndex=0", "https://www.olx.pl/d/oferta/mieszkanie-39-5-m2-m3-rozklad-CID3-ID11Qdgg.html?isPreviewActive=0&amp;sliderIndex=0")</f>
        <v/>
      </c>
      <c r="F913" t="inlineStr">
        <is>
          <t>gojawiczyńska</t>
        </is>
      </c>
      <c r="G913" t="inlineStr">
        <is>
          <t>Dąbrowa</t>
        </is>
      </c>
      <c r="H913" t="inlineStr">
        <is>
          <t>Dąbrowa</t>
        </is>
      </c>
      <c r="I913" t="inlineStr">
        <is>
          <t>NIE</t>
        </is>
      </c>
      <c r="J913" t="inlineStr">
        <is>
          <t>TAK</t>
        </is>
      </c>
      <c r="K913" t="n">
        <v>512580700</v>
      </c>
      <c r="L913" t="n">
        <v>316000</v>
      </c>
      <c r="M913" t="n">
        <v>8000</v>
      </c>
      <c r="N913" t="n">
        <v>39.5</v>
      </c>
      <c r="O913" t="inlineStr">
        <is>
          <t>2+k</t>
        </is>
      </c>
      <c r="P913" t="n">
        <v>0</v>
      </c>
      <c r="Q913" t="inlineStr">
        <is>
          <t>Nie da się zamieszkać</t>
        </is>
      </c>
    </row>
    <row r="914">
      <c r="A914" t="n">
        <v>913</v>
      </c>
      <c r="B914" s="3" t="n">
        <v>45543</v>
      </c>
      <c r="D914" t="inlineStr">
        <is>
          <t>https://www.olx.pl/d/oferta/sprzedam-mieszkanie-m-3-CID3-ID11QIQ1.html?isPreviewActive=0&amp;sliderIndex=7</t>
        </is>
      </c>
      <c r="E914">
        <f>HYPERLINK("https://www.olx.pl/d/oferta/sprzedam-mieszkanie-m-3-CID3-ID11QIQ1.html?isPreviewActive=0&amp;sliderIndex=7", "https://www.olx.pl/d/oferta/sprzedam-mieszkanie-m-3-CID3-ID11QIQ1.html?isPreviewActive=0&amp;sliderIndex=7")</f>
        <v/>
      </c>
      <c r="F914" t="inlineStr">
        <is>
          <t>.</t>
        </is>
      </c>
      <c r="G914" t="inlineStr">
        <is>
          <t>Teofilów</t>
        </is>
      </c>
      <c r="H914" t="inlineStr">
        <is>
          <t>Teofilów</t>
        </is>
      </c>
      <c r="I914" t="inlineStr">
        <is>
          <t>NIE</t>
        </is>
      </c>
      <c r="J914" t="inlineStr">
        <is>
          <t>TAK</t>
        </is>
      </c>
      <c r="K914" t="n">
        <v>533033458</v>
      </c>
      <c r="L914" t="n">
        <v>320000</v>
      </c>
      <c r="M914" t="n">
        <v>7078.0800707808</v>
      </c>
      <c r="N914" t="n">
        <v>45.21</v>
      </c>
      <c r="O914" t="inlineStr">
        <is>
          <t>2+k</t>
        </is>
      </c>
      <c r="P914" t="n">
        <v>2</v>
      </c>
      <c r="Q914" t="inlineStr">
        <is>
          <t>Nie da się zamieszkać</t>
        </is>
      </c>
    </row>
    <row r="915">
      <c r="A915" t="n">
        <v>914</v>
      </c>
      <c r="B915" s="3" t="n">
        <v>45544</v>
      </c>
      <c r="D915" t="inlineStr">
        <is>
          <t>https://szybko.pl/o/na-sprzedaz/lokal-mieszkalny/Łódź+Bałuty/oferta-15266449</t>
        </is>
      </c>
      <c r="E915">
        <f>HYPERLINK("https://szybko.pl/o/na-sprzedaz/lokal-mieszkalny/Łódź+Bałuty/oferta-15266449", "https://szybko.pl/o/na-sprzedaz/lokal-mieszkalny/Łódź+Bałuty/oferta-15266449")</f>
        <v/>
      </c>
      <c r="F915" t="inlineStr">
        <is>
          <t>limanowskiego</t>
        </is>
      </c>
      <c r="G915" t="inlineStr">
        <is>
          <t>Bałuty</t>
        </is>
      </c>
      <c r="H915" t="inlineStr">
        <is>
          <t>Bałuty blisko centrum</t>
        </is>
      </c>
      <c r="I915" t="inlineStr">
        <is>
          <t>NIE</t>
        </is>
      </c>
      <c r="J915" t="inlineStr">
        <is>
          <t>TAK</t>
        </is>
      </c>
      <c r="K915" t="n">
        <v>796930690</v>
      </c>
      <c r="L915" t="n">
        <v>385000</v>
      </c>
      <c r="M915" t="n">
        <v>6754.385964912281</v>
      </c>
      <c r="N915" t="n">
        <v>57</v>
      </c>
      <c r="O915" t="inlineStr">
        <is>
          <t>2+k</t>
        </is>
      </c>
      <c r="P915" t="n">
        <v>8</v>
      </c>
      <c r="Q915" t="inlineStr">
        <is>
          <t>Puste</t>
        </is>
      </c>
    </row>
    <row r="916">
      <c r="A916" t="n">
        <v>915</v>
      </c>
      <c r="B916" s="3" t="n">
        <v>45544</v>
      </c>
      <c r="D916" t="inlineStr">
        <is>
          <t>https://www.otodom.pl/pl/oferta/mieszkanie-45-13-m-lodz-ID4snYn.html</t>
        </is>
      </c>
      <c r="E916">
        <f>HYPERLINK("https://www.otodom.pl/pl/oferta/mieszkanie-45-13-m-lodz-ID4snYn.html", "https://www.otodom.pl/pl/oferta/mieszkanie-45-13-m-lodz-ID4snYn.html")</f>
        <v/>
      </c>
      <c r="F916" t="inlineStr">
        <is>
          <t>rojna</t>
        </is>
      </c>
      <c r="G916" t="inlineStr">
        <is>
          <t>Teofilów</t>
        </is>
      </c>
      <c r="H916" t="inlineStr">
        <is>
          <t>Teofilów</t>
        </is>
      </c>
      <c r="I916" t="inlineStr">
        <is>
          <t>NIE</t>
        </is>
      </c>
      <c r="J916" t="inlineStr">
        <is>
          <t>TAK</t>
        </is>
      </c>
      <c r="K916" t="n">
        <v>511000217</v>
      </c>
      <c r="L916" t="n">
        <v>325000</v>
      </c>
      <c r="M916" t="n">
        <v>7158.590308370044</v>
      </c>
      <c r="N916" t="n">
        <v>45.4</v>
      </c>
      <c r="O916" t="inlineStr">
        <is>
          <t>2+k</t>
        </is>
      </c>
      <c r="P916" t="n">
        <v>2</v>
      </c>
      <c r="Q916" t="inlineStr">
        <is>
          <t>Nie da się zamieszkać</t>
        </is>
      </c>
    </row>
    <row r="917">
      <c r="A917" t="n">
        <v>916</v>
      </c>
      <c r="B917" s="3" t="n">
        <v>45544</v>
      </c>
      <c r="D917" t="inlineStr">
        <is>
          <t>https://www.olx.pl/d/oferta/centrum-ulica-sterlinga-dwa-rozkladowe-pokoje-CID3-ID117f05.html</t>
        </is>
      </c>
      <c r="E917">
        <f>HYPERLINK("https://www.olx.pl/d/oferta/centrum-ulica-sterlinga-dwa-rozkladowe-pokoje-CID3-ID117f05.html", "https://www.olx.pl/d/oferta/centrum-ulica-sterlinga-dwa-rozkladowe-pokoje-CID3-ID117f05.html")</f>
        <v/>
      </c>
      <c r="F917" t="inlineStr">
        <is>
          <t>przyszkole</t>
        </is>
      </c>
      <c r="G917" t="inlineStr">
        <is>
          <t>Górna</t>
        </is>
      </c>
      <c r="H917" t="inlineStr">
        <is>
          <t>Górna</t>
        </is>
      </c>
      <c r="I917" t="inlineStr">
        <is>
          <t>NIE</t>
        </is>
      </c>
      <c r="J917" t="inlineStr">
        <is>
          <t>TAK</t>
        </is>
      </c>
      <c r="K917" t="n">
        <v>732850551</v>
      </c>
      <c r="L917" t="n">
        <v>300000</v>
      </c>
      <c r="M917" t="n">
        <v>6259.127894846652</v>
      </c>
      <c r="N917" t="n">
        <v>47.93</v>
      </c>
      <c r="O917" t="inlineStr">
        <is>
          <t>2+k</t>
        </is>
      </c>
      <c r="P917" t="n">
        <v>0</v>
      </c>
      <c r="Q917" t="inlineStr">
        <is>
          <t>Nie da się zamieszkać</t>
        </is>
      </c>
    </row>
    <row r="918">
      <c r="A918" t="n">
        <v>917</v>
      </c>
      <c r="B918" s="3" t="n">
        <v>45544</v>
      </c>
      <c r="D918" t="inlineStr">
        <is>
          <t>https://adresowo.pl/o/v1p3t5</t>
        </is>
      </c>
      <c r="E918">
        <f>HYPERLINK("https://adresowo.pl/o/v1p3t5", "https://adresowo.pl/o/v1p3t5")</f>
        <v/>
      </c>
      <c r="F918" t="inlineStr">
        <is>
          <t>.</t>
        </is>
      </c>
      <c r="G918" t="inlineStr">
        <is>
          <t>Widzew</t>
        </is>
      </c>
      <c r="H918" t="inlineStr">
        <is>
          <t>Widzew</t>
        </is>
      </c>
      <c r="I918" t="inlineStr">
        <is>
          <t>NIE</t>
        </is>
      </c>
      <c r="J918" t="inlineStr">
        <is>
          <t>NIE</t>
        </is>
      </c>
      <c r="L918" t="n">
        <v>380000</v>
      </c>
      <c r="M918" t="n">
        <v>7307.692307692308</v>
      </c>
      <c r="N918" t="n">
        <v>52</v>
      </c>
      <c r="O918" t="inlineStr">
        <is>
          <t>2+k</t>
        </is>
      </c>
      <c r="P918" t="n">
        <v>5</v>
      </c>
      <c r="Q918" t="inlineStr">
        <is>
          <t>Nie da się zamieszkać</t>
        </is>
      </c>
    </row>
    <row r="919">
      <c r="A919" t="n">
        <v>918</v>
      </c>
      <c r="B919" s="3" t="n">
        <v>45544</v>
      </c>
      <c r="D919" t="inlineStr">
        <is>
          <t>https://www.otodom.pl/pl/oferta/m3-karolew-ul-bratyslawska-ID4sov0.html</t>
        </is>
      </c>
      <c r="E919">
        <f>HYPERLINK("https://www.otodom.pl/pl/oferta/m3-karolew-ul-bratyslawska-ID4sov0.html", "https://www.otodom.pl/pl/oferta/m3-karolew-ul-bratyslawska-ID4sov0.html")</f>
        <v/>
      </c>
      <c r="F919" t="inlineStr">
        <is>
          <t>bratysławska</t>
        </is>
      </c>
      <c r="G919" t="inlineStr">
        <is>
          <t>Retkinia</t>
        </is>
      </c>
      <c r="H919" t="inlineStr">
        <is>
          <t>Retkinia blisko centrum</t>
        </is>
      </c>
      <c r="I919" t="inlineStr">
        <is>
          <t>NIE</t>
        </is>
      </c>
      <c r="J919" t="inlineStr">
        <is>
          <t>TAK</t>
        </is>
      </c>
      <c r="K919" t="n">
        <v>509655943</v>
      </c>
      <c r="L919" t="n">
        <v>239000</v>
      </c>
      <c r="M919" t="n">
        <v>6289.473684210527</v>
      </c>
      <c r="N919" t="n">
        <v>38</v>
      </c>
      <c r="O919" t="inlineStr">
        <is>
          <t>2+k</t>
        </is>
      </c>
      <c r="P919" t="n">
        <v>1</v>
      </c>
      <c r="Q919" t="inlineStr">
        <is>
          <t>Nie da się zamieszkać</t>
        </is>
      </c>
      <c r="R919" t="inlineStr">
        <is>
          <t>12.09 było 245k</t>
        </is>
      </c>
    </row>
    <row r="920">
      <c r="A920" t="n">
        <v>919</v>
      </c>
      <c r="B920" s="3" t="n">
        <v>45544</v>
      </c>
      <c r="D920" t="inlineStr">
        <is>
          <t>https://www.otodom.pl/pl/oferta/kawalerka-m2-32-52m2-centrum-bezposrednio-ID4rtIj.html</t>
        </is>
      </c>
      <c r="E920">
        <f>HYPERLINK("https://www.otodom.pl/pl/oferta/kawalerka-m2-32-52m2-centrum-bezposrednio-ID4rtIj.html", "https://www.otodom.pl/pl/oferta/kawalerka-m2-32-52m2-centrum-bezposrednio-ID4rtIj.html")</f>
        <v/>
      </c>
      <c r="F920" t="inlineStr">
        <is>
          <t>monopolis</t>
        </is>
      </c>
      <c r="G920" t="inlineStr">
        <is>
          <t>Widzew</t>
        </is>
      </c>
      <c r="H920" t="inlineStr">
        <is>
          <t>Widzew blisko centrum</t>
        </is>
      </c>
      <c r="I920" t="inlineStr">
        <is>
          <t>NIE</t>
        </is>
      </c>
      <c r="J920" t="inlineStr">
        <is>
          <t>NIE</t>
        </is>
      </c>
      <c r="K920" t="n">
        <v>504174434</v>
      </c>
      <c r="L920" t="n">
        <v>250000</v>
      </c>
      <c r="M920" t="n">
        <v>7038.288288288288</v>
      </c>
      <c r="N920" t="n">
        <v>35.52</v>
      </c>
      <c r="O920" t="inlineStr">
        <is>
          <t>1+k</t>
        </is>
      </c>
      <c r="P920" t="n">
        <v>4</v>
      </c>
      <c r="Q920" t="inlineStr">
        <is>
          <t>Nie da się zamieszkać</t>
        </is>
      </c>
    </row>
    <row r="921">
      <c r="A921" t="n">
        <v>920</v>
      </c>
      <c r="B921" s="3" t="n">
        <v>45544</v>
      </c>
      <c r="C921" s="3" t="n">
        <v>45548</v>
      </c>
      <c r="D921" t="inlineStr">
        <is>
          <t>https://www.olx.pl/d/oferta/przy-parku-staromiejskim-blisko-manufaktura-CID3-ID11RCBV.html</t>
        </is>
      </c>
      <c r="E921">
        <f>HYPERLINK("https://www.olx.pl/d/oferta/przy-parku-staromiejskim-blisko-manufaktura-CID3-ID11RCBV.html", "https://www.olx.pl/d/oferta/przy-parku-staromiejskim-blisko-manufaktura-CID3-ID11RCBV.html")</f>
        <v/>
      </c>
      <c r="F921" t="inlineStr">
        <is>
          <t>wolborska</t>
        </is>
      </c>
      <c r="G921" t="inlineStr">
        <is>
          <t>Bałuty</t>
        </is>
      </c>
      <c r="H921" t="inlineStr">
        <is>
          <t>Bałuty blisko centrum</t>
        </is>
      </c>
      <c r="I921" t="inlineStr">
        <is>
          <t>TAK</t>
        </is>
      </c>
      <c r="J921" t="inlineStr">
        <is>
          <t>TAK</t>
        </is>
      </c>
      <c r="K921" t="n">
        <v>534994804</v>
      </c>
      <c r="L921" t="n">
        <v>349000</v>
      </c>
      <c r="M921" t="n">
        <v>7270.833333333333</v>
      </c>
      <c r="N921" t="n">
        <v>48</v>
      </c>
      <c r="O921" t="inlineStr">
        <is>
          <t>2+k</t>
        </is>
      </c>
      <c r="P921" t="n">
        <v>1</v>
      </c>
      <c r="Q921" t="inlineStr">
        <is>
          <t>Nie da się zamieszkać</t>
        </is>
      </c>
    </row>
    <row r="922">
      <c r="A922" t="n">
        <v>921</v>
      </c>
      <c r="B922" s="3" t="n">
        <v>45544</v>
      </c>
      <c r="D922" t="inlineStr">
        <is>
          <t>https://www.otodom.pl/pl/oferta/lodz-ul-dabrowskiego-kawalerka-do-remontu-ID4sost.html</t>
        </is>
      </c>
      <c r="E922">
        <f>HYPERLINK("https://www.otodom.pl/pl/oferta/lodz-ul-dabrowskiego-kawalerka-do-remontu-ID4sost.html", "https://www.otodom.pl/pl/oferta/lodz-ul-dabrowskiego-kawalerka-do-remontu-ID4sost.html")</f>
        <v/>
      </c>
      <c r="F922" t="inlineStr">
        <is>
          <t xml:space="preserve">dąbrowskiego </t>
        </is>
      </c>
      <c r="G922" t="inlineStr">
        <is>
          <t>Dąbrowa</t>
        </is>
      </c>
      <c r="H922" t="inlineStr">
        <is>
          <t>Dąbrowa</t>
        </is>
      </c>
      <c r="I922" t="inlineStr">
        <is>
          <t>NIE</t>
        </is>
      </c>
      <c r="J922" t="inlineStr">
        <is>
          <t>NIE</t>
        </is>
      </c>
      <c r="K922" t="n">
        <v>519552656</v>
      </c>
      <c r="L922" t="n">
        <v>220000</v>
      </c>
      <c r="M922" t="n">
        <v>8094.186902133922</v>
      </c>
      <c r="N922" t="n">
        <v>27.18</v>
      </c>
      <c r="O922" t="inlineStr">
        <is>
          <t>1+k</t>
        </is>
      </c>
      <c r="P922" t="n">
        <v>3</v>
      </c>
      <c r="Q922" t="inlineStr">
        <is>
          <t>Nie da się zamieszkać</t>
        </is>
      </c>
    </row>
    <row r="923">
      <c r="A923" t="n">
        <v>922</v>
      </c>
      <c r="B923" s="3" t="n">
        <v>45544</v>
      </c>
      <c r="D923" t="inlineStr">
        <is>
          <t>https://www.okolica.pl/offer/show/57296-S-883219/formular</t>
        </is>
      </c>
      <c r="E923">
        <f>HYPERLINK("https://www.okolica.pl/offer/show/57296-S-883219/formular", "https://www.okolica.pl/offer/show/57296-S-883219/formular")</f>
        <v/>
      </c>
      <c r="F923" t="inlineStr">
        <is>
          <t>kosmonautów</t>
        </is>
      </c>
      <c r="G923" t="inlineStr">
        <is>
          <t>Górna</t>
        </is>
      </c>
      <c r="H923" t="inlineStr">
        <is>
          <t>Górna</t>
        </is>
      </c>
      <c r="I923" t="inlineStr">
        <is>
          <t>NIE</t>
        </is>
      </c>
      <c r="J923" t="inlineStr">
        <is>
          <t>TAK</t>
        </is>
      </c>
      <c r="K923" t="n">
        <v>511719739</v>
      </c>
      <c r="L923" t="n">
        <v>319000</v>
      </c>
      <c r="M923" t="n">
        <v>6524.851707915729</v>
      </c>
      <c r="N923" t="n">
        <v>48.89</v>
      </c>
      <c r="O923" t="inlineStr">
        <is>
          <t>3+k</t>
        </is>
      </c>
      <c r="P923" t="n">
        <v>2</v>
      </c>
      <c r="Q923" t="inlineStr">
        <is>
          <t>Nie da się zamieszkać</t>
        </is>
      </c>
    </row>
    <row r="924">
      <c r="A924" t="n">
        <v>923</v>
      </c>
      <c r="B924" s="3" t="n">
        <v>45545</v>
      </c>
      <c r="D924" t="inlineStr">
        <is>
          <t>https://www.google.pl/maps/place/Wincentego+Tomaszewicza,+90-001+Łódź/@51.755471,19.1965086,10.38z/data=!4m6!3m5!1s0x471a35695c86b703:0xfae54650a6bd77f3!8m2!3d51.7477111!4d19.4017281!16s%2Fg%2F1tgdrwrc?entry=ttu&amp;g_ep=EgoyMDI0MDkwOC4wIKXMDSoASAFQAw%3D%3D</t>
        </is>
      </c>
      <c r="E924">
        <f>HYPERLINK("https://www.google.pl/maps/place/Wincentego+Tomaszewicza,+90-001+Łódź/@51.755471,19.1965086,10.38z/data=!4m6!3m5!1s0x471a35695c86b703:0xfae54650a6bd77f3!8m2!3d51.7477111!4d19.4017281!16s%2Fg%2F1tgdrwrc?entry=ttu&amp;g_ep=EgoyMDI0MDkwOC4wIKXMDSoASAFQAw%3D%3D", "https://www.google.pl/maps/place/Wincentego+Tomaszewicza,+90-001+Łódź/@51.755471,19.1965086,10.38z/data=!4m6!3m5!1s0x471a35695c86b703:0xfae54650a6bd77f3!8m2!3d51.7477111!4d19.4017281!16s%2Fg%2F1tgdrwrc?entry=ttu&amp;g_ep=EgoyMDI0MDkwOC4wIKXMDSoASAFQAw%3D%3D")</f>
        <v/>
      </c>
      <c r="F924" t="inlineStr">
        <is>
          <t>wincentego tomasiewicza</t>
        </is>
      </c>
      <c r="G924" t="inlineStr">
        <is>
          <t>Retkinia</t>
        </is>
      </c>
      <c r="H924" t="inlineStr">
        <is>
          <t>Retkinia</t>
        </is>
      </c>
      <c r="I924" t="inlineStr">
        <is>
          <t>NIE</t>
        </is>
      </c>
      <c r="J924" t="inlineStr">
        <is>
          <t>TAK</t>
        </is>
      </c>
      <c r="K924" t="n">
        <v>668699393</v>
      </c>
      <c r="L924" t="n">
        <v>439000</v>
      </c>
      <c r="M924" t="n">
        <v>7669.461914744933</v>
      </c>
      <c r="N924" t="n">
        <v>57.24</v>
      </c>
      <c r="O924" t="inlineStr">
        <is>
          <t>3+k</t>
        </is>
      </c>
      <c r="P924" t="n">
        <v>2</v>
      </c>
      <c r="Q924" t="inlineStr">
        <is>
          <t>Puste</t>
        </is>
      </c>
    </row>
    <row r="925">
      <c r="A925" t="n">
        <v>924</v>
      </c>
      <c r="B925" s="3" t="n">
        <v>45545</v>
      </c>
      <c r="D925" t="inlineStr">
        <is>
          <t>https://www.olx.pl/d/oferta/mieszkanie-48m2-3-pokoje-ul-piekna-CID3-ID11Sbin.html</t>
        </is>
      </c>
      <c r="E925">
        <f>HYPERLINK("https://www.olx.pl/d/oferta/mieszkanie-48m2-3-pokoje-ul-piekna-CID3-ID11Sbin.html", "https://www.olx.pl/d/oferta/mieszkanie-48m2-3-pokoje-ul-piekna-CID3-ID11Sbin.html")</f>
        <v/>
      </c>
      <c r="F925" t="inlineStr">
        <is>
          <t>piękna</t>
        </is>
      </c>
      <c r="G925" t="inlineStr">
        <is>
          <t>Górna</t>
        </is>
      </c>
      <c r="H925" t="inlineStr">
        <is>
          <t>Górna</t>
        </is>
      </c>
      <c r="I925" t="inlineStr">
        <is>
          <t>NIE</t>
        </is>
      </c>
      <c r="J925" t="inlineStr">
        <is>
          <t>NIE</t>
        </is>
      </c>
      <c r="K925" t="n">
        <v>602753373</v>
      </c>
      <c r="L925" t="n">
        <v>370000</v>
      </c>
      <c r="M925" t="n">
        <v>7708.333333333333</v>
      </c>
      <c r="N925" t="n">
        <v>48</v>
      </c>
      <c r="O925" t="inlineStr">
        <is>
          <t>3+k</t>
        </is>
      </c>
      <c r="P925" t="n">
        <v>8</v>
      </c>
      <c r="Q925" t="inlineStr">
        <is>
          <t>Nie da się zamieszkać</t>
        </is>
      </c>
    </row>
    <row r="926">
      <c r="A926" t="n">
        <v>925</v>
      </c>
      <c r="B926" s="3" t="n">
        <v>45545</v>
      </c>
      <c r="D926" t="inlineStr">
        <is>
          <t>https://www.otodom.pl/pl/oferta/m-3-45-m2-okazyjna-cena-zielona-okolica-ID4spfp</t>
        </is>
      </c>
      <c r="E926">
        <f>HYPERLINK("https://www.otodom.pl/pl/oferta/m-3-45-m2-okazyjna-cena-zielona-okolica-ID4spfp", "https://www.otodom.pl/pl/oferta/m-3-45-m2-okazyjna-cena-zielona-okolica-ID4spfp")</f>
        <v/>
      </c>
      <c r="F926" t="inlineStr">
        <is>
          <t xml:space="preserve">żubardź </t>
        </is>
      </c>
      <c r="G926" t="inlineStr">
        <is>
          <t>Polesie</t>
        </is>
      </c>
      <c r="H926" t="inlineStr">
        <is>
          <t>Polesie</t>
        </is>
      </c>
      <c r="I926" t="inlineStr">
        <is>
          <t>NIE</t>
        </is>
      </c>
      <c r="J926" t="inlineStr">
        <is>
          <t>TAK</t>
        </is>
      </c>
      <c r="K926" t="n">
        <v>501587957</v>
      </c>
      <c r="L926" t="n">
        <v>310000</v>
      </c>
      <c r="M926" t="n">
        <v>6902.694277443777</v>
      </c>
      <c r="N926" t="n">
        <v>44.91</v>
      </c>
      <c r="O926" t="inlineStr">
        <is>
          <t>2+k</t>
        </is>
      </c>
      <c r="P926" t="n">
        <v>4</v>
      </c>
      <c r="Q926" t="inlineStr">
        <is>
          <t>Nie da się zamieszkać</t>
        </is>
      </c>
    </row>
    <row r="927">
      <c r="A927" t="n">
        <v>926</v>
      </c>
      <c r="B927" s="3" t="n">
        <v>45545</v>
      </c>
      <c r="D927" t="inlineStr">
        <is>
          <t>https://www.otodom.pl/pl/oferta/1-pokojowe-ul-kolowa-ID4spin</t>
        </is>
      </c>
      <c r="E927">
        <f>HYPERLINK("https://www.otodom.pl/pl/oferta/1-pokojowe-ul-kolowa-ID4spin", "https://www.otodom.pl/pl/oferta/1-pokojowe-ul-kolowa-ID4spin")</f>
        <v/>
      </c>
      <c r="F927" t="inlineStr">
        <is>
          <t>kołowa</t>
        </is>
      </c>
      <c r="G927" t="inlineStr">
        <is>
          <t>Górna</t>
        </is>
      </c>
      <c r="H927" t="inlineStr">
        <is>
          <t>Górna</t>
        </is>
      </c>
      <c r="I927" t="inlineStr">
        <is>
          <t>NIE</t>
        </is>
      </c>
      <c r="J927" t="inlineStr">
        <is>
          <t>TAK</t>
        </is>
      </c>
      <c r="K927" t="n">
        <v>602388001</v>
      </c>
      <c r="L927" t="n">
        <v>194000</v>
      </c>
      <c r="M927" t="n">
        <v>7127.112417340191</v>
      </c>
      <c r="N927" t="n">
        <v>27.22</v>
      </c>
      <c r="O927" t="inlineStr">
        <is>
          <t>1+k</t>
        </is>
      </c>
      <c r="P927" t="n">
        <v>3</v>
      </c>
      <c r="Q927" t="inlineStr">
        <is>
          <t>Nie da się zamieszkać</t>
        </is>
      </c>
    </row>
    <row r="928">
      <c r="A928" t="n">
        <v>927</v>
      </c>
      <c r="B928" s="3" t="n">
        <v>45545</v>
      </c>
      <c r="D928" t="inlineStr">
        <is>
          <t>https://www.otodom.pl/pl/oferta/lodz-marysin-doly-2pok-do-remontu-1p-balkon-ID4rYd2.html</t>
        </is>
      </c>
      <c r="E928">
        <f>HYPERLINK("https://www.otodom.pl/pl/oferta/lodz-marysin-doly-2pok-do-remontu-1p-balkon-ID4rYd2.html", "https://www.otodom.pl/pl/oferta/lodz-marysin-doly-2pok-do-remontu-1p-balkon-ID4rYd2.html")</f>
        <v/>
      </c>
      <c r="F928" t="inlineStr">
        <is>
          <t>przemysłowa</t>
        </is>
      </c>
      <c r="G928" t="inlineStr">
        <is>
          <t>Bałuty</t>
        </is>
      </c>
      <c r="H928" t="inlineStr">
        <is>
          <t>Bałuty</t>
        </is>
      </c>
      <c r="I928" t="inlineStr">
        <is>
          <t>NIE</t>
        </is>
      </c>
      <c r="J928" t="inlineStr">
        <is>
          <t>NIE</t>
        </is>
      </c>
      <c r="K928" t="n">
        <v>663231751</v>
      </c>
      <c r="L928" t="n">
        <v>297000</v>
      </c>
      <c r="M928" t="n">
        <v>7518.987341772152</v>
      </c>
      <c r="N928" t="n">
        <v>39.5</v>
      </c>
      <c r="O928" t="inlineStr">
        <is>
          <t>2+k</t>
        </is>
      </c>
      <c r="P928" t="n">
        <v>1</v>
      </c>
      <c r="Q928" t="inlineStr">
        <is>
          <t>Puste posprzątane</t>
        </is>
      </c>
    </row>
    <row r="929">
      <c r="A929" t="n">
        <v>928</v>
      </c>
      <c r="B929" s="3" t="n">
        <v>45545</v>
      </c>
      <c r="D929" t="inlineStr">
        <is>
          <t>https://www.olx.pl/d/oferta/m4-gorna-ul-karpacka-iii-pietro-blok-CID3-ID11Sm47.html</t>
        </is>
      </c>
      <c r="E929">
        <f>HYPERLINK("https://www.olx.pl/d/oferta/m4-gorna-ul-karpacka-iii-pietro-blok-CID3-ID11Sm47.html", "https://www.olx.pl/d/oferta/m4-gorna-ul-karpacka-iii-pietro-blok-CID3-ID11Sm47.html")</f>
        <v/>
      </c>
      <c r="F929" t="inlineStr">
        <is>
          <t>karpacka</t>
        </is>
      </c>
      <c r="G929" t="inlineStr">
        <is>
          <t>Górna</t>
        </is>
      </c>
      <c r="H929" t="inlineStr">
        <is>
          <t>Górna</t>
        </is>
      </c>
      <c r="I929" t="inlineStr">
        <is>
          <t>NIE</t>
        </is>
      </c>
      <c r="J929" t="inlineStr">
        <is>
          <t>TAK</t>
        </is>
      </c>
      <c r="K929" t="n">
        <v>607300997</v>
      </c>
      <c r="L929" t="n">
        <v>365000</v>
      </c>
      <c r="M929" t="n">
        <v>7749.469214437367</v>
      </c>
      <c r="N929" t="n">
        <v>47.1</v>
      </c>
      <c r="O929" t="inlineStr">
        <is>
          <t>3+k</t>
        </is>
      </c>
      <c r="P929" t="n">
        <v>3</v>
      </c>
      <c r="Q929" t="inlineStr">
        <is>
          <t>Nie da się zamieszkać</t>
        </is>
      </c>
    </row>
    <row r="930">
      <c r="A930" t="n">
        <v>929</v>
      </c>
      <c r="B930" s="3" t="n">
        <v>45545</v>
      </c>
      <c r="D930" t="inlineStr">
        <is>
          <t>https://www.olx.pl/d/oferta/sprzedam-mieszkanie-35m-2-pokoje-chojny-CID3-ID11Slq4.html</t>
        </is>
      </c>
      <c r="E930">
        <f>HYPERLINK("https://www.olx.pl/d/oferta/sprzedam-mieszkanie-35m-2-pokoje-chojny-CID3-ID11Slq4.html", "https://www.olx.pl/d/oferta/sprzedam-mieszkanie-35m-2-pokoje-chojny-CID3-ID11Slq4.html")</f>
        <v/>
      </c>
      <c r="F930" t="inlineStr">
        <is>
          <t>codzienna</t>
        </is>
      </c>
      <c r="G930" t="inlineStr">
        <is>
          <t>Górna</t>
        </is>
      </c>
      <c r="H930" t="inlineStr">
        <is>
          <t>Daleka górna</t>
        </is>
      </c>
      <c r="I930" t="inlineStr">
        <is>
          <t>NIE</t>
        </is>
      </c>
      <c r="J930" t="inlineStr">
        <is>
          <t>TAK</t>
        </is>
      </c>
      <c r="K930" t="n">
        <v>664752441</v>
      </c>
      <c r="L930" t="n">
        <v>279000</v>
      </c>
      <c r="M930" t="n">
        <v>7971.428571428572</v>
      </c>
      <c r="N930" t="n">
        <v>35</v>
      </c>
      <c r="O930" t="inlineStr">
        <is>
          <t>2+k</t>
        </is>
      </c>
      <c r="P930" t="n">
        <v>2</v>
      </c>
      <c r="Q930" t="inlineStr">
        <is>
          <t>Nie da się zamieszkać</t>
        </is>
      </c>
    </row>
    <row r="931">
      <c r="A931" t="n">
        <v>930</v>
      </c>
      <c r="B931" s="3" t="n">
        <v>45545</v>
      </c>
      <c r="D931" t="inlineStr">
        <is>
          <t>https://www.olx.pl/d/oferta/sprzedam-mieszkanie-niedaleko-centrum-CID3-IDYJQAP.html</t>
        </is>
      </c>
      <c r="E931">
        <f>HYPERLINK("https://www.olx.pl/d/oferta/sprzedam-mieszkanie-niedaleko-centrum-CID3-IDYJQAP.html", "https://www.olx.pl/d/oferta/sprzedam-mieszkanie-niedaleko-centrum-CID3-IDYJQAP.html")</f>
        <v/>
      </c>
      <c r="F931" t="inlineStr">
        <is>
          <t>.</t>
        </is>
      </c>
      <c r="G931" t="inlineStr">
        <is>
          <t>Górna</t>
        </is>
      </c>
      <c r="H931" t="inlineStr">
        <is>
          <t>Górna</t>
        </is>
      </c>
      <c r="I931" t="inlineStr">
        <is>
          <t>NIE</t>
        </is>
      </c>
      <c r="J931" t="inlineStr">
        <is>
          <t>NIE</t>
        </is>
      </c>
      <c r="K931" t="n">
        <v>694136166</v>
      </c>
      <c r="L931" t="n">
        <v>340000</v>
      </c>
      <c r="M931" t="n">
        <v>7086.285952480201</v>
      </c>
      <c r="N931" t="n">
        <v>47.98</v>
      </c>
      <c r="O931" t="inlineStr">
        <is>
          <t>2+k</t>
        </is>
      </c>
      <c r="P931" t="n">
        <v>0</v>
      </c>
      <c r="Q931" t="inlineStr">
        <is>
          <t>Nie da się zamieszkać</t>
        </is>
      </c>
    </row>
    <row r="932">
      <c r="A932" t="n">
        <v>931</v>
      </c>
      <c r="B932" s="3" t="n">
        <v>45545</v>
      </c>
      <c r="D932" t="inlineStr">
        <is>
          <t>https://www.olx.pl/d/oferta/mieszkanie-m3-m4-stacja-widzew-CID3-ID11SrPF.html</t>
        </is>
      </c>
      <c r="E932">
        <f>HYPERLINK("https://www.olx.pl/d/oferta/mieszkanie-m3-m4-stacja-widzew-CID3-ID11SrPF.html", "https://www.olx.pl/d/oferta/mieszkanie-m3-m4-stacja-widzew-CID3-ID11SrPF.html")</f>
        <v/>
      </c>
      <c r="F932" t="inlineStr">
        <is>
          <t>osiedle mieszka</t>
        </is>
      </c>
      <c r="G932" t="inlineStr">
        <is>
          <t>Widzew</t>
        </is>
      </c>
      <c r="H932" t="inlineStr">
        <is>
          <t>Widzew</t>
        </is>
      </c>
      <c r="I932" t="inlineStr">
        <is>
          <t>NIE</t>
        </is>
      </c>
      <c r="J932" t="inlineStr">
        <is>
          <t>TAK</t>
        </is>
      </c>
      <c r="K932" t="n">
        <v>511014820</v>
      </c>
      <c r="L932" t="n">
        <v>349000</v>
      </c>
      <c r="M932" t="n">
        <v>6843.137254901961</v>
      </c>
      <c r="N932" t="n">
        <v>51</v>
      </c>
      <c r="O932" t="inlineStr">
        <is>
          <t>3+k</t>
        </is>
      </c>
      <c r="P932" t="n">
        <v>4</v>
      </c>
      <c r="Q932" t="inlineStr">
        <is>
          <t>Nie da się zamieszkać</t>
        </is>
      </c>
    </row>
    <row r="933">
      <c r="A933" t="n">
        <v>932</v>
      </c>
      <c r="B933" s="3" t="n">
        <v>45545</v>
      </c>
      <c r="D933" t="inlineStr">
        <is>
          <t>https://www.otodom.pl/pl/oferta/mieszkanie-inwestycyjne-w-centrum-lodzi-ID4rEEP.html</t>
        </is>
      </c>
      <c r="E933">
        <f>HYPERLINK("https://www.otodom.pl/pl/oferta/mieszkanie-inwestycyjne-w-centrum-lodzi-ID4rEEP.html", "https://www.otodom.pl/pl/oferta/mieszkanie-inwestycyjne-w-centrum-lodzi-ID4rEEP.html")</f>
        <v/>
      </c>
      <c r="F933" t="inlineStr">
        <is>
          <t>narutowicza</t>
        </is>
      </c>
      <c r="G933" t="inlineStr">
        <is>
          <t>Śródmieście</t>
        </is>
      </c>
      <c r="H933" t="inlineStr">
        <is>
          <t>Śródmieście</t>
        </is>
      </c>
      <c r="I933" t="inlineStr">
        <is>
          <t>NIE</t>
        </is>
      </c>
      <c r="J933" t="inlineStr">
        <is>
          <t>NIE</t>
        </is>
      </c>
      <c r="K933" t="n">
        <v>601070751</v>
      </c>
      <c r="L933" t="n">
        <v>250000</v>
      </c>
      <c r="M933" t="n">
        <v>7678.132678132678</v>
      </c>
      <c r="N933" t="n">
        <v>32.56</v>
      </c>
      <c r="O933" t="inlineStr">
        <is>
          <t>2+k</t>
        </is>
      </c>
      <c r="P933" t="n">
        <v>2</v>
      </c>
      <c r="Q933" t="inlineStr">
        <is>
          <t>Nie da się zamieszkać</t>
        </is>
      </c>
    </row>
    <row r="934">
      <c r="A934" t="n">
        <v>933</v>
      </c>
      <c r="B934" s="3" t="n">
        <v>45545</v>
      </c>
      <c r="D934" t="inlineStr">
        <is>
          <t>https://www.otodom.pl/pl/oferta/2-pokoje-przesttronne-od-zaraz-ID4sq1D</t>
        </is>
      </c>
      <c r="E934">
        <f>HYPERLINK("https://www.otodom.pl/pl/oferta/2-pokoje-przesttronne-od-zaraz-ID4sq1D", "https://www.otodom.pl/pl/oferta/2-pokoje-przesttronne-od-zaraz-ID4sq1D")</f>
        <v/>
      </c>
      <c r="F934" t="inlineStr">
        <is>
          <t>wielkopolska</t>
        </is>
      </c>
      <c r="G934" t="inlineStr">
        <is>
          <t>Teofilów</t>
        </is>
      </c>
      <c r="H934" t="inlineStr">
        <is>
          <t>Daleki Teofilów</t>
        </is>
      </c>
      <c r="I934" t="inlineStr">
        <is>
          <t>NIE</t>
        </is>
      </c>
      <c r="J934" t="inlineStr">
        <is>
          <t>TAK</t>
        </is>
      </c>
      <c r="K934" t="n">
        <v>730965991</v>
      </c>
      <c r="L934" t="n">
        <v>275000</v>
      </c>
      <c r="M934" t="n">
        <v>6111.111111111111</v>
      </c>
      <c r="N934" t="n">
        <v>45</v>
      </c>
      <c r="O934" t="inlineStr">
        <is>
          <t>2+k</t>
        </is>
      </c>
      <c r="P934" t="n">
        <v>2</v>
      </c>
      <c r="Q934" t="inlineStr">
        <is>
          <t>Nie da się zamieszkać</t>
        </is>
      </c>
      <c r="R934" t="inlineStr">
        <is>
          <t>to nie dubel</t>
        </is>
      </c>
      <c r="T934" t="inlineStr">
        <is>
          <t>614</t>
        </is>
      </c>
    </row>
    <row r="935">
      <c r="A935" t="n">
        <v>934</v>
      </c>
      <c r="B935" s="3" t="n">
        <v>45545</v>
      </c>
      <c r="D935" t="inlineStr">
        <is>
          <t>https://www.otodom.pl/pl/oferta/sprzedam-bezposrednio-mieszkanie-48-36m2-lodz-ID4sqa8</t>
        </is>
      </c>
      <c r="E935">
        <f>HYPERLINK("https://www.otodom.pl/pl/oferta/sprzedam-bezposrednio-mieszkanie-48-36m2-lodz-ID4sqa8", "https://www.otodom.pl/pl/oferta/sprzedam-bezposrednio-mieszkanie-48-36m2-lodz-ID4sqa8")</f>
        <v/>
      </c>
      <c r="F935" t="inlineStr">
        <is>
          <t>smutna</t>
        </is>
      </c>
      <c r="G935" t="inlineStr">
        <is>
          <t>Śródmieście</t>
        </is>
      </c>
      <c r="H935" t="inlineStr">
        <is>
          <t>Śródmieście</t>
        </is>
      </c>
      <c r="I935" t="inlineStr">
        <is>
          <t>NIE</t>
        </is>
      </c>
      <c r="J935" t="inlineStr">
        <is>
          <t>NIE</t>
        </is>
      </c>
      <c r="K935" t="n">
        <v>665094966</v>
      </c>
      <c r="L935" t="n">
        <v>329000</v>
      </c>
      <c r="M935" t="n">
        <v>6803.143093465675</v>
      </c>
      <c r="N935" t="n">
        <v>48.36</v>
      </c>
      <c r="O935" t="inlineStr">
        <is>
          <t>2+k</t>
        </is>
      </c>
      <c r="P935" t="n">
        <v>1</v>
      </c>
      <c r="Q935" t="inlineStr">
        <is>
          <t>Nie da się zamieszkać</t>
        </is>
      </c>
    </row>
    <row r="936">
      <c r="A936" t="n">
        <v>935</v>
      </c>
      <c r="B936" s="3" t="n">
        <v>45545</v>
      </c>
      <c r="D936" t="inlineStr">
        <is>
          <t>https://www.olx.pl/d/oferta/do-remontu-27m2-ul-dabrowskiego-bezposrednio-CID3-ID11TaXL.html?isPreviewActive=0&amp;sliderIndex=8</t>
        </is>
      </c>
      <c r="E936">
        <f>HYPERLINK("https://www.olx.pl/d/oferta/do-remontu-27m2-ul-dabrowskiego-bezposrednio-CID3-ID11TaXL.html?isPreviewActive=0&amp;sliderIndex=8", "https://www.olx.pl/d/oferta/do-remontu-27m2-ul-dabrowskiego-bezposrednio-CID3-ID11TaXL.html?isPreviewActive=0&amp;sliderIndex=8")</f>
        <v/>
      </c>
      <c r="F936" t="inlineStr">
        <is>
          <t xml:space="preserve">dąbrowskiego </t>
        </is>
      </c>
      <c r="G936" t="inlineStr">
        <is>
          <t>Dąbrowa</t>
        </is>
      </c>
      <c r="H936" t="inlineStr">
        <is>
          <t>Dąbrowa</t>
        </is>
      </c>
      <c r="I936" t="inlineStr">
        <is>
          <t>NIE</t>
        </is>
      </c>
      <c r="J936" t="inlineStr">
        <is>
          <t>NIE</t>
        </is>
      </c>
      <c r="K936" t="n">
        <v>668278095</v>
      </c>
      <c r="L936" t="n">
        <v>210000</v>
      </c>
      <c r="M936" t="n">
        <v>7726.269315673289</v>
      </c>
      <c r="N936" t="n">
        <v>27.18</v>
      </c>
      <c r="O936" t="inlineStr">
        <is>
          <t>1+k</t>
        </is>
      </c>
      <c r="P936" t="n">
        <v>6</v>
      </c>
      <c r="Q936" t="inlineStr">
        <is>
          <t>Nie da się zamieszkać</t>
        </is>
      </c>
    </row>
    <row r="937">
      <c r="A937" t="n">
        <v>936</v>
      </c>
      <c r="B937" s="3" t="n">
        <v>45545</v>
      </c>
      <c r="D937" t="inlineStr">
        <is>
          <t>https://www.otodom.pl/pl/oferta/sprzedam-mieszkanie-niedaleko-centrum-ID4pakb.html</t>
        </is>
      </c>
      <c r="E937">
        <f>HYPERLINK("https://www.otodom.pl/pl/oferta/sprzedam-mieszkanie-niedaleko-centrum-ID4pakb.html", "https://www.otodom.pl/pl/oferta/sprzedam-mieszkanie-niedaleko-centrum-ID4pakb.html")</f>
        <v/>
      </c>
      <c r="F937" t="inlineStr">
        <is>
          <t>ciołkowskiego</t>
        </is>
      </c>
      <c r="G937" t="inlineStr">
        <is>
          <t>Górna</t>
        </is>
      </c>
      <c r="H937" t="inlineStr">
        <is>
          <t>Górna</t>
        </is>
      </c>
      <c r="I937" t="inlineStr">
        <is>
          <t>NIE</t>
        </is>
      </c>
      <c r="J937" t="inlineStr">
        <is>
          <t>NIE</t>
        </is>
      </c>
      <c r="K937" t="n">
        <v>694136166</v>
      </c>
      <c r="L937" t="n">
        <v>340000</v>
      </c>
      <c r="M937" t="n">
        <v>7086.285952480201</v>
      </c>
      <c r="N937" t="n">
        <v>47.98</v>
      </c>
      <c r="O937" t="inlineStr">
        <is>
          <t>2+k</t>
        </is>
      </c>
      <c r="P937" t="n">
        <v>0</v>
      </c>
      <c r="Q937" t="inlineStr">
        <is>
          <t>Nie da się zamieszkać</t>
        </is>
      </c>
    </row>
    <row r="938">
      <c r="A938" t="n">
        <v>937</v>
      </c>
      <c r="B938" s="3" t="n">
        <v>45546</v>
      </c>
      <c r="D938" t="inlineStr">
        <is>
          <t>https://www.otodom.pl/pl/oferta/2-pokoje-na-2-pietrze-teofilow-ID4rLQ7.html</t>
        </is>
      </c>
      <c r="E938">
        <f>HYPERLINK("https://www.otodom.pl/pl/oferta/2-pokoje-na-2-pietrze-teofilow-ID4rLQ7.html", "https://www.otodom.pl/pl/oferta/2-pokoje-na-2-pietrze-teofilow-ID4rLQ7.html")</f>
        <v/>
      </c>
      <c r="F938" t="inlineStr">
        <is>
          <t>.</t>
        </is>
      </c>
      <c r="G938" t="inlineStr">
        <is>
          <t>Teofilów</t>
        </is>
      </c>
      <c r="H938" t="inlineStr">
        <is>
          <t>Teofilów</t>
        </is>
      </c>
      <c r="I938" t="inlineStr">
        <is>
          <t>NIE</t>
        </is>
      </c>
      <c r="J938" t="inlineStr">
        <is>
          <t>TAK</t>
        </is>
      </c>
      <c r="K938" t="n">
        <v>505076550</v>
      </c>
      <c r="L938" t="n">
        <v>325000</v>
      </c>
      <c r="M938" t="n">
        <v>7065.217391304348</v>
      </c>
      <c r="N938" t="n">
        <v>46</v>
      </c>
      <c r="O938" t="inlineStr">
        <is>
          <t>2+k</t>
        </is>
      </c>
      <c r="P938" t="n">
        <v>2</v>
      </c>
      <c r="Q938" t="inlineStr">
        <is>
          <t>Nie da się zamieszkać</t>
        </is>
      </c>
      <c r="R938" t="inlineStr">
        <is>
          <t>prawdopodobnie to nie dubel</t>
        </is>
      </c>
      <c r="T938" t="inlineStr">
        <is>
          <t>587</t>
        </is>
      </c>
    </row>
    <row r="939">
      <c r="A939" t="n">
        <v>938</v>
      </c>
      <c r="B939" s="3" t="n">
        <v>45546</v>
      </c>
      <c r="D939" t="inlineStr">
        <is>
          <t>https://www.otodom.pl/pl/oferta/2-pokoje-2-pietro-karolew-ID4qxef.html</t>
        </is>
      </c>
      <c r="E939">
        <f>HYPERLINK("https://www.otodom.pl/pl/oferta/2-pokoje-2-pietro-karolew-ID4qxef.html", "https://www.otodom.pl/pl/oferta/2-pokoje-2-pietro-karolew-ID4qxef.html")</f>
        <v/>
      </c>
      <c r="F939" t="inlineStr">
        <is>
          <t>karolew</t>
        </is>
      </c>
      <c r="G939" t="inlineStr">
        <is>
          <t>Polesie</t>
        </is>
      </c>
      <c r="H939" t="inlineStr">
        <is>
          <t>Polesie</t>
        </is>
      </c>
      <c r="I939" t="inlineStr">
        <is>
          <t>NIE</t>
        </is>
      </c>
      <c r="J939" t="inlineStr">
        <is>
          <t>TAK</t>
        </is>
      </c>
      <c r="K939" t="n">
        <v>500513962</v>
      </c>
      <c r="L939" t="n">
        <v>268000</v>
      </c>
      <c r="M939" t="n">
        <v>7050.776111549592</v>
      </c>
      <c r="N939" t="n">
        <v>38.01</v>
      </c>
      <c r="O939" t="inlineStr">
        <is>
          <t>2+k</t>
        </is>
      </c>
      <c r="P939" t="n">
        <v>2</v>
      </c>
      <c r="Q939" t="inlineStr">
        <is>
          <t>Puste</t>
        </is>
      </c>
    </row>
    <row r="940">
      <c r="A940" t="n">
        <v>939</v>
      </c>
      <c r="B940" s="3" t="n">
        <v>45546</v>
      </c>
      <c r="D940" t="inlineStr">
        <is>
          <t>https://www.otodom.pl/pl/oferta/carte-blanche-w-nejlepszym-wydaniu-ID4sqSG.html</t>
        </is>
      </c>
      <c r="E940">
        <f>HYPERLINK("https://www.otodom.pl/pl/oferta/carte-blanche-w-nejlepszym-wydaniu-ID4sqSG.html", "https://www.otodom.pl/pl/oferta/carte-blanche-w-nejlepszym-wydaniu-ID4sqSG.html")</f>
        <v/>
      </c>
      <c r="F940" t="inlineStr">
        <is>
          <t>łanowa</t>
        </is>
      </c>
      <c r="G940" t="inlineStr">
        <is>
          <t>Teofilów</t>
        </is>
      </c>
      <c r="H940" t="inlineStr">
        <is>
          <t>Teofilów</t>
        </is>
      </c>
      <c r="I940" t="inlineStr">
        <is>
          <t>NIE</t>
        </is>
      </c>
      <c r="J940" t="inlineStr">
        <is>
          <t>TAK</t>
        </is>
      </c>
      <c r="K940" t="n">
        <v>513606306</v>
      </c>
      <c r="L940" t="n">
        <v>320000</v>
      </c>
      <c r="M940" t="n">
        <v>7079.646017699115</v>
      </c>
      <c r="N940" t="n">
        <v>45.2</v>
      </c>
      <c r="O940" t="inlineStr">
        <is>
          <t>2+k</t>
        </is>
      </c>
      <c r="P940" t="n">
        <v>2</v>
      </c>
      <c r="Q940" t="inlineStr">
        <is>
          <t>Nie da się zamieszkać</t>
        </is>
      </c>
    </row>
    <row r="941">
      <c r="A941" t="n">
        <v>940</v>
      </c>
      <c r="B941" s="3" t="n">
        <v>45546</v>
      </c>
      <c r="D941" t="inlineStr">
        <is>
          <t>https://www.otodom.pl/pl/oferta/2-przestronne-pokoje-dabrowa-ID4sqQ5</t>
        </is>
      </c>
      <c r="E941">
        <f>HYPERLINK("https://www.otodom.pl/pl/oferta/2-przestronne-pokoje-dabrowa-ID4sqQ5", "https://www.otodom.pl/pl/oferta/2-przestronne-pokoje-dabrowa-ID4sqQ5")</f>
        <v/>
      </c>
      <c r="F941" t="inlineStr">
        <is>
          <t>umińskiego</t>
        </is>
      </c>
      <c r="G941" t="inlineStr">
        <is>
          <t>Dąbrowa</t>
        </is>
      </c>
      <c r="H941" t="inlineStr">
        <is>
          <t>Dąbrowa</t>
        </is>
      </c>
      <c r="I941" t="inlineStr">
        <is>
          <t>NIE</t>
        </is>
      </c>
      <c r="J941" t="inlineStr">
        <is>
          <t>TAK</t>
        </is>
      </c>
      <c r="K941" t="n">
        <v>576317000</v>
      </c>
      <c r="L941" t="n">
        <v>299000</v>
      </c>
      <c r="M941" t="n">
        <v>6835.848193872885</v>
      </c>
      <c r="N941" t="n">
        <v>43.74</v>
      </c>
      <c r="O941" t="inlineStr">
        <is>
          <t>2+k</t>
        </is>
      </c>
      <c r="P941" t="n">
        <v>3</v>
      </c>
      <c r="Q941" t="inlineStr">
        <is>
          <t>Nie da się zamieszkać</t>
        </is>
      </c>
    </row>
    <row r="942">
      <c r="A942" t="n">
        <v>941</v>
      </c>
      <c r="B942" s="3" t="n">
        <v>45546</v>
      </c>
      <c r="D942" t="inlineStr">
        <is>
          <t>https://www.olx.pl/d/oferta/wygodna-lokalizacja-do-przerobienia-na-3pokoje-CID3-ID11Tkt0.html</t>
        </is>
      </c>
      <c r="E942">
        <f>HYPERLINK("https://www.olx.pl/d/oferta/wygodna-lokalizacja-do-przerobienia-na-3pokoje-CID3-ID11Tkt0.html", "https://www.olx.pl/d/oferta/wygodna-lokalizacja-do-przerobienia-na-3pokoje-CID3-ID11Tkt0.html")</f>
        <v/>
      </c>
      <c r="F942" t="inlineStr">
        <is>
          <t>broniewskiego</t>
        </is>
      </c>
      <c r="G942" t="inlineStr">
        <is>
          <t>Górna</t>
        </is>
      </c>
      <c r="H942" t="inlineStr">
        <is>
          <t>Górna</t>
        </is>
      </c>
      <c r="I942" t="inlineStr">
        <is>
          <t>NIE</t>
        </is>
      </c>
      <c r="J942" t="inlineStr">
        <is>
          <t>TAK</t>
        </is>
      </c>
      <c r="K942" t="n">
        <v>533660355</v>
      </c>
      <c r="L942" t="n">
        <v>379900</v>
      </c>
      <c r="M942" t="n">
        <v>6973.201174743025</v>
      </c>
      <c r="N942" t="n">
        <v>54.48</v>
      </c>
      <c r="O942" t="inlineStr">
        <is>
          <t>2+k</t>
        </is>
      </c>
      <c r="P942" t="n">
        <v>0</v>
      </c>
      <c r="Q942" t="inlineStr">
        <is>
          <t>Nie da się zamieszkać</t>
        </is>
      </c>
    </row>
    <row r="943">
      <c r="A943" t="n">
        <v>942</v>
      </c>
      <c r="B943" s="3" t="n">
        <v>45546</v>
      </c>
      <c r="D943" t="inlineStr">
        <is>
          <t>https://www.otodom.pl/pl/oferta/3-pokoje-47-40-m2-ul-grota-roweckiego-ID4srek.html</t>
        </is>
      </c>
      <c r="E943">
        <f>HYPERLINK("https://www.otodom.pl/pl/oferta/3-pokoje-47-40-m2-ul-grota-roweckiego-ID4srek.html", "https://www.otodom.pl/pl/oferta/3-pokoje-47-40-m2-ul-grota-roweckiego-ID4srek.html")</f>
        <v/>
      </c>
      <c r="F943" t="inlineStr">
        <is>
          <t>grota rowieckiego</t>
        </is>
      </c>
      <c r="G943" t="inlineStr">
        <is>
          <t>Widzew</t>
        </is>
      </c>
      <c r="H943" t="inlineStr">
        <is>
          <t>Widzew blisko centrum</t>
        </is>
      </c>
      <c r="I943" t="inlineStr">
        <is>
          <t>NIE</t>
        </is>
      </c>
      <c r="J943" t="inlineStr">
        <is>
          <t>TAK</t>
        </is>
      </c>
      <c r="K943" t="n">
        <v>732850551</v>
      </c>
      <c r="L943" t="n">
        <v>300000</v>
      </c>
      <c r="M943" t="n">
        <v>6329.113924050633</v>
      </c>
      <c r="N943" t="n">
        <v>47.4</v>
      </c>
      <c r="O943" t="inlineStr">
        <is>
          <t>3+k</t>
        </is>
      </c>
      <c r="P943" t="n">
        <v>3</v>
      </c>
      <c r="Q943" t="inlineStr">
        <is>
          <t>Nie da się zamieszkać</t>
        </is>
      </c>
    </row>
    <row r="944">
      <c r="A944" t="n">
        <v>943</v>
      </c>
      <c r="B944" s="3" t="n">
        <v>45546</v>
      </c>
      <c r="D944" t="inlineStr">
        <is>
          <t>https://www.olx.pl/d/oferta/sprzedam-mieszkanie-do-generalnego-remontu-w-centrum-lodzi-52-m-CID3-ID11U0YQ.html</t>
        </is>
      </c>
      <c r="E944">
        <f>HYPERLINK("https://www.olx.pl/d/oferta/sprzedam-mieszkanie-do-generalnego-remontu-w-centrum-lodzi-52-m-CID3-ID11U0YQ.html", "https://www.olx.pl/d/oferta/sprzedam-mieszkanie-do-generalnego-remontu-w-centrum-lodzi-52-m-CID3-ID11U0YQ.html")</f>
        <v/>
      </c>
      <c r="F944" t="inlineStr">
        <is>
          <t>manhattan</t>
        </is>
      </c>
      <c r="G944" t="inlineStr">
        <is>
          <t>Śródmieście</t>
        </is>
      </c>
      <c r="H944" t="inlineStr">
        <is>
          <t>Śródmieście</t>
        </is>
      </c>
      <c r="I944" t="inlineStr">
        <is>
          <t>NIE</t>
        </is>
      </c>
      <c r="J944" t="inlineStr">
        <is>
          <t>NIE</t>
        </is>
      </c>
      <c r="K944" t="n">
        <v>501788766</v>
      </c>
      <c r="L944" t="n">
        <v>390000</v>
      </c>
      <c r="M944" t="n">
        <v>7500</v>
      </c>
      <c r="N944" t="n">
        <v>52</v>
      </c>
      <c r="O944" t="inlineStr">
        <is>
          <t>2+k</t>
        </is>
      </c>
      <c r="P944" t="n">
        <v>3</v>
      </c>
      <c r="Q944" t="inlineStr">
        <is>
          <t>Nie da się zamieszkać</t>
        </is>
      </c>
    </row>
    <row r="945">
      <c r="A945" t="n">
        <v>944</v>
      </c>
      <c r="B945" s="3" t="n">
        <v>45546</v>
      </c>
      <c r="D945" t="inlineStr">
        <is>
          <t>https://adresowo.pl/o/u6s9d9</t>
        </is>
      </c>
      <c r="E945">
        <f>HYPERLINK("https://adresowo.pl/o/u6s9d9", "https://adresowo.pl/o/u6s9d9")</f>
        <v/>
      </c>
      <c r="F945" t="inlineStr">
        <is>
          <t>rojna</t>
        </is>
      </c>
      <c r="G945" t="inlineStr">
        <is>
          <t>Teofilów</t>
        </is>
      </c>
      <c r="H945" t="inlineStr">
        <is>
          <t>Teofilów</t>
        </is>
      </c>
      <c r="I945" t="inlineStr">
        <is>
          <t>NIE</t>
        </is>
      </c>
      <c r="J945" t="inlineStr">
        <is>
          <t>NIE</t>
        </is>
      </c>
      <c r="K945" t="n">
        <v>732819780</v>
      </c>
      <c r="L945" t="n">
        <v>299000</v>
      </c>
      <c r="M945" t="n">
        <v>6644.444444444444</v>
      </c>
      <c r="N945" t="n">
        <v>45</v>
      </c>
      <c r="O945" t="inlineStr">
        <is>
          <t>2+k</t>
        </is>
      </c>
      <c r="P945" t="n">
        <v>0</v>
      </c>
      <c r="Q945" t="inlineStr">
        <is>
          <t>Nie da się zamieszkać</t>
        </is>
      </c>
    </row>
    <row r="946">
      <c r="A946" t="n">
        <v>945</v>
      </c>
      <c r="B946" s="3" t="n">
        <v>45547</v>
      </c>
      <c r="D946" t="inlineStr">
        <is>
          <t>https://adresowo.pl/o/s1h4u9</t>
        </is>
      </c>
      <c r="E946">
        <f>HYPERLINK("https://adresowo.pl/o/s1h4u9", "https://adresowo.pl/o/s1h4u9")</f>
        <v/>
      </c>
      <c r="F946" t="inlineStr">
        <is>
          <t>bratysławska</t>
        </is>
      </c>
      <c r="G946" t="inlineStr">
        <is>
          <t>Retkinia</t>
        </is>
      </c>
      <c r="H946" t="inlineStr">
        <is>
          <t>Retkinia blisko centrum</t>
        </is>
      </c>
      <c r="I946" t="inlineStr">
        <is>
          <t>NIE</t>
        </is>
      </c>
      <c r="J946" t="inlineStr">
        <is>
          <t>NIE</t>
        </is>
      </c>
      <c r="L946" t="n">
        <v>340000</v>
      </c>
      <c r="M946" t="n">
        <v>7311.827956989247</v>
      </c>
      <c r="N946" t="n">
        <v>46.5</v>
      </c>
      <c r="O946" t="inlineStr">
        <is>
          <t>3+k</t>
        </is>
      </c>
      <c r="P946" t="n">
        <v>10</v>
      </c>
      <c r="Q946" t="inlineStr">
        <is>
          <t>Puste</t>
        </is>
      </c>
    </row>
    <row r="947">
      <c r="A947" t="n">
        <v>946</v>
      </c>
      <c r="B947" s="3" t="n">
        <v>45547</v>
      </c>
      <c r="E947">
        <f>HYPERLINK("nan", "nan")</f>
        <v/>
      </c>
      <c r="F947" t="inlineStr">
        <is>
          <t>olimipijska</t>
        </is>
      </c>
      <c r="G947" t="inlineStr">
        <is>
          <t>Retkinia</t>
        </is>
      </c>
      <c r="H947" t="inlineStr">
        <is>
          <t>Retkinia</t>
        </is>
      </c>
      <c r="I947" t="inlineStr">
        <is>
          <t>NIE</t>
        </is>
      </c>
      <c r="J947" t="inlineStr">
        <is>
          <t>TAK</t>
        </is>
      </c>
      <c r="K947" t="n">
        <v>798735886</v>
      </c>
      <c r="L947" t="n">
        <v>420000</v>
      </c>
      <c r="M947" t="n">
        <v>7924.528301886792</v>
      </c>
      <c r="N947" t="n">
        <v>53</v>
      </c>
      <c r="O947" t="inlineStr">
        <is>
          <t>3+k</t>
        </is>
      </c>
      <c r="P947" t="n">
        <v>2</v>
      </c>
      <c r="Q947" t="inlineStr">
        <is>
          <t>Nie da się zamieszkać</t>
        </is>
      </c>
    </row>
    <row r="948">
      <c r="A948" t="n">
        <v>947</v>
      </c>
      <c r="B948" s="3" t="n">
        <v>45548</v>
      </c>
      <c r="D948" t="inlineStr">
        <is>
          <t>https://www.olx.pl/d/oferta/mieszkanie-m3-36-2m2-z-balkonem-lanowa-do-remontu-dostepne-od-zaraz-CID3-ID11UYXf.html</t>
        </is>
      </c>
      <c r="E948">
        <f>HYPERLINK("https://www.olx.pl/d/oferta/mieszkanie-m3-36-2m2-z-balkonem-lanowa-do-remontu-dostepne-od-zaraz-CID3-ID11UYXf.html", "https://www.olx.pl/d/oferta/mieszkanie-m3-36-2m2-z-balkonem-lanowa-do-remontu-dostepne-od-zaraz-CID3-ID11UYXf.html")</f>
        <v/>
      </c>
      <c r="F948" t="inlineStr">
        <is>
          <t>łanowa</t>
        </is>
      </c>
      <c r="G948" t="inlineStr">
        <is>
          <t>Teofilów</t>
        </is>
      </c>
      <c r="H948" t="inlineStr">
        <is>
          <t>Teofilów</t>
        </is>
      </c>
      <c r="I948" t="inlineStr">
        <is>
          <t>NIE</t>
        </is>
      </c>
      <c r="J948" t="inlineStr">
        <is>
          <t>TAK</t>
        </is>
      </c>
      <c r="K948" t="n">
        <v>604062337</v>
      </c>
      <c r="L948" t="n">
        <v>266000</v>
      </c>
      <c r="M948" t="n">
        <v>7348.066298342541</v>
      </c>
      <c r="N948" t="n">
        <v>36.2</v>
      </c>
      <c r="O948" t="inlineStr">
        <is>
          <t>2+k</t>
        </is>
      </c>
      <c r="P948" t="n">
        <v>3</v>
      </c>
      <c r="Q948" t="inlineStr">
        <is>
          <t>Nie da się zamieszkać</t>
        </is>
      </c>
    </row>
    <row r="949">
      <c r="A949" t="n">
        <v>948</v>
      </c>
      <c r="B949" s="3" t="n">
        <v>45548</v>
      </c>
      <c r="D949" t="inlineStr">
        <is>
          <t>https://www.otodom.pl/pl/oferta/m4-pelen-rozklad-balkon-ii-pietro-retkinia-ID4ssls.html</t>
        </is>
      </c>
      <c r="E949">
        <f>HYPERLINK("https://www.otodom.pl/pl/oferta/m4-pelen-rozklad-balkon-ii-pietro-retkinia-ID4ssls.html", "https://www.otodom.pl/pl/oferta/m4-pelen-rozklad-balkon-ii-pietro-retkinia-ID4ssls.html")</f>
        <v/>
      </c>
      <c r="F949" t="inlineStr">
        <is>
          <t>ogród botaniczny</t>
        </is>
      </c>
      <c r="G949" t="inlineStr">
        <is>
          <t>Retkinia</t>
        </is>
      </c>
      <c r="H949" t="inlineStr">
        <is>
          <t>Retkinia</t>
        </is>
      </c>
      <c r="I949" t="inlineStr">
        <is>
          <t>NIE</t>
        </is>
      </c>
      <c r="J949" t="inlineStr">
        <is>
          <t>TAK</t>
        </is>
      </c>
      <c r="K949" t="n">
        <v>798735886</v>
      </c>
      <c r="L949" t="n">
        <v>420000</v>
      </c>
      <c r="M949" t="n">
        <v>7924.528301886792</v>
      </c>
      <c r="N949" t="n">
        <v>53</v>
      </c>
      <c r="O949" t="inlineStr">
        <is>
          <t>2+k</t>
        </is>
      </c>
      <c r="P949" t="n">
        <v>2</v>
      </c>
      <c r="Q949" t="inlineStr">
        <is>
          <t>Nie da się zamieszkać</t>
        </is>
      </c>
    </row>
    <row r="950">
      <c r="A950" t="n">
        <v>949</v>
      </c>
      <c r="B950" s="3" t="n">
        <v>45548</v>
      </c>
      <c r="D950" t="inlineStr">
        <is>
          <t>https://www.otodom.pl/pl/oferta/dla-chcacego-nic-trudnego-ID4rJy1.html</t>
        </is>
      </c>
      <c r="E950">
        <f>HYPERLINK("https://www.otodom.pl/pl/oferta/dla-chcacego-nic-trudnego-ID4rJy1.html", "https://www.otodom.pl/pl/oferta/dla-chcacego-nic-trudnego-ID4rJy1.html")</f>
        <v/>
      </c>
      <c r="F950" t="inlineStr">
        <is>
          <t>parcelacyjna</t>
        </is>
      </c>
      <c r="G950" t="inlineStr">
        <is>
          <t>Teofilów</t>
        </is>
      </c>
      <c r="H950" t="inlineStr">
        <is>
          <t>Teofilów</t>
        </is>
      </c>
      <c r="I950" t="inlineStr">
        <is>
          <t>NIE</t>
        </is>
      </c>
      <c r="J950" t="inlineStr">
        <is>
          <t>TAK</t>
        </is>
      </c>
      <c r="K950" t="n">
        <v>503891520</v>
      </c>
      <c r="L950" t="n">
        <v>320000</v>
      </c>
      <c r="M950" t="n">
        <v>7046.905967848492</v>
      </c>
      <c r="N950" t="n">
        <v>45.41</v>
      </c>
      <c r="O950" t="inlineStr">
        <is>
          <t>2+k</t>
        </is>
      </c>
      <c r="P950" t="n">
        <v>2</v>
      </c>
      <c r="Q950" t="inlineStr">
        <is>
          <t>Nie da się zamieszkać</t>
        </is>
      </c>
      <c r="R950" t="inlineStr">
        <is>
          <t>17.09 było 320k</t>
        </is>
      </c>
    </row>
    <row r="951">
      <c r="A951" t="n">
        <v>950</v>
      </c>
      <c r="B951" s="3" t="n">
        <v>45548</v>
      </c>
      <c r="D951" t="inlineStr">
        <is>
          <t>https://www.olx.pl/d/oferta/sprzedam-CID3-ID11Wt0r.html</t>
        </is>
      </c>
      <c r="E951">
        <f>HYPERLINK("https://www.olx.pl/d/oferta/sprzedam-CID3-ID11Wt0r.html", "https://www.olx.pl/d/oferta/sprzedam-CID3-ID11Wt0r.html")</f>
        <v/>
      </c>
      <c r="F951" t="inlineStr">
        <is>
          <t>osiedle czarnieckiego</t>
        </is>
      </c>
      <c r="G951" t="inlineStr">
        <is>
          <t>Bałuty</t>
        </is>
      </c>
      <c r="H951" t="inlineStr">
        <is>
          <t>Bałuty</t>
        </is>
      </c>
      <c r="I951" t="inlineStr">
        <is>
          <t>NIE</t>
        </is>
      </c>
      <c r="J951" t="inlineStr">
        <is>
          <t>NIE</t>
        </is>
      </c>
      <c r="K951" t="n">
        <v>604612654</v>
      </c>
      <c r="L951" t="n">
        <v>295000</v>
      </c>
      <c r="M951" t="n">
        <v>6536.671836915577</v>
      </c>
      <c r="N951" t="n">
        <v>45.13</v>
      </c>
      <c r="O951" t="inlineStr">
        <is>
          <t>2+k</t>
        </is>
      </c>
      <c r="P951" t="n">
        <v>6</v>
      </c>
      <c r="Q951" t="inlineStr">
        <is>
          <t>Nie da się zamieszkać</t>
        </is>
      </c>
    </row>
    <row r="952">
      <c r="A952" t="n">
        <v>951</v>
      </c>
      <c r="B952" s="3" t="n">
        <v>45548</v>
      </c>
      <c r="D952" t="inlineStr">
        <is>
          <t>https://www.olx.pl/d/oferta/mieszkanie-przy-aleksandrowskiej-CID3-ID10iOpH.html?isPreviewActive=0&amp;sliderIndex=14</t>
        </is>
      </c>
      <c r="E952">
        <f>HYPERLINK("https://www.olx.pl/d/oferta/mieszkanie-przy-aleksandrowskiej-CID3-ID10iOpH.html?isPreviewActive=0&amp;sliderIndex=14", "https://www.olx.pl/d/oferta/mieszkanie-przy-aleksandrowskiej-CID3-ID10iOpH.html?isPreviewActive=0&amp;sliderIndex=14")</f>
        <v/>
      </c>
      <c r="F952" t="inlineStr">
        <is>
          <t>Aleksandrowska</t>
        </is>
      </c>
      <c r="G952" t="inlineStr">
        <is>
          <t>Teofilów</t>
        </is>
      </c>
      <c r="H952" t="inlineStr">
        <is>
          <t>Teofilów</t>
        </is>
      </c>
      <c r="I952" t="inlineStr">
        <is>
          <t>NIE</t>
        </is>
      </c>
      <c r="J952" t="inlineStr">
        <is>
          <t>TAK</t>
        </is>
      </c>
      <c r="K952" t="n">
        <v>794219502</v>
      </c>
      <c r="L952" t="n">
        <v>343000</v>
      </c>
      <c r="M952" t="n">
        <v>5988.128491620111</v>
      </c>
      <c r="N952" t="n">
        <v>57.28</v>
      </c>
      <c r="O952" t="inlineStr">
        <is>
          <t>3+k</t>
        </is>
      </c>
      <c r="P952" t="n">
        <v>3</v>
      </c>
      <c r="Q952" t="inlineStr">
        <is>
          <t>Nie da się zamieszkać</t>
        </is>
      </c>
    </row>
    <row r="953">
      <c r="A953" t="n">
        <v>952</v>
      </c>
      <c r="B953" s="3" t="n">
        <v>45548</v>
      </c>
      <c r="D953" t="inlineStr">
        <is>
          <t>https://www.otodom.pl/pl/oferta/m-3-baluty-2-pietro-balkon-ID4stAE.html</t>
        </is>
      </c>
      <c r="E953">
        <f>HYPERLINK("https://www.otodom.pl/pl/oferta/m-3-baluty-2-pietro-balkon-ID4stAE.html", "https://www.otodom.pl/pl/oferta/m-3-baluty-2-pietro-balkon-ID4stAE.html")</f>
        <v/>
      </c>
      <c r="F953" t="inlineStr">
        <is>
          <t>limanowskiego</t>
        </is>
      </c>
      <c r="G953" t="inlineStr">
        <is>
          <t>Bałuty</t>
        </is>
      </c>
      <c r="H953" t="inlineStr">
        <is>
          <t>Bałuty blisko centrum</t>
        </is>
      </c>
      <c r="I953" t="inlineStr">
        <is>
          <t>NIE</t>
        </is>
      </c>
      <c r="J953" t="inlineStr">
        <is>
          <t>TAK</t>
        </is>
      </c>
      <c r="K953" t="n">
        <v>510266471</v>
      </c>
      <c r="L953" t="n">
        <v>320000</v>
      </c>
      <c r="M953" t="n">
        <v>7126.948775055679</v>
      </c>
      <c r="N953" t="n">
        <v>44.9</v>
      </c>
      <c r="O953" t="inlineStr">
        <is>
          <t>2+k</t>
        </is>
      </c>
      <c r="P953" t="n">
        <v>2</v>
      </c>
      <c r="Q953" t="inlineStr">
        <is>
          <t>Nie da się zamieszkać</t>
        </is>
      </c>
    </row>
    <row r="954">
      <c r="A954" t="n">
        <v>953</v>
      </c>
      <c r="B954" s="3" t="n">
        <v>45549</v>
      </c>
      <c r="D954" t="inlineStr">
        <is>
          <t>https://www.olx.pl/d/oferta/bezposrednio-sprzedam-mieszkanie-2-pokojowe-45-5m2-CID3-ID11U7xO.html</t>
        </is>
      </c>
      <c r="E954">
        <f>HYPERLINK("https://www.olx.pl/d/oferta/bezposrednio-sprzedam-mieszkanie-2-pokojowe-45-5m2-CID3-ID11U7xO.html", "https://www.olx.pl/d/oferta/bezposrednio-sprzedam-mieszkanie-2-pokojowe-45-5m2-CID3-ID11U7xO.html")</f>
        <v/>
      </c>
      <c r="F954" t="inlineStr">
        <is>
          <t>parcelacyjna</t>
        </is>
      </c>
      <c r="G954" t="inlineStr">
        <is>
          <t>Teofilów</t>
        </is>
      </c>
      <c r="H954" t="inlineStr">
        <is>
          <t>Teofilów</t>
        </is>
      </c>
      <c r="I954" t="inlineStr">
        <is>
          <t>NIE</t>
        </is>
      </c>
      <c r="J954" t="inlineStr">
        <is>
          <t>TAK</t>
        </is>
      </c>
      <c r="K954" t="n">
        <v>605191695</v>
      </c>
      <c r="L954" t="n">
        <v>285000</v>
      </c>
      <c r="M954" t="n">
        <v>6263.736263736264</v>
      </c>
      <c r="N954" t="n">
        <v>45.5</v>
      </c>
      <c r="O954" t="inlineStr">
        <is>
          <t>2+k</t>
        </is>
      </c>
      <c r="P954" t="n">
        <v>0</v>
      </c>
      <c r="Q954" t="inlineStr">
        <is>
          <t>Nie da się zamieszkać</t>
        </is>
      </c>
    </row>
    <row r="955">
      <c r="A955" t="n">
        <v>954</v>
      </c>
      <c r="B955" s="3" t="n">
        <v>45549</v>
      </c>
      <c r="D955" t="inlineStr">
        <is>
          <t>https://www.olx.pl/d/oferta/mieszkanie-3-pokojowe-CID3-ID11Vdie.html</t>
        </is>
      </c>
      <c r="E955">
        <f>HYPERLINK("https://www.olx.pl/d/oferta/mieszkanie-3-pokojowe-CID3-ID11Vdie.html", "https://www.olx.pl/d/oferta/mieszkanie-3-pokojowe-CID3-ID11Vdie.html")</f>
        <v/>
      </c>
      <c r="F955" t="inlineStr">
        <is>
          <t>.</t>
        </is>
      </c>
      <c r="G955" t="inlineStr">
        <is>
          <t>Bałuty</t>
        </is>
      </c>
      <c r="H955" t="inlineStr">
        <is>
          <t>Bałuty</t>
        </is>
      </c>
      <c r="I955" t="inlineStr">
        <is>
          <t>NIE</t>
        </is>
      </c>
      <c r="J955" t="inlineStr">
        <is>
          <t>NIE</t>
        </is>
      </c>
      <c r="K955" t="n">
        <v>731316869</v>
      </c>
      <c r="L955" t="n">
        <v>440000</v>
      </c>
      <c r="M955" t="n">
        <v>7719.298245614035</v>
      </c>
      <c r="N955" t="n">
        <v>57</v>
      </c>
      <c r="O955" t="inlineStr">
        <is>
          <t>3+k</t>
        </is>
      </c>
      <c r="P955" t="n">
        <v>10</v>
      </c>
      <c r="Q955" t="inlineStr">
        <is>
          <t>Nie da się zamieszkać</t>
        </is>
      </c>
    </row>
    <row r="956">
      <c r="A956" t="n">
        <v>955</v>
      </c>
      <c r="B956" s="3" t="n">
        <v>45549</v>
      </c>
      <c r="D956" t="inlineStr">
        <is>
          <t>https://www.otodom.pl/pl/oferta/sprzedam-m3-40-m2-ulica-wygodna-lodz-ID4sfyx.html</t>
        </is>
      </c>
      <c r="E956">
        <f>HYPERLINK("https://www.otodom.pl/pl/oferta/sprzedam-m3-40-m2-ulica-wygodna-lodz-ID4sfyx.html", "https://www.otodom.pl/pl/oferta/sprzedam-m3-40-m2-ulica-wygodna-lodz-ID4sfyx.html")</f>
        <v/>
      </c>
      <c r="F956" t="inlineStr">
        <is>
          <t>wygodna</t>
        </is>
      </c>
      <c r="G956" t="inlineStr">
        <is>
          <t>Retkinia</t>
        </is>
      </c>
      <c r="H956" t="inlineStr">
        <is>
          <t>Retkinia blisko centrum</t>
        </is>
      </c>
      <c r="I956" t="inlineStr">
        <is>
          <t>NIE</t>
        </is>
      </c>
      <c r="J956" t="inlineStr">
        <is>
          <t>TAK</t>
        </is>
      </c>
      <c r="K956" t="n">
        <v>662517850</v>
      </c>
      <c r="L956" t="n">
        <v>295000</v>
      </c>
      <c r="M956" t="n">
        <v>7219.774840920216</v>
      </c>
      <c r="N956" t="n">
        <v>40.86</v>
      </c>
      <c r="O956" t="inlineStr">
        <is>
          <t>2+k</t>
        </is>
      </c>
      <c r="P956" t="n">
        <v>1</v>
      </c>
      <c r="Q956" t="inlineStr">
        <is>
          <t>Nie da się zamieszkać</t>
        </is>
      </c>
    </row>
    <row r="957">
      <c r="A957" t="n">
        <v>956</v>
      </c>
      <c r="B957" s="3" t="n">
        <v>45549</v>
      </c>
      <c r="D957" t="inlineStr">
        <is>
          <t>https://www.olx.pl/d/oferta/mieszkanie-m4-super-lokalizacja-kossaka-25-dabrowa-wiezowiec-3-pokoje-CID3-ID11oqA0.html?isPreviewActive=0&amp;sliderIndex=4</t>
        </is>
      </c>
      <c r="E957">
        <f>HYPERLINK("https://www.olx.pl/d/oferta/mieszkanie-m4-super-lokalizacja-kossaka-25-dabrowa-wiezowiec-3-pokoje-CID3-ID11oqA0.html?isPreviewActive=0&amp;sliderIndex=4", "https://www.olx.pl/d/oferta/mieszkanie-m4-super-lokalizacja-kossaka-25-dabrowa-wiezowiec-3-pokoje-CID3-ID11oqA0.html?isPreviewActive=0&amp;sliderIndex=4")</f>
        <v/>
      </c>
      <c r="F957" t="inlineStr">
        <is>
          <t>kossaka</t>
        </is>
      </c>
      <c r="G957" t="inlineStr">
        <is>
          <t>Dąbrowa</t>
        </is>
      </c>
      <c r="H957" t="inlineStr">
        <is>
          <t>Dąbrowa</t>
        </is>
      </c>
      <c r="I957" t="inlineStr">
        <is>
          <t>NIE</t>
        </is>
      </c>
      <c r="J957" t="inlineStr">
        <is>
          <t>NIE</t>
        </is>
      </c>
      <c r="K957" t="n">
        <v>507826464</v>
      </c>
      <c r="L957" t="n">
        <v>340000</v>
      </c>
      <c r="M957" t="n">
        <v>7083.333333333333</v>
      </c>
      <c r="N957" t="n">
        <v>48</v>
      </c>
      <c r="O957" t="inlineStr">
        <is>
          <t>2+k</t>
        </is>
      </c>
      <c r="P957" t="n">
        <v>7</v>
      </c>
      <c r="Q957" t="inlineStr">
        <is>
          <t>Nie da się zamieszkać</t>
        </is>
      </c>
    </row>
    <row r="958">
      <c r="A958" t="n">
        <v>957</v>
      </c>
      <c r="B958" s="3" t="n">
        <v>45549</v>
      </c>
      <c r="D958" t="inlineStr">
        <is>
          <t>https://www.otodom.pl/pl/oferta/w-pelni-rozkladowe-2-pokojowe-do-aranzacji-ID4sucU.html</t>
        </is>
      </c>
      <c r="E958">
        <f>HYPERLINK("https://www.otodom.pl/pl/oferta/w-pelni-rozkladowe-2-pokojowe-do-aranzacji-ID4sucU.html", "https://www.otodom.pl/pl/oferta/w-pelni-rozkladowe-2-pokojowe-do-aranzacji-ID4sucU.html")</f>
        <v/>
      </c>
      <c r="F958" t="inlineStr">
        <is>
          <t>radka</t>
        </is>
      </c>
      <c r="G958" t="inlineStr">
        <is>
          <t>Teofilów</t>
        </is>
      </c>
      <c r="H958" t="inlineStr">
        <is>
          <t>Teofilów</t>
        </is>
      </c>
      <c r="I958" t="inlineStr">
        <is>
          <t>NIE</t>
        </is>
      </c>
      <c r="J958" t="inlineStr">
        <is>
          <t>TAK</t>
        </is>
      </c>
      <c r="K958" t="n">
        <v>504900221</v>
      </c>
      <c r="L958" t="n">
        <v>280000</v>
      </c>
      <c r="M958" t="n">
        <v>6208.425720620842</v>
      </c>
      <c r="N958" t="n">
        <v>45.1</v>
      </c>
      <c r="O958" t="inlineStr">
        <is>
          <t>2+k</t>
        </is>
      </c>
      <c r="P958" t="n">
        <v>0</v>
      </c>
      <c r="Q958" t="inlineStr">
        <is>
          <t>Nie da się zamieszkać</t>
        </is>
      </c>
    </row>
    <row r="959">
      <c r="A959" t="n">
        <v>958</v>
      </c>
      <c r="B959" s="3" t="n">
        <v>45549</v>
      </c>
      <c r="D959" t="inlineStr">
        <is>
          <t>https://www.olx.pl/d/oferta/mieszkanie-m3-36-7m2-dabrowa-dabrowskiego-44a-CID3-IDZrg92.html</t>
        </is>
      </c>
      <c r="E959">
        <f>HYPERLINK("https://www.olx.pl/d/oferta/mieszkanie-m3-36-7m2-dabrowa-dabrowskiego-44a-CID3-IDZrg92.html", "https://www.olx.pl/d/oferta/mieszkanie-m3-36-7m2-dabrowa-dabrowskiego-44a-CID3-IDZrg92.html")</f>
        <v/>
      </c>
      <c r="F959" t="inlineStr">
        <is>
          <t xml:space="preserve">dąbrowskiego </t>
        </is>
      </c>
      <c r="G959" t="inlineStr">
        <is>
          <t>Dąbrowa</t>
        </is>
      </c>
      <c r="H959" t="inlineStr">
        <is>
          <t>Dąbrowa</t>
        </is>
      </c>
      <c r="I959" t="inlineStr">
        <is>
          <t>NIE</t>
        </is>
      </c>
      <c r="J959" t="inlineStr">
        <is>
          <t>NIE</t>
        </is>
      </c>
      <c r="K959" t="n">
        <v>793030603</v>
      </c>
      <c r="L959" t="n">
        <v>265000</v>
      </c>
      <c r="M959" t="n">
        <v>7220.708446866484</v>
      </c>
      <c r="N959" t="n">
        <v>36.7</v>
      </c>
      <c r="O959" t="inlineStr">
        <is>
          <t>2+k</t>
        </is>
      </c>
      <c r="P959" t="n">
        <v>0</v>
      </c>
      <c r="Q959" t="inlineStr">
        <is>
          <t>Nie da się zamieszkać</t>
        </is>
      </c>
    </row>
    <row r="960">
      <c r="A960" t="n">
        <v>959</v>
      </c>
      <c r="B960" s="3" t="n">
        <v>45549</v>
      </c>
      <c r="D960" t="inlineStr">
        <is>
          <t>https://www.olx.pl/d/oferta/mieszkanie-3-pokoje-z-widokiem-na-ogrod-botaniczny-CID3-ID11VNTM.html?isPreviewActive=0&amp;sliderIndex=3</t>
        </is>
      </c>
      <c r="E960">
        <f>HYPERLINK("https://www.olx.pl/d/oferta/mieszkanie-3-pokoje-z-widokiem-na-ogrod-botaniczny-CID3-ID11VNTM.html?isPreviewActive=0&amp;sliderIndex=3", "https://www.olx.pl/d/oferta/mieszkanie-3-pokoje-z-widokiem-na-ogrod-botaniczny-CID3-ID11VNTM.html?isPreviewActive=0&amp;sliderIndex=3")</f>
        <v/>
      </c>
      <c r="F960" t="inlineStr">
        <is>
          <t>ogród botaniczny</t>
        </is>
      </c>
      <c r="G960" t="inlineStr">
        <is>
          <t>Retkinia</t>
        </is>
      </c>
      <c r="H960" t="inlineStr">
        <is>
          <t>Retkinia</t>
        </is>
      </c>
      <c r="I960" t="inlineStr">
        <is>
          <t>NIE</t>
        </is>
      </c>
      <c r="J960" t="inlineStr">
        <is>
          <t>TAK</t>
        </is>
      </c>
      <c r="K960" t="n">
        <v>694107296</v>
      </c>
      <c r="L960" t="n">
        <v>330000</v>
      </c>
      <c r="M960" t="n">
        <v>6987.084480203261</v>
      </c>
      <c r="N960" t="n">
        <v>47.23</v>
      </c>
      <c r="O960" t="inlineStr">
        <is>
          <t>3+k</t>
        </is>
      </c>
      <c r="P960" t="n">
        <v>8</v>
      </c>
      <c r="Q960" t="inlineStr">
        <is>
          <t>Nie da się zamieszkać</t>
        </is>
      </c>
    </row>
    <row r="961">
      <c r="A961" t="n">
        <v>960</v>
      </c>
      <c r="B961" s="3" t="n">
        <v>45549</v>
      </c>
      <c r="D961" t="inlineStr">
        <is>
          <t>https://adresowo.pl/o/q5k6c7</t>
        </is>
      </c>
      <c r="E961">
        <f>HYPERLINK("https://adresowo.pl/o/q5k6c7", "https://adresowo.pl/o/q5k6c7")</f>
        <v/>
      </c>
      <c r="F961" t="inlineStr">
        <is>
          <t>napierskiego</t>
        </is>
      </c>
      <c r="G961" t="inlineStr">
        <is>
          <t>Retkinia</t>
        </is>
      </c>
      <c r="H961" t="inlineStr">
        <is>
          <t>Retkinia</t>
        </is>
      </c>
      <c r="I961" t="inlineStr">
        <is>
          <t>NIE</t>
        </is>
      </c>
      <c r="J961" t="inlineStr">
        <is>
          <t>NIE</t>
        </is>
      </c>
      <c r="L961" t="n">
        <v>245000</v>
      </c>
      <c r="M961" t="n">
        <v>7918.552036199095</v>
      </c>
      <c r="N961" t="n">
        <v>30.94</v>
      </c>
      <c r="O961" t="inlineStr">
        <is>
          <t>1+k</t>
        </is>
      </c>
      <c r="P961" t="n">
        <v>8</v>
      </c>
      <c r="Q961" t="inlineStr">
        <is>
          <t>Nie da się zamieszkać</t>
        </is>
      </c>
    </row>
    <row r="962">
      <c r="A962" t="n">
        <v>961</v>
      </c>
      <c r="B962" s="3" t="n">
        <v>45550</v>
      </c>
      <c r="D962" t="inlineStr">
        <is>
          <t>https://www.oferty.net/mieszkanie-na-sprzedaz-sierakowskiego-lodz-baluty-27m2-kawalerka-209000-pln-ba,1539406427</t>
        </is>
      </c>
      <c r="E962">
        <f>HYPERLINK("https://www.oferty.net/mieszkanie-na-sprzedaz-sierakowskiego-lodz-baluty-27m2-kawalerka-209000-pln-ba,1539406427", "https://www.oferty.net/mieszkanie-na-sprzedaz-sierakowskiego-lodz-baluty-27m2-kawalerka-209000-pln-ba,1539406427")</f>
        <v/>
      </c>
      <c r="F962" t="inlineStr">
        <is>
          <t>sierakowskiego</t>
        </is>
      </c>
      <c r="G962" t="inlineStr">
        <is>
          <t>Bałuty</t>
        </is>
      </c>
      <c r="H962" t="inlineStr">
        <is>
          <t>Bałuty</t>
        </is>
      </c>
      <c r="I962" t="inlineStr">
        <is>
          <t>NIE</t>
        </is>
      </c>
      <c r="J962" t="inlineStr">
        <is>
          <t>TAK</t>
        </is>
      </c>
      <c r="K962" t="n">
        <v>733666290</v>
      </c>
      <c r="L962" t="n">
        <v>209000</v>
      </c>
      <c r="M962" t="n">
        <v>7740.740740740741</v>
      </c>
      <c r="N962" t="n">
        <v>27</v>
      </c>
      <c r="O962" t="inlineStr">
        <is>
          <t>1+k</t>
        </is>
      </c>
      <c r="P962" t="n">
        <v>3</v>
      </c>
      <c r="Q962" t="inlineStr">
        <is>
          <t>Nie da się zamieszkać</t>
        </is>
      </c>
    </row>
    <row r="963">
      <c r="A963" t="n">
        <v>962</v>
      </c>
      <c r="B963" s="3" t="n">
        <v>45550</v>
      </c>
      <c r="D963" t="inlineStr">
        <is>
          <t>https://www.olx.pl/d/oferta/enklawa-ciszy-i-spokoju-CID3-ID11YlvA.html</t>
        </is>
      </c>
      <c r="E963">
        <f>HYPERLINK("https://www.olx.pl/d/oferta/enklawa-ciszy-i-spokoju-CID3-ID11YlvA.html", "https://www.olx.pl/d/oferta/enklawa-ciszy-i-spokoju-CID3-ID11YlvA.html")</f>
        <v/>
      </c>
      <c r="F963" t="inlineStr">
        <is>
          <t>.</t>
        </is>
      </c>
      <c r="G963" t="inlineStr">
        <is>
          <t>Dąbrowa</t>
        </is>
      </c>
      <c r="H963" t="inlineStr">
        <is>
          <t>Dąbrowa</t>
        </is>
      </c>
      <c r="I963" t="inlineStr">
        <is>
          <t>NIE</t>
        </is>
      </c>
      <c r="J963" t="inlineStr">
        <is>
          <t>TAK</t>
        </is>
      </c>
      <c r="K963" t="n">
        <v>661097154</v>
      </c>
      <c r="L963" t="n">
        <v>265000</v>
      </c>
      <c r="M963" t="n">
        <v>7361.111111111111</v>
      </c>
      <c r="N963" t="n">
        <v>36</v>
      </c>
      <c r="O963" t="inlineStr">
        <is>
          <t>2+k</t>
        </is>
      </c>
      <c r="P963" t="n">
        <v>3</v>
      </c>
      <c r="Q963" t="inlineStr">
        <is>
          <t>Nie da się zamieszkać</t>
        </is>
      </c>
    </row>
    <row r="964">
      <c r="A964" t="n">
        <v>963</v>
      </c>
      <c r="B964" s="3" t="n">
        <v>45550</v>
      </c>
      <c r="D964" t="inlineStr">
        <is>
          <t>https://domy.pl/mieszkanie/lodz-baluty-marynarska-2-pokoje-290000-pln-45m2-sba/dol1741428248</t>
        </is>
      </c>
      <c r="E964">
        <f>HYPERLINK("https://domy.pl/mieszkanie/lodz-baluty-marynarska-2-pokoje-290000-pln-45m2-sba/dol1741428248", "https://domy.pl/mieszkanie/lodz-baluty-marynarska-2-pokoje-290000-pln-45m2-sba/dol1741428248")</f>
        <v/>
      </c>
      <c r="F964" t="inlineStr">
        <is>
          <t xml:space="preserve">marynarska </t>
        </is>
      </c>
      <c r="G964" t="inlineStr">
        <is>
          <t>Bałuty</t>
        </is>
      </c>
      <c r="H964" t="inlineStr">
        <is>
          <t>Bałuty blisko centrum</t>
        </is>
      </c>
      <c r="I964" t="inlineStr">
        <is>
          <t>NIE</t>
        </is>
      </c>
      <c r="J964" t="inlineStr">
        <is>
          <t>TAK</t>
        </is>
      </c>
      <c r="K964" t="n">
        <v>511000217</v>
      </c>
      <c r="L964" t="n">
        <v>290000</v>
      </c>
      <c r="M964" t="n">
        <v>6444.444444444444</v>
      </c>
      <c r="N964" t="n">
        <v>45</v>
      </c>
      <c r="O964" t="inlineStr">
        <is>
          <t>2+k</t>
        </is>
      </c>
      <c r="P964" t="n">
        <v>6</v>
      </c>
      <c r="Q964" t="inlineStr">
        <is>
          <t>Nie da się zamieszkać</t>
        </is>
      </c>
    </row>
    <row r="965">
      <c r="A965" t="n">
        <v>964</v>
      </c>
      <c r="B965" s="3" t="n">
        <v>45550</v>
      </c>
      <c r="D965" t="inlineStr">
        <is>
          <t>https://www.olx.pl/d/oferta/dzien-otwarty-18-09-2024-CID3-ID10EsmE.html</t>
        </is>
      </c>
      <c r="E965">
        <f>HYPERLINK("https://www.olx.pl/d/oferta/dzien-otwarty-18-09-2024-CID3-ID10EsmE.html", "https://www.olx.pl/d/oferta/dzien-otwarty-18-09-2024-CID3-ID10EsmE.html")</f>
        <v/>
      </c>
      <c r="F965" t="inlineStr">
        <is>
          <t>limanowskiego</t>
        </is>
      </c>
      <c r="G965" t="inlineStr">
        <is>
          <t>Bałuty</t>
        </is>
      </c>
      <c r="H965" t="inlineStr">
        <is>
          <t>Bałuty blisko centrum</t>
        </is>
      </c>
      <c r="I965" t="inlineStr">
        <is>
          <t>NIE</t>
        </is>
      </c>
      <c r="J965" t="inlineStr">
        <is>
          <t>TAK</t>
        </is>
      </c>
      <c r="K965" t="n">
        <v>787972126</v>
      </c>
      <c r="L965" t="n">
        <v>225000</v>
      </c>
      <c r="M965" t="n">
        <v>7601.351351351351</v>
      </c>
      <c r="N965" t="n">
        <v>29.6</v>
      </c>
      <c r="O965" t="inlineStr">
        <is>
          <t>2+k</t>
        </is>
      </c>
      <c r="P965" t="n">
        <v>2</v>
      </c>
      <c r="Q965" t="inlineStr">
        <is>
          <t>Nie da się zamieszkać</t>
        </is>
      </c>
    </row>
    <row r="966">
      <c r="A966" t="n">
        <v>965</v>
      </c>
      <c r="B966" s="3" t="n">
        <v>45550</v>
      </c>
      <c r="D966" t="inlineStr">
        <is>
          <t>https://www.olx.pl/d/oferta/rozkladowe-m-4-z-balkonem-blisko-lasek-widzewski-CID3-ID11YLYL.html</t>
        </is>
      </c>
      <c r="E966">
        <f>HYPERLINK("https://www.olx.pl/d/oferta/rozkladowe-m-4-z-balkonem-blisko-lasek-widzewski-CID3-ID11YLYL.html", "https://www.olx.pl/d/oferta/rozkladowe-m-4-z-balkonem-blisko-lasek-widzewski-CID3-ID11YLYL.html")</f>
        <v/>
      </c>
      <c r="F966" t="inlineStr">
        <is>
          <t>.</t>
        </is>
      </c>
      <c r="G966" t="inlineStr">
        <is>
          <t>Widzew</t>
        </is>
      </c>
      <c r="H966" t="inlineStr">
        <is>
          <t>Widzew</t>
        </is>
      </c>
      <c r="I966" t="inlineStr">
        <is>
          <t>NIE</t>
        </is>
      </c>
      <c r="J966" t="inlineStr">
        <is>
          <t>TAK</t>
        </is>
      </c>
      <c r="K966" t="n">
        <v>883541184</v>
      </c>
      <c r="L966" t="n">
        <v>369000</v>
      </c>
      <c r="M966" t="n">
        <v>6750.823271130626</v>
      </c>
      <c r="N966" t="n">
        <v>54.66</v>
      </c>
      <c r="O966" t="inlineStr">
        <is>
          <t>3+k</t>
        </is>
      </c>
      <c r="P966" t="n">
        <v>6</v>
      </c>
      <c r="Q966" t="inlineStr">
        <is>
          <t>Nie da się zamieszkać</t>
        </is>
      </c>
    </row>
    <row r="967">
      <c r="A967" t="n">
        <v>966</v>
      </c>
      <c r="B967" s="3" t="n">
        <v>45551</v>
      </c>
      <c r="D967" t="inlineStr">
        <is>
          <t>https://www.olx.pl/d/oferta/rozkladowe-z-balkonem-przy-manufakturze-CID3-ID11YP1t.html</t>
        </is>
      </c>
      <c r="E967">
        <f>HYPERLINK("https://www.olx.pl/d/oferta/rozkladowe-z-balkonem-przy-manufakturze-CID3-ID11YP1t.html", "https://www.olx.pl/d/oferta/rozkladowe-z-balkonem-przy-manufakturze-CID3-ID11YP1t.html")</f>
        <v/>
      </c>
      <c r="F967" t="inlineStr">
        <is>
          <t>limanowskiego</t>
        </is>
      </c>
      <c r="G967" t="inlineStr">
        <is>
          <t>Bałuty</t>
        </is>
      </c>
      <c r="H967" t="inlineStr">
        <is>
          <t>Bałuty blisko centrum</t>
        </is>
      </c>
      <c r="I967" t="inlineStr">
        <is>
          <t>NIE</t>
        </is>
      </c>
      <c r="J967" t="inlineStr">
        <is>
          <t>TAK</t>
        </is>
      </c>
      <c r="K967" t="n">
        <v>691861164</v>
      </c>
      <c r="L967" t="n">
        <v>343000</v>
      </c>
      <c r="M967" t="n">
        <v>6236.363636363636</v>
      </c>
      <c r="N967" t="n">
        <v>55</v>
      </c>
      <c r="O967" t="inlineStr">
        <is>
          <t>2+k</t>
        </is>
      </c>
      <c r="P967" t="n">
        <v>4</v>
      </c>
      <c r="Q967" t="inlineStr">
        <is>
          <t>Nie da się zamieszkać</t>
        </is>
      </c>
    </row>
    <row r="968">
      <c r="A968" t="n">
        <v>967</v>
      </c>
      <c r="B968" s="3" t="n">
        <v>45551</v>
      </c>
      <c r="D968" t="inlineStr">
        <is>
          <t>https://www.otodom.pl/pl/oferta/mieszkanie-48-m-lodz-ID4sv69.html</t>
        </is>
      </c>
      <c r="E968">
        <f>HYPERLINK("https://www.otodom.pl/pl/oferta/mieszkanie-48-m-lodz-ID4sv69.html", "https://www.otodom.pl/pl/oferta/mieszkanie-48-m-lodz-ID4sv69.html")</f>
        <v/>
      </c>
      <c r="F968" t="inlineStr">
        <is>
          <t>lubelska</t>
        </is>
      </c>
      <c r="G968" t="inlineStr">
        <is>
          <t>Górna</t>
        </is>
      </c>
      <c r="H968" t="inlineStr">
        <is>
          <t>Górna</t>
        </is>
      </c>
      <c r="I968" t="inlineStr">
        <is>
          <t>NIE</t>
        </is>
      </c>
      <c r="J968" t="inlineStr">
        <is>
          <t>TAK</t>
        </is>
      </c>
      <c r="K968" t="n">
        <v>500273168</v>
      </c>
      <c r="L968" t="n">
        <v>330000</v>
      </c>
      <c r="M968" t="n">
        <v>6875</v>
      </c>
      <c r="N968" t="n">
        <v>48</v>
      </c>
      <c r="O968" t="inlineStr">
        <is>
          <t>1+k</t>
        </is>
      </c>
      <c r="P968" t="n">
        <v>1</v>
      </c>
      <c r="Q968" t="inlineStr">
        <is>
          <t>Puste</t>
        </is>
      </c>
    </row>
    <row r="969">
      <c r="A969" t="n">
        <v>968</v>
      </c>
      <c r="B969" s="3" t="n">
        <v>45551</v>
      </c>
      <c r="D969" t="inlineStr">
        <is>
          <t>https://www.otodom.pl/pl/oferta/ul-rojna-26-mkw-studio-ID4svb1</t>
        </is>
      </c>
      <c r="E969">
        <f>HYPERLINK("https://www.otodom.pl/pl/oferta/ul-rojna-26-mkw-studio-ID4svb1", "https://www.otodom.pl/pl/oferta/ul-rojna-26-mkw-studio-ID4svb1")</f>
        <v/>
      </c>
      <c r="F969" t="inlineStr">
        <is>
          <t>rojna</t>
        </is>
      </c>
      <c r="G969" t="inlineStr">
        <is>
          <t>Teofilów</t>
        </is>
      </c>
      <c r="H969" t="inlineStr">
        <is>
          <t>Teofilów</t>
        </is>
      </c>
      <c r="I969" t="inlineStr">
        <is>
          <t>NIE</t>
        </is>
      </c>
      <c r="J969" t="inlineStr">
        <is>
          <t>TAK</t>
        </is>
      </c>
      <c r="K969" t="n">
        <v>732850888</v>
      </c>
      <c r="L969" t="n">
        <v>212000</v>
      </c>
      <c r="M969" t="n">
        <v>8030.303030303031</v>
      </c>
      <c r="N969" t="n">
        <v>26.4</v>
      </c>
      <c r="O969" t="inlineStr">
        <is>
          <t>1+k</t>
        </is>
      </c>
      <c r="P969" t="n">
        <v>3</v>
      </c>
      <c r="Q969" t="inlineStr">
        <is>
          <t>Puste</t>
        </is>
      </c>
    </row>
    <row r="970">
      <c r="A970" t="n">
        <v>969</v>
      </c>
      <c r="B970" s="3" t="n">
        <v>45552</v>
      </c>
      <c r="D970" t="inlineStr">
        <is>
          <t>https://www.otodom.pl/pl/oferta/m3-do-remontu-w-dzielnicy-baluty-ID4svpV</t>
        </is>
      </c>
      <c r="E970">
        <f>HYPERLINK("https://www.otodom.pl/pl/oferta/m3-do-remontu-w-dzielnicy-baluty-ID4svpV", "https://www.otodom.pl/pl/oferta/m3-do-remontu-w-dzielnicy-baluty-ID4svpV")</f>
        <v/>
      </c>
      <c r="F970" t="inlineStr">
        <is>
          <t>parcelacyjna</t>
        </is>
      </c>
      <c r="G970" t="inlineStr">
        <is>
          <t>Teofilów</t>
        </is>
      </c>
      <c r="H970" t="inlineStr">
        <is>
          <t>Teofilów</t>
        </is>
      </c>
      <c r="I970" t="inlineStr">
        <is>
          <t>NIE</t>
        </is>
      </c>
      <c r="J970" t="inlineStr">
        <is>
          <t>TAK</t>
        </is>
      </c>
      <c r="K970" t="n">
        <v>570888422</v>
      </c>
      <c r="L970" t="n">
        <v>285000</v>
      </c>
      <c r="M970" t="n">
        <v>6290.002207018318</v>
      </c>
      <c r="N970" t="n">
        <v>45.31</v>
      </c>
      <c r="O970" t="inlineStr">
        <is>
          <t>2+k</t>
        </is>
      </c>
      <c r="P970" t="n">
        <v>0</v>
      </c>
      <c r="Q970" t="inlineStr">
        <is>
          <t>Nie da się zamieszkać</t>
        </is>
      </c>
    </row>
    <row r="971">
      <c r="A971" t="n">
        <v>970</v>
      </c>
      <c r="B971" s="3" t="n">
        <v>45552</v>
      </c>
      <c r="D971" t="inlineStr">
        <is>
          <t>https://www.olx.pl/d/oferta/kawalerka-37m2-polesie-koziny-manufaktura-zdrowie-CID3-ID10QFro.html</t>
        </is>
      </c>
      <c r="E971">
        <f>HYPERLINK("https://www.olx.pl/d/oferta/kawalerka-37m2-polesie-koziny-manufaktura-zdrowie-CID3-ID10QFro.html", "https://www.olx.pl/d/oferta/kawalerka-37m2-polesie-koziny-manufaktura-zdrowie-CID3-ID10QFro.html")</f>
        <v/>
      </c>
      <c r="F971" t="inlineStr">
        <is>
          <t>kasprzaka</t>
        </is>
      </c>
      <c r="G971" t="inlineStr">
        <is>
          <t>Polesie</t>
        </is>
      </c>
      <c r="H971" t="inlineStr">
        <is>
          <t>Polesie</t>
        </is>
      </c>
      <c r="I971" t="inlineStr">
        <is>
          <t>NIE</t>
        </is>
      </c>
      <c r="J971" t="inlineStr">
        <is>
          <t>NIE</t>
        </is>
      </c>
      <c r="K971" t="n">
        <v>508077525</v>
      </c>
      <c r="L971" t="n">
        <v>260000</v>
      </c>
      <c r="M971" t="n">
        <v>7027.027027027027</v>
      </c>
      <c r="N971" t="n">
        <v>37</v>
      </c>
      <c r="O971" t="inlineStr">
        <is>
          <t>1+k</t>
        </is>
      </c>
      <c r="P971" t="n">
        <v>1</v>
      </c>
      <c r="Q971" t="inlineStr">
        <is>
          <t>Nie da się zamieszkać</t>
        </is>
      </c>
    </row>
    <row r="972">
      <c r="A972" t="n">
        <v>971</v>
      </c>
      <c r="B972" s="3" t="n">
        <v>45552</v>
      </c>
      <c r="D972" t="inlineStr">
        <is>
          <t>https://www.otodom.pl/pl/oferta/sprzedam-mieszkanie-ID4shsD.html</t>
        </is>
      </c>
      <c r="E972">
        <f>HYPERLINK("https://www.otodom.pl/pl/oferta/sprzedam-mieszkanie-ID4shsD.html", "https://www.otodom.pl/pl/oferta/sprzedam-mieszkanie-ID4shsD.html")</f>
        <v/>
      </c>
      <c r="F972" t="inlineStr">
        <is>
          <t>wygodna</t>
        </is>
      </c>
      <c r="G972" t="inlineStr">
        <is>
          <t>Retkinia</t>
        </is>
      </c>
      <c r="H972" t="inlineStr">
        <is>
          <t>Retkinia blisko centrum</t>
        </is>
      </c>
      <c r="I972" t="inlineStr">
        <is>
          <t>NIE</t>
        </is>
      </c>
      <c r="J972" t="inlineStr">
        <is>
          <t>TAK</t>
        </is>
      </c>
      <c r="K972" t="n">
        <v>504124676</v>
      </c>
      <c r="L972" t="n">
        <v>324000</v>
      </c>
      <c r="M972" t="n">
        <v>6893.617021276596</v>
      </c>
      <c r="N972" t="n">
        <v>47</v>
      </c>
      <c r="O972" t="inlineStr">
        <is>
          <t>2+k</t>
        </is>
      </c>
      <c r="P972" t="n">
        <v>2</v>
      </c>
      <c r="Q972" t="inlineStr">
        <is>
          <t>Da się zamieszkać</t>
        </is>
      </c>
    </row>
    <row r="973">
      <c r="A973" t="n">
        <v>972</v>
      </c>
      <c r="B973" s="3" t="n">
        <v>45552</v>
      </c>
      <c r="D973" t="inlineStr">
        <is>
          <t>https://www.otodom.pl/pl/oferta/m4-na-karolewie-ID4svxP</t>
        </is>
      </c>
      <c r="E973">
        <f>HYPERLINK("https://www.otodom.pl/pl/oferta/m4-na-karolewie-ID4svxP", "https://www.otodom.pl/pl/oferta/m4-na-karolewie-ID4svxP")</f>
        <v/>
      </c>
      <c r="F973" t="inlineStr">
        <is>
          <t>bratysławska</t>
        </is>
      </c>
      <c r="G973" t="inlineStr">
        <is>
          <t>Retkinia</t>
        </is>
      </c>
      <c r="H973" t="inlineStr">
        <is>
          <t>Retkinia blisko centrum</t>
        </is>
      </c>
      <c r="I973" t="inlineStr">
        <is>
          <t>NIE</t>
        </is>
      </c>
      <c r="J973" t="inlineStr">
        <is>
          <t>TAK</t>
        </is>
      </c>
      <c r="K973" t="n">
        <v>570888422</v>
      </c>
      <c r="L973" t="n">
        <v>340000</v>
      </c>
      <c r="M973" t="n">
        <v>7313.400731340073</v>
      </c>
      <c r="N973" t="n">
        <v>46.49</v>
      </c>
      <c r="O973" t="inlineStr">
        <is>
          <t>2+k</t>
        </is>
      </c>
      <c r="P973" t="n">
        <v>10</v>
      </c>
      <c r="Q973" t="inlineStr">
        <is>
          <t>Nie da się zamieszkać</t>
        </is>
      </c>
    </row>
    <row r="974">
      <c r="A974" t="n">
        <v>973</v>
      </c>
      <c r="B974" s="3" t="n">
        <v>45552</v>
      </c>
      <c r="D974" t="inlineStr">
        <is>
          <t>https://www.olx.pl/d/oferta/mieszkanie-m-3-lodz-chojny-dabrowa-ul-malczewskiego-CID3-ID11ZyWN.html?isPreviewActive=0&amp;sliderIndex=4</t>
        </is>
      </c>
      <c r="E974">
        <f>HYPERLINK("https://www.olx.pl/d/oferta/mieszkanie-m-3-lodz-chojny-dabrowa-ul-malczewskiego-CID3-ID11ZyWN.html?isPreviewActive=0&amp;sliderIndex=4", "https://www.olx.pl/d/oferta/mieszkanie-m-3-lodz-chojny-dabrowa-ul-malczewskiego-CID3-ID11ZyWN.html?isPreviewActive=0&amp;sliderIndex=4")</f>
        <v/>
      </c>
      <c r="F974" t="inlineStr">
        <is>
          <t>malczewskiego</t>
        </is>
      </c>
      <c r="G974" t="inlineStr">
        <is>
          <t>Górna</t>
        </is>
      </c>
      <c r="H974" t="inlineStr">
        <is>
          <t>Daleka górna</t>
        </is>
      </c>
      <c r="I974" t="inlineStr">
        <is>
          <t>NIE</t>
        </is>
      </c>
      <c r="J974" t="inlineStr">
        <is>
          <t>NIE</t>
        </is>
      </c>
      <c r="K974" t="n">
        <v>501391319</v>
      </c>
      <c r="L974" t="n">
        <v>322000</v>
      </c>
      <c r="M974" t="n">
        <v>7395.498392282959</v>
      </c>
      <c r="N974" t="n">
        <v>43.54</v>
      </c>
      <c r="O974" t="inlineStr">
        <is>
          <t>3+k</t>
        </is>
      </c>
      <c r="P974" t="n">
        <v>3</v>
      </c>
      <c r="Q974" t="inlineStr">
        <is>
          <t>Nie da się zamieszkać</t>
        </is>
      </c>
    </row>
    <row r="975">
      <c r="A975" t="n">
        <v>974</v>
      </c>
      <c r="B975" s="3" t="n">
        <v>45552</v>
      </c>
      <c r="D975" t="inlineStr">
        <is>
          <t>https://www.domiporta.pl/nieruchomosci/sprzedam-mieszkanie-dwupokojowe-lodz-baluty-olsztynska-38m2/155388817</t>
        </is>
      </c>
      <c r="E975">
        <f>HYPERLINK("https://www.domiporta.pl/nieruchomosci/sprzedam-mieszkanie-dwupokojowe-lodz-baluty-olsztynska-38m2/155388817", "https://www.domiporta.pl/nieruchomosci/sprzedam-mieszkanie-dwupokojowe-lodz-baluty-olsztynska-38m2/155388817")</f>
        <v/>
      </c>
      <c r="F975" t="inlineStr">
        <is>
          <t>olsztyńska</t>
        </is>
      </c>
      <c r="G975" t="inlineStr">
        <is>
          <t>Bałuty</t>
        </is>
      </c>
      <c r="H975" t="inlineStr">
        <is>
          <t>Bałuty</t>
        </is>
      </c>
      <c r="I975" t="inlineStr">
        <is>
          <t>NIE</t>
        </is>
      </c>
      <c r="J975" t="inlineStr">
        <is>
          <t>TAK</t>
        </is>
      </c>
      <c r="K975" t="n">
        <v>504604504</v>
      </c>
      <c r="L975" t="n">
        <v>295000</v>
      </c>
      <c r="M975" t="n">
        <v>7866.666666666667</v>
      </c>
      <c r="N975" t="n">
        <v>37.5</v>
      </c>
      <c r="O975" t="inlineStr">
        <is>
          <t>2+k</t>
        </is>
      </c>
      <c r="P975" t="n">
        <v>4</v>
      </c>
      <c r="Q975" t="inlineStr">
        <is>
          <t>Nie da się zamieszkać</t>
        </is>
      </c>
    </row>
    <row r="976">
      <c r="A976" t="n">
        <v>975</v>
      </c>
      <c r="B976" s="3" t="n">
        <v>45552</v>
      </c>
      <c r="D976" t="inlineStr">
        <is>
          <t>https://domy.pl/mieszkanie/lodz-gorna-tatrzanska-2-pokoje-279000-pln-36m2-sba/dol1741433413</t>
        </is>
      </c>
      <c r="E976">
        <f>HYPERLINK("https://domy.pl/mieszkanie/lodz-gorna-tatrzanska-2-pokoje-279000-pln-36m2-sba/dol1741433413", "https://domy.pl/mieszkanie/lodz-gorna-tatrzanska-2-pokoje-279000-pln-36m2-sba/dol1741433413")</f>
        <v/>
      </c>
      <c r="F976" t="inlineStr">
        <is>
          <t>tatrzańska</t>
        </is>
      </c>
      <c r="G976" t="inlineStr">
        <is>
          <t>Dąbrowa</t>
        </is>
      </c>
      <c r="H976" t="inlineStr">
        <is>
          <t>Dąbrowa</t>
        </is>
      </c>
      <c r="I976" t="inlineStr">
        <is>
          <t>NIE</t>
        </is>
      </c>
      <c r="J976" t="inlineStr">
        <is>
          <t>TAK</t>
        </is>
      </c>
      <c r="K976" t="n">
        <v>604901999</v>
      </c>
      <c r="L976" t="n">
        <v>279000</v>
      </c>
      <c r="M976" t="n">
        <v>7698.675496688741</v>
      </c>
      <c r="N976" t="n">
        <v>36.24</v>
      </c>
      <c r="O976" t="inlineStr">
        <is>
          <t>2+k</t>
        </is>
      </c>
      <c r="P976" t="n">
        <v>4</v>
      </c>
      <c r="Q976" t="inlineStr">
        <is>
          <t>Nie da się zamieszkać</t>
        </is>
      </c>
    </row>
    <row r="977">
      <c r="A977" t="n">
        <v>976</v>
      </c>
      <c r="B977" s="3" t="n">
        <v>45552</v>
      </c>
      <c r="D977" t="inlineStr">
        <is>
          <t>https://www.domiporta.pl/nieruchomosci/sprzedam-kawalerke-lodz-baluty-organizacji-wolnosc-i-niezawislosc-33m2/155389466</t>
        </is>
      </c>
      <c r="E977">
        <f>HYPERLINK("https://www.domiporta.pl/nieruchomosci/sprzedam-kawalerke-lodz-baluty-organizacji-wolnosc-i-niezawislosc-33m2/155389466", "https://www.domiporta.pl/nieruchomosci/sprzedam-kawalerke-lodz-baluty-organizacji-wolnosc-i-niezawislosc-33m2/155389466")</f>
        <v/>
      </c>
      <c r="F977" t="inlineStr">
        <is>
          <t>organizacji win</t>
        </is>
      </c>
      <c r="G977" t="inlineStr">
        <is>
          <t>Bałuty</t>
        </is>
      </c>
      <c r="H977" t="inlineStr">
        <is>
          <t>Bałuty blisko centrum</t>
        </is>
      </c>
      <c r="I977" t="inlineStr">
        <is>
          <t>NIE</t>
        </is>
      </c>
      <c r="J977" t="inlineStr">
        <is>
          <t>TAK</t>
        </is>
      </c>
      <c r="K977" t="n">
        <v>512787004</v>
      </c>
      <c r="L977" t="n">
        <v>239000</v>
      </c>
      <c r="M977" t="n">
        <v>7313.341493268054</v>
      </c>
      <c r="N977" t="n">
        <v>32.68</v>
      </c>
      <c r="O977" t="inlineStr">
        <is>
          <t>1+k</t>
        </is>
      </c>
      <c r="P977" t="n">
        <v>3</v>
      </c>
      <c r="Q977" t="inlineStr">
        <is>
          <t>Nie da się zamieszkać</t>
        </is>
      </c>
    </row>
    <row r="978">
      <c r="A978" t="n">
        <v>977</v>
      </c>
      <c r="B978" s="3" t="n">
        <v>45552</v>
      </c>
      <c r="D978" t="inlineStr">
        <is>
          <t>https://www.olx.pl/d/oferta/mieszkanie-dwupokojowe-na-sprzedaz-lodz-dabrowa-CID3-ID11ZXC4.html</t>
        </is>
      </c>
      <c r="E978">
        <f>HYPERLINK("https://www.olx.pl/d/oferta/mieszkanie-dwupokojowe-na-sprzedaz-lodz-dabrowa-CID3-ID11ZXC4.html", "https://www.olx.pl/d/oferta/mieszkanie-dwupokojowe-na-sprzedaz-lodz-dabrowa-CID3-ID11ZXC4.html")</f>
        <v/>
      </c>
      <c r="F978" t="inlineStr">
        <is>
          <t>tatrzańska</t>
        </is>
      </c>
      <c r="G978" t="inlineStr">
        <is>
          <t>Dąbrowa</t>
        </is>
      </c>
      <c r="H978" t="inlineStr">
        <is>
          <t>Dąbrowa</t>
        </is>
      </c>
      <c r="I978" t="inlineStr">
        <is>
          <t>NIE</t>
        </is>
      </c>
      <c r="J978" t="inlineStr">
        <is>
          <t>TAK</t>
        </is>
      </c>
      <c r="K978" t="n">
        <v>506025439</v>
      </c>
      <c r="L978" t="n">
        <v>265000</v>
      </c>
      <c r="M978" t="n">
        <v>7212.847033206314</v>
      </c>
      <c r="N978" t="n">
        <v>36.74</v>
      </c>
      <c r="O978" t="inlineStr">
        <is>
          <t>2+k</t>
        </is>
      </c>
      <c r="P978" t="n">
        <v>0</v>
      </c>
      <c r="Q978" t="inlineStr">
        <is>
          <t>Nie da się zamieszkać</t>
        </is>
      </c>
    </row>
    <row r="979">
      <c r="A979" t="n">
        <v>978</v>
      </c>
      <c r="B979" s="3" t="n">
        <v>45552</v>
      </c>
      <c r="D979" t="inlineStr">
        <is>
          <t>https://www.olx.pl/d/oferta/mieszkanie-lodz-baluty-marysinska-59-58-m2-CID3-ID11ZHIj.html</t>
        </is>
      </c>
      <c r="E979">
        <f>HYPERLINK("https://www.olx.pl/d/oferta/mieszkanie-lodz-baluty-marysinska-59-58-m2-CID3-ID11ZHIj.html", "https://www.olx.pl/d/oferta/mieszkanie-lodz-baluty-marysinska-59-58-m2-CID3-ID11ZHIj.html")</f>
        <v/>
      </c>
      <c r="F979" t="inlineStr">
        <is>
          <t>marysińska</t>
        </is>
      </c>
      <c r="G979" t="inlineStr">
        <is>
          <t>Bałuty</t>
        </is>
      </c>
      <c r="H979" t="inlineStr">
        <is>
          <t>Bałuty</t>
        </is>
      </c>
      <c r="I979" t="inlineStr">
        <is>
          <t>NIE</t>
        </is>
      </c>
      <c r="J979" t="inlineStr">
        <is>
          <t>NIE</t>
        </is>
      </c>
      <c r="K979" t="n">
        <v>606654744</v>
      </c>
      <c r="L979" t="n">
        <v>430000</v>
      </c>
      <c r="M979" t="n">
        <v>7217.186975495133</v>
      </c>
      <c r="N979" t="n">
        <v>59.58</v>
      </c>
      <c r="O979" t="inlineStr">
        <is>
          <t>3+k</t>
        </is>
      </c>
      <c r="P979" t="n">
        <v>2</v>
      </c>
      <c r="Q979" t="inlineStr">
        <is>
          <t>Nie da się zamieszkać</t>
        </is>
      </c>
    </row>
    <row r="980">
      <c r="A980" t="n">
        <v>979</v>
      </c>
      <c r="B980" s="3" t="n">
        <v>45553</v>
      </c>
      <c r="D980" t="inlineStr">
        <is>
          <t>https://www.olx.pl/d/oferta/dabrowa-ul-przyborowskiego-przy-kilinskiego-CID3-ID120ctt.html</t>
        </is>
      </c>
      <c r="E980">
        <f>HYPERLINK("https://www.olx.pl/d/oferta/dabrowa-ul-przyborowskiego-przy-kilinskiego-CID3-ID120ctt.html", "https://www.olx.pl/d/oferta/dabrowa-ul-przyborowskiego-przy-kilinskiego-CID3-ID120ctt.html")</f>
        <v/>
      </c>
      <c r="F980" t="inlineStr">
        <is>
          <t>przyborowskiego</t>
        </is>
      </c>
      <c r="G980" t="inlineStr">
        <is>
          <t>Górna</t>
        </is>
      </c>
      <c r="H980" t="inlineStr">
        <is>
          <t>Górna</t>
        </is>
      </c>
      <c r="I980" t="inlineStr">
        <is>
          <t>NIE</t>
        </is>
      </c>
      <c r="J980" t="inlineStr">
        <is>
          <t>TAK</t>
        </is>
      </c>
      <c r="K980" t="n">
        <v>601370038</v>
      </c>
      <c r="L980" t="n">
        <v>297000</v>
      </c>
      <c r="M980" t="n">
        <v>7714.285714285715</v>
      </c>
      <c r="N980" t="n">
        <v>38.5</v>
      </c>
      <c r="O980" t="inlineStr">
        <is>
          <t>2+k</t>
        </is>
      </c>
      <c r="P980" t="n">
        <v>2</v>
      </c>
      <c r="Q980" t="inlineStr">
        <is>
          <t>Nie da się zamieszkać</t>
        </is>
      </c>
    </row>
    <row r="981">
      <c r="A981" t="n">
        <v>980</v>
      </c>
      <c r="B981" s="3" t="n">
        <v>45553</v>
      </c>
      <c r="D981" t="inlineStr">
        <is>
          <t>https://www.otodom.pl/pl/oferta/zrob-po-swojemu-ID4sxO8</t>
        </is>
      </c>
      <c r="E981">
        <f>HYPERLINK("https://www.otodom.pl/pl/oferta/zrob-po-swojemu-ID4sxO8", "https://www.otodom.pl/pl/oferta/zrob-po-swojemu-ID4sxO8")</f>
        <v/>
      </c>
      <c r="F981" t="inlineStr">
        <is>
          <t>tatrzańska</t>
        </is>
      </c>
      <c r="G981" t="inlineStr">
        <is>
          <t>Dąbrowa</t>
        </is>
      </c>
      <c r="H981" t="inlineStr">
        <is>
          <t>Dąbrowa</t>
        </is>
      </c>
      <c r="I981" t="inlineStr">
        <is>
          <t>NIE</t>
        </is>
      </c>
      <c r="J981" t="inlineStr">
        <is>
          <t>TAK</t>
        </is>
      </c>
      <c r="K981" t="n">
        <v>606200910</v>
      </c>
      <c r="L981" t="n">
        <v>239000</v>
      </c>
      <c r="M981" t="n">
        <v>6349.628055260361</v>
      </c>
      <c r="N981" t="n">
        <v>37.64</v>
      </c>
      <c r="O981" t="inlineStr">
        <is>
          <t>2+k</t>
        </is>
      </c>
      <c r="P981" t="n">
        <v>4</v>
      </c>
      <c r="Q981" t="inlineStr">
        <is>
          <t>Nie da się zamieszkać</t>
        </is>
      </c>
    </row>
    <row r="982">
      <c r="A982" t="n">
        <v>981</v>
      </c>
      <c r="B982" s="3" t="n">
        <v>45553</v>
      </c>
      <c r="D982" t="inlineStr">
        <is>
          <t>https://www.otodom.pl/pl/oferta/3-pokoje-rozkladowe-widzew-wschod-ID4sy8s</t>
        </is>
      </c>
      <c r="E982">
        <f>HYPERLINK("https://www.otodom.pl/pl/oferta/3-pokoje-rozkladowe-widzew-wschod-ID4sy8s", "https://www.otodom.pl/pl/oferta/3-pokoje-rozkladowe-widzew-wschod-ID4sy8s")</f>
        <v/>
      </c>
      <c r="F982" t="inlineStr">
        <is>
          <t>czernika</t>
        </is>
      </c>
      <c r="G982" t="inlineStr">
        <is>
          <t>Widzew</t>
        </is>
      </c>
      <c r="H982" t="inlineStr">
        <is>
          <t>Widzew</t>
        </is>
      </c>
      <c r="I982" t="inlineStr">
        <is>
          <t>NIE</t>
        </is>
      </c>
      <c r="J982" t="inlineStr">
        <is>
          <t>TAK</t>
        </is>
      </c>
      <c r="K982" t="n">
        <v>797663205</v>
      </c>
      <c r="L982" t="n">
        <v>399000</v>
      </c>
      <c r="M982" t="n">
        <v>7037.037037037036</v>
      </c>
      <c r="N982" t="n">
        <v>56.7</v>
      </c>
      <c r="O982" t="inlineStr">
        <is>
          <t>3+k</t>
        </is>
      </c>
      <c r="P982" t="n">
        <v>4</v>
      </c>
      <c r="Q982" t="inlineStr">
        <is>
          <t>Nie da się zamieszkać</t>
        </is>
      </c>
    </row>
    <row r="983">
      <c r="A983" t="n">
        <v>982</v>
      </c>
      <c r="B983" s="3" t="n">
        <v>45554</v>
      </c>
      <c r="D983" t="inlineStr">
        <is>
          <t>https://www.otodom.pl/pl/oferta/m-345-90-sierakowskiego-1-pietro-ID4sy8X.html</t>
        </is>
      </c>
      <c r="E983">
        <f>HYPERLINK("https://www.otodom.pl/pl/oferta/m-345-90-sierakowskiego-1-pietro-ID4sy8X.html", "https://www.otodom.pl/pl/oferta/m-345-90-sierakowskiego-1-pietro-ID4sy8X.html")</f>
        <v/>
      </c>
      <c r="F983" t="inlineStr">
        <is>
          <t>sierakowskiego</t>
        </is>
      </c>
      <c r="G983" t="inlineStr">
        <is>
          <t>Bałuty</t>
        </is>
      </c>
      <c r="H983" t="inlineStr">
        <is>
          <t>Bałuty</t>
        </is>
      </c>
      <c r="I983" t="inlineStr">
        <is>
          <t>NIE</t>
        </is>
      </c>
      <c r="J983" t="inlineStr">
        <is>
          <t>TAK</t>
        </is>
      </c>
      <c r="K983" t="n">
        <v>502181201</v>
      </c>
      <c r="L983" t="n">
        <v>330000</v>
      </c>
      <c r="M983" t="n">
        <v>7189.542483660131</v>
      </c>
      <c r="N983" t="n">
        <v>45.9</v>
      </c>
      <c r="O983" t="inlineStr">
        <is>
          <t>2+k</t>
        </is>
      </c>
      <c r="P983" t="n">
        <v>1</v>
      </c>
      <c r="Q983" t="inlineStr">
        <is>
          <t>Nie da się zamieszkać</t>
        </is>
      </c>
    </row>
    <row r="984">
      <c r="A984" t="n">
        <v>983</v>
      </c>
      <c r="B984" s="3" t="n">
        <v>45554</v>
      </c>
      <c r="D984" t="inlineStr">
        <is>
          <t>https://adresowo.pl/o/m5e3h8</t>
        </is>
      </c>
      <c r="E984">
        <f>HYPERLINK("https://adresowo.pl/o/m5e3h8", "https://adresowo.pl/o/m5e3h8")</f>
        <v/>
      </c>
      <c r="F984" t="inlineStr">
        <is>
          <t>klonowa</t>
        </is>
      </c>
      <c r="G984" t="inlineStr">
        <is>
          <t>Polesie</t>
        </is>
      </c>
      <c r="H984" t="inlineStr">
        <is>
          <t>Polesie</t>
        </is>
      </c>
      <c r="I984" t="inlineStr">
        <is>
          <t>NIE</t>
        </is>
      </c>
      <c r="J984" t="inlineStr">
        <is>
          <t>TAK</t>
        </is>
      </c>
      <c r="L984" t="n">
        <v>320000</v>
      </c>
      <c r="M984" t="n">
        <v>6808.510638297872</v>
      </c>
      <c r="N984" t="n">
        <v>47</v>
      </c>
      <c r="O984" t="inlineStr">
        <is>
          <t>2+k</t>
        </is>
      </c>
      <c r="P984" t="n">
        <v>0</v>
      </c>
      <c r="Q984" t="inlineStr">
        <is>
          <t>Nie da się zamieszkać</t>
        </is>
      </c>
    </row>
    <row r="985">
      <c r="A985" t="n">
        <v>984</v>
      </c>
      <c r="B985" s="3" t="n">
        <v>45554</v>
      </c>
      <c r="D985" t="inlineStr">
        <is>
          <t>https://domy.pl/mieszkanie/lodz-baluty-wojska_polskiego-2-pokoje-285000-pln-38m2-sba/dol1741443128</t>
        </is>
      </c>
      <c r="E985">
        <f>HYPERLINK("https://domy.pl/mieszkanie/lodz-baluty-wojska_polskiego-2-pokoje-285000-pln-38m2-sba/dol1741443128", "https://domy.pl/mieszkanie/lodz-baluty-wojska_polskiego-2-pokoje-285000-pln-38m2-sba/dol1741443128")</f>
        <v/>
      </c>
      <c r="F985" t="inlineStr">
        <is>
          <t>wojska polskiego</t>
        </is>
      </c>
      <c r="G985" t="inlineStr">
        <is>
          <t>Bałuty</t>
        </is>
      </c>
      <c r="H985" t="inlineStr">
        <is>
          <t>Bałuty blisko centrum</t>
        </is>
      </c>
      <c r="I985" t="inlineStr">
        <is>
          <t>NIE</t>
        </is>
      </c>
      <c r="J985" t="inlineStr">
        <is>
          <t>TAK</t>
        </is>
      </c>
      <c r="K985" t="n">
        <v>505370044</v>
      </c>
      <c r="L985" t="n">
        <v>285000</v>
      </c>
      <c r="M985" t="n">
        <v>7427.677873338546</v>
      </c>
      <c r="N985" t="n">
        <v>38.37</v>
      </c>
      <c r="O985" t="inlineStr">
        <is>
          <t>2+k</t>
        </is>
      </c>
      <c r="P985" t="n">
        <v>3</v>
      </c>
      <c r="Q985" t="inlineStr">
        <is>
          <t>Nie da się zamieszkać</t>
        </is>
      </c>
    </row>
    <row r="986">
      <c r="A986" t="n">
        <v>985</v>
      </c>
      <c r="B986" s="3" t="n">
        <v>45554</v>
      </c>
      <c r="D986" t="inlineStr">
        <is>
          <t>https://www.otodom.pl/pl/oferta/m4-na-retkini-ID4syEQ.html</t>
        </is>
      </c>
      <c r="E986">
        <f>HYPERLINK("https://www.otodom.pl/pl/oferta/m4-na-retkini-ID4syEQ.html", "https://www.otodom.pl/pl/oferta/m4-na-retkini-ID4syEQ.html")</f>
        <v/>
      </c>
      <c r="F986" t="inlineStr">
        <is>
          <t>retkińska</t>
        </is>
      </c>
      <c r="G986" t="inlineStr">
        <is>
          <t>Polesie</t>
        </is>
      </c>
      <c r="H986" t="inlineStr">
        <is>
          <t>Polesie</t>
        </is>
      </c>
      <c r="I986" t="inlineStr">
        <is>
          <t>NIE</t>
        </is>
      </c>
      <c r="J986" t="inlineStr">
        <is>
          <t>TAK</t>
        </is>
      </c>
      <c r="K986" t="n">
        <v>690377704</v>
      </c>
      <c r="L986" t="n">
        <v>330000</v>
      </c>
      <c r="M986" t="n">
        <v>6987.084480203261</v>
      </c>
      <c r="N986" t="n">
        <v>47.23</v>
      </c>
      <c r="O986" t="inlineStr">
        <is>
          <t>3+k</t>
        </is>
      </c>
      <c r="P986" t="n">
        <v>8</v>
      </c>
      <c r="Q986" t="inlineStr">
        <is>
          <t>Nie da się zamieszkać</t>
        </is>
      </c>
      <c r="R986" t="inlineStr">
        <is>
          <t>https://adresowo.pl/o/n9b3k6 być może numer do własciciela</t>
        </is>
      </c>
    </row>
    <row r="987">
      <c r="A987" t="n">
        <v>986</v>
      </c>
      <c r="B987" s="3" t="n">
        <v>45554</v>
      </c>
      <c r="D987" t="inlineStr">
        <is>
          <t>https://www.otodom.pl/pl/oferta/mieszkanie-do-remontu-w-b-dobrej-lokalizacji-ID4syUw.html</t>
        </is>
      </c>
      <c r="E987">
        <f>HYPERLINK("https://www.otodom.pl/pl/oferta/mieszkanie-do-remontu-w-b-dobrej-lokalizacji-ID4syUw.html", "https://www.otodom.pl/pl/oferta/mieszkanie-do-remontu-w-b-dobrej-lokalizacji-ID4syUw.html")</f>
        <v/>
      </c>
      <c r="F987" t="inlineStr">
        <is>
          <t>nowe rokicie</t>
        </is>
      </c>
      <c r="G987" t="inlineStr">
        <is>
          <t>Retkinia</t>
        </is>
      </c>
      <c r="H987" t="inlineStr">
        <is>
          <t>Retkinia blisko centrum</t>
        </is>
      </c>
      <c r="I987" t="inlineStr">
        <is>
          <t>NIE</t>
        </is>
      </c>
      <c r="J987" t="inlineStr">
        <is>
          <t>TAK</t>
        </is>
      </c>
      <c r="K987" t="n">
        <v>881791774</v>
      </c>
      <c r="L987" t="n">
        <v>370000</v>
      </c>
      <c r="M987" t="n">
        <v>7708.333333333333</v>
      </c>
      <c r="N987" t="n">
        <v>48</v>
      </c>
      <c r="O987" t="inlineStr">
        <is>
          <t>3+k</t>
        </is>
      </c>
      <c r="P987" t="n">
        <v>8</v>
      </c>
      <c r="Q987" t="inlineStr">
        <is>
          <t>Nie da się zamieszkać</t>
        </is>
      </c>
    </row>
    <row r="988">
      <c r="A988" t="n">
        <v>987</v>
      </c>
      <c r="B988" s="3" t="n">
        <v>45554</v>
      </c>
      <c r="D988" t="inlineStr">
        <is>
          <t>https://adresowo.pl/o/c7r3p1</t>
        </is>
      </c>
      <c r="E988">
        <f>HYPERLINK("https://adresowo.pl/o/c7r3p1", "https://adresowo.pl/o/c7r3p1")</f>
        <v/>
      </c>
      <c r="F988" t="inlineStr">
        <is>
          <t>11 listopada</t>
        </is>
      </c>
      <c r="G988" t="inlineStr">
        <is>
          <t>Bałuty</t>
        </is>
      </c>
      <c r="H988" t="inlineStr">
        <is>
          <t>Dalekie bałuty</t>
        </is>
      </c>
      <c r="I988" t="inlineStr">
        <is>
          <t>NIE</t>
        </is>
      </c>
      <c r="J988" t="inlineStr">
        <is>
          <t>TAK</t>
        </is>
      </c>
      <c r="L988" t="n">
        <v>355000</v>
      </c>
      <c r="M988" t="n">
        <v>6701.906739663961</v>
      </c>
      <c r="N988" t="n">
        <v>52.97</v>
      </c>
      <c r="O988" t="inlineStr">
        <is>
          <t>3+k</t>
        </is>
      </c>
      <c r="P988" t="n">
        <v>4</v>
      </c>
      <c r="Q988" t="inlineStr">
        <is>
          <t>Nie da się zamieszkać</t>
        </is>
      </c>
    </row>
    <row r="989">
      <c r="A989" t="n">
        <v>988</v>
      </c>
      <c r="B989" s="3" t="n">
        <v>45554</v>
      </c>
      <c r="D989" t="inlineStr">
        <is>
          <t>https://www.otodom.pl/pl/oferta/m-3-45m2-teofilow-pelny-rozklad-ID4sz8U</t>
        </is>
      </c>
      <c r="E989">
        <f>HYPERLINK("https://www.otodom.pl/pl/oferta/m-3-45m2-teofilow-pelny-rozklad-ID4sz8U", "https://www.otodom.pl/pl/oferta/m-3-45m2-teofilow-pelny-rozklad-ID4sz8U")</f>
        <v/>
      </c>
      <c r="F989" t="inlineStr">
        <is>
          <t>traktorowa</t>
        </is>
      </c>
      <c r="G989" t="inlineStr">
        <is>
          <t>Teofilów</t>
        </is>
      </c>
      <c r="H989" t="inlineStr">
        <is>
          <t>Teofilów</t>
        </is>
      </c>
      <c r="I989" t="inlineStr">
        <is>
          <t>NIE</t>
        </is>
      </c>
      <c r="J989" t="inlineStr">
        <is>
          <t>TAK</t>
        </is>
      </c>
      <c r="K989" t="n">
        <v>668699393</v>
      </c>
      <c r="L989" t="n">
        <v>289000</v>
      </c>
      <c r="M989" t="n">
        <v>6422.222222222223</v>
      </c>
      <c r="N989" t="n">
        <v>45</v>
      </c>
      <c r="O989" t="inlineStr">
        <is>
          <t>2+k</t>
        </is>
      </c>
      <c r="P989" t="n">
        <v>4</v>
      </c>
      <c r="Q989" t="inlineStr">
        <is>
          <t>Nie da się zamieszkać</t>
        </is>
      </c>
    </row>
    <row r="990">
      <c r="A990" t="n">
        <v>989</v>
      </c>
      <c r="B990" s="3" t="n">
        <v>45554</v>
      </c>
      <c r="D990" t="inlineStr">
        <is>
          <t>https://www.otodom.pl/pl/oferta/rozkladowe-2-pokoje-teofilow-zielen-ID4snXA.html</t>
        </is>
      </c>
      <c r="E990">
        <f>HYPERLINK("https://www.otodom.pl/pl/oferta/rozkladowe-2-pokoje-teofilow-zielen-ID4snXA.html", "https://www.otodom.pl/pl/oferta/rozkladowe-2-pokoje-teofilow-zielen-ID4snXA.html")</f>
        <v/>
      </c>
      <c r="F990" t="inlineStr">
        <is>
          <t>wici</t>
        </is>
      </c>
      <c r="G990" t="inlineStr">
        <is>
          <t>Teofilów</t>
        </is>
      </c>
      <c r="H990" t="inlineStr">
        <is>
          <t>Teofilów</t>
        </is>
      </c>
      <c r="I990" t="inlineStr">
        <is>
          <t>NIE</t>
        </is>
      </c>
      <c r="J990" t="inlineStr">
        <is>
          <t>TAK</t>
        </is>
      </c>
      <c r="K990" t="n">
        <v>511000217</v>
      </c>
      <c r="L990" t="n">
        <v>285000</v>
      </c>
      <c r="M990" t="n">
        <v>6315.089740748947</v>
      </c>
      <c r="N990" t="n">
        <v>45.13</v>
      </c>
      <c r="O990" t="inlineStr">
        <is>
          <t>2+k</t>
        </is>
      </c>
      <c r="P990" t="n">
        <v>0</v>
      </c>
      <c r="Q990" t="inlineStr">
        <is>
          <t>Nie da się zamieszkać</t>
        </is>
      </c>
    </row>
    <row r="991">
      <c r="A991" t="n">
        <v>990</v>
      </c>
      <c r="B991" s="3" t="n">
        <v>45554</v>
      </c>
      <c r="D991" t="inlineStr">
        <is>
          <t>https://www.otodom.pl/pl/oferta/2-pokojowe-mieszkanie-z-balkonem-na-teofilowie-ID4szox</t>
        </is>
      </c>
      <c r="E991">
        <f>HYPERLINK("https://www.otodom.pl/pl/oferta/2-pokojowe-mieszkanie-z-balkonem-na-teofilowie-ID4szox", "https://www.otodom.pl/pl/oferta/2-pokojowe-mieszkanie-z-balkonem-na-teofilowie-ID4szox")</f>
        <v/>
      </c>
      <c r="F991" t="inlineStr">
        <is>
          <t>łanowa</t>
        </is>
      </c>
      <c r="G991" t="inlineStr">
        <is>
          <t>Teofilów</t>
        </is>
      </c>
      <c r="H991" t="inlineStr">
        <is>
          <t>Teofilów</t>
        </is>
      </c>
      <c r="I991" t="inlineStr">
        <is>
          <t>NIE</t>
        </is>
      </c>
      <c r="J991" t="inlineStr">
        <is>
          <t>TAK</t>
        </is>
      </c>
      <c r="K991" t="n">
        <v>786660356</v>
      </c>
      <c r="L991" t="n">
        <v>276000</v>
      </c>
      <c r="M991" t="n">
        <v>7520.435967302452</v>
      </c>
      <c r="N991" t="n">
        <v>36.7</v>
      </c>
      <c r="O991" t="inlineStr">
        <is>
          <t>2+k</t>
        </is>
      </c>
      <c r="P991" t="n">
        <v>3</v>
      </c>
      <c r="Q991" t="inlineStr">
        <is>
          <t>Nie da się zamieszkać</t>
        </is>
      </c>
    </row>
    <row r="992">
      <c r="A992" t="n">
        <v>991</v>
      </c>
      <c r="B992" s="3" t="n">
        <v>45554</v>
      </c>
      <c r="D992" t="inlineStr">
        <is>
          <t>https://www.otodom.pl/pl/oferta/mieszkanie-do-remontu-37m2-chojny-ID4szrp</t>
        </is>
      </c>
      <c r="E992">
        <f>HYPERLINK("https://www.otodom.pl/pl/oferta/mieszkanie-do-remontu-37m2-chojny-ID4szrp", "https://www.otodom.pl/pl/oferta/mieszkanie-do-remontu-37m2-chojny-ID4szrp")</f>
        <v/>
      </c>
      <c r="F992" t="inlineStr">
        <is>
          <t>mulinowicza</t>
        </is>
      </c>
      <c r="G992" t="inlineStr">
        <is>
          <t>Górna</t>
        </is>
      </c>
      <c r="H992" t="inlineStr">
        <is>
          <t>Daleka górna</t>
        </is>
      </c>
      <c r="I992" t="inlineStr">
        <is>
          <t>NIE</t>
        </is>
      </c>
      <c r="J992" t="inlineStr">
        <is>
          <t>TAK</t>
        </is>
      </c>
      <c r="K992" t="n">
        <v>503680333</v>
      </c>
      <c r="L992" t="n">
        <v>275000</v>
      </c>
      <c r="M992" t="n">
        <v>7317.722192655669</v>
      </c>
      <c r="N992" t="n">
        <v>37.58</v>
      </c>
      <c r="O992" t="inlineStr">
        <is>
          <t>2+k</t>
        </is>
      </c>
      <c r="P992" t="n">
        <v>4</v>
      </c>
      <c r="Q992" t="inlineStr">
        <is>
          <t>Nie da się zamieszkać</t>
        </is>
      </c>
    </row>
    <row r="993">
      <c r="A993" t="n">
        <v>992</v>
      </c>
      <c r="B993" s="3" t="n">
        <v>45554</v>
      </c>
      <c r="D993" t="inlineStr">
        <is>
          <t>https://www.otodom.pl/pl/oferta/rysownicza-3-pietro-z-winda-do-remontu-ID4szy3</t>
        </is>
      </c>
      <c r="E993">
        <f>HYPERLINK("https://www.otodom.pl/pl/oferta/rysownicza-3-pietro-z-winda-do-remontu-ID4szy3", "https://www.otodom.pl/pl/oferta/rysownicza-3-pietro-z-winda-do-remontu-ID4szy3")</f>
        <v/>
      </c>
      <c r="F993" t="inlineStr">
        <is>
          <t>rysownicza</t>
        </is>
      </c>
      <c r="G993" t="inlineStr">
        <is>
          <t>Bałuty</t>
        </is>
      </c>
      <c r="H993" t="inlineStr">
        <is>
          <t>Bałuty</t>
        </is>
      </c>
      <c r="I993" t="inlineStr">
        <is>
          <t>NIE</t>
        </is>
      </c>
      <c r="J993" t="inlineStr">
        <is>
          <t>TAK</t>
        </is>
      </c>
      <c r="K993" t="n">
        <v>662849296</v>
      </c>
      <c r="L993" t="n">
        <v>340000</v>
      </c>
      <c r="M993" t="n">
        <v>7303.974221267455</v>
      </c>
      <c r="N993" t="n">
        <v>46.55</v>
      </c>
      <c r="O993" t="inlineStr">
        <is>
          <t>2+k</t>
        </is>
      </c>
      <c r="P993" t="n">
        <v>3</v>
      </c>
      <c r="Q993" t="inlineStr">
        <is>
          <t>Nie da się zamieszkać</t>
        </is>
      </c>
    </row>
    <row r="994">
      <c r="A994" t="n">
        <v>993</v>
      </c>
      <c r="B994" s="3" t="n">
        <v>45554</v>
      </c>
      <c r="D994" t="inlineStr">
        <is>
          <t>https://domy.pl/mieszkanie/lodz-widzew-niciarniana-2-pokoje-299900-pln-44m2-sba/dol1741444820</t>
        </is>
      </c>
      <c r="E994">
        <f>HYPERLINK("https://domy.pl/mieszkanie/lodz-widzew-niciarniana-2-pokoje-299900-pln-44m2-sba/dol1741444820", "https://domy.pl/mieszkanie/lodz-widzew-niciarniana-2-pokoje-299900-pln-44m2-sba/dol1741444820")</f>
        <v/>
      </c>
      <c r="F994" t="inlineStr">
        <is>
          <t>niciarniana</t>
        </is>
      </c>
      <c r="G994" t="inlineStr">
        <is>
          <t>Widzew</t>
        </is>
      </c>
      <c r="H994" t="inlineStr">
        <is>
          <t>Widzew blisko centrum</t>
        </is>
      </c>
      <c r="I994" t="inlineStr">
        <is>
          <t>NIE</t>
        </is>
      </c>
      <c r="J994" t="inlineStr">
        <is>
          <t>TAK</t>
        </is>
      </c>
      <c r="K994" t="n">
        <v>730808986</v>
      </c>
      <c r="L994" t="n">
        <v>299000</v>
      </c>
      <c r="M994" t="n">
        <v>6647.398843930636</v>
      </c>
      <c r="N994" t="n">
        <v>44.98</v>
      </c>
      <c r="O994" t="inlineStr">
        <is>
          <t>2+k</t>
        </is>
      </c>
      <c r="P994" t="n">
        <v>1</v>
      </c>
      <c r="Q994" t="inlineStr">
        <is>
          <t>Nie da się zamieszkać</t>
        </is>
      </c>
    </row>
    <row r="995">
      <c r="A995" t="n">
        <v>994</v>
      </c>
      <c r="B995" s="3" t="n">
        <v>45554</v>
      </c>
      <c r="D995" t="inlineStr">
        <is>
          <t>https://www.olx.pl/d/oferta/2-pokoje-z-aneksem-kuchennym-2-pietro-top-miejsce-CID3-ID121Tmf.html?isPreviewActive=0&amp;sliderIndex=7</t>
        </is>
      </c>
      <c r="E995">
        <f>HYPERLINK("https://www.olx.pl/d/oferta/2-pokoje-z-aneksem-kuchennym-2-pietro-top-miejsce-CID3-ID121Tmf.html?isPreviewActive=0&amp;sliderIndex=7", "https://www.olx.pl/d/oferta/2-pokoje-z-aneksem-kuchennym-2-pietro-top-miejsce-CID3-ID121Tmf.html?isPreviewActive=0&amp;sliderIndex=7")</f>
        <v/>
      </c>
      <c r="F995" t="inlineStr">
        <is>
          <t>srebrzyńska</t>
        </is>
      </c>
      <c r="G995" t="inlineStr">
        <is>
          <t>Polesie</t>
        </is>
      </c>
      <c r="H995" t="inlineStr">
        <is>
          <t>Polesie</t>
        </is>
      </c>
      <c r="I995" t="inlineStr">
        <is>
          <t>NIE</t>
        </is>
      </c>
      <c r="J995" t="inlineStr">
        <is>
          <t>TAK</t>
        </is>
      </c>
      <c r="K995" t="n">
        <v>604745007</v>
      </c>
      <c r="L995" t="n">
        <v>235000</v>
      </c>
      <c r="M995" t="n">
        <v>7071.922961179657</v>
      </c>
      <c r="N995" t="n">
        <v>33.23</v>
      </c>
      <c r="O995" t="inlineStr">
        <is>
          <t>2+k</t>
        </is>
      </c>
      <c r="P995" t="n">
        <v>2</v>
      </c>
      <c r="Q995" t="inlineStr">
        <is>
          <t>Nie da się zamieszkać</t>
        </is>
      </c>
    </row>
    <row r="996">
      <c r="A996" t="n">
        <v>995</v>
      </c>
      <c r="B996" s="3" t="n">
        <v>45555</v>
      </c>
      <c r="D996" t="inlineStr">
        <is>
          <t>https://www.otodom.pl/pl/oferta/rozkladowe-2-pokoje-56m2-chryzantem-8-bezposrednio-ID4szJO</t>
        </is>
      </c>
      <c r="E996">
        <f>HYPERLINK("https://www.otodom.pl/pl/oferta/rozkladowe-2-pokoje-56m2-chryzantem-8-bezposrednio-ID4szJO", "https://www.otodom.pl/pl/oferta/rozkladowe-2-pokoje-56m2-chryzantem-8-bezposrednio-ID4szJO")</f>
        <v/>
      </c>
      <c r="F996" t="inlineStr">
        <is>
          <t>chryzantem</t>
        </is>
      </c>
      <c r="G996" t="inlineStr">
        <is>
          <t>Bałuty</t>
        </is>
      </c>
      <c r="H996" t="inlineStr">
        <is>
          <t>Bałuty</t>
        </is>
      </c>
      <c r="I996" t="inlineStr">
        <is>
          <t>NIE</t>
        </is>
      </c>
      <c r="J996" t="inlineStr">
        <is>
          <t>NIE</t>
        </is>
      </c>
      <c r="K996" t="n">
        <v>502104019</v>
      </c>
      <c r="L996" t="n">
        <v>425000</v>
      </c>
      <c r="M996" t="n">
        <v>7589.285714285715</v>
      </c>
      <c r="N996" t="n">
        <v>56</v>
      </c>
      <c r="O996" t="inlineStr">
        <is>
          <t>2+k</t>
        </is>
      </c>
      <c r="P996" t="n">
        <v>3</v>
      </c>
      <c r="Q996" t="inlineStr">
        <is>
          <t>Nie da się zamieszkać</t>
        </is>
      </c>
      <c r="S996" t="inlineStr">
        <is>
          <t>TAK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2024-11-02T11:20:48Z</dcterms:created>
  <dcterms:modified xsi:type="dcterms:W3CDTF">2024-11-02T11:20:48Z</dcterms:modified>
</cp:coreProperties>
</file>